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WebPosting\Hospital and Patient Data\2025\YearEnd\"/>
    </mc:Choice>
  </mc:AlternateContent>
  <xr:revisionPtr revIDLastSave="0" documentId="13_ncr:1_{F4FA67C5-89AE-47E3-BB1B-F6EDC27B81ED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5" l="1"/>
  <c r="D18" i="35"/>
  <c r="D15" i="35"/>
  <c r="C201" i="24" l="1"/>
  <c r="CD83" i="24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D674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D623" i="34"/>
  <c r="C623" i="34"/>
  <c r="C622" i="34"/>
  <c r="C621" i="34"/>
  <c r="C620" i="34"/>
  <c r="C619" i="34"/>
  <c r="C618" i="34"/>
  <c r="C617" i="34"/>
  <c r="C616" i="34"/>
  <c r="D615" i="34"/>
  <c r="D619" i="34" s="1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1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E41" i="15"/>
  <c r="D41" i="15"/>
  <c r="B41" i="15"/>
  <c r="B40" i="15"/>
  <c r="E39" i="15"/>
  <c r="D39" i="15"/>
  <c r="B39" i="15"/>
  <c r="E38" i="15"/>
  <c r="D38" i="15"/>
  <c r="B38" i="15"/>
  <c r="F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F30" i="15" s="1"/>
  <c r="E29" i="15"/>
  <c r="D29" i="15"/>
  <c r="B29" i="15"/>
  <c r="E28" i="15"/>
  <c r="D28" i="15"/>
  <c r="B28" i="15"/>
  <c r="E27" i="15"/>
  <c r="D27" i="15"/>
  <c r="B27" i="15"/>
  <c r="E26" i="15"/>
  <c r="D26" i="15"/>
  <c r="B26" i="15"/>
  <c r="F26" i="15" s="1"/>
  <c r="E25" i="15"/>
  <c r="D25" i="15"/>
  <c r="B25" i="15"/>
  <c r="F25" i="15" s="1"/>
  <c r="E24" i="15"/>
  <c r="D24" i="15"/>
  <c r="B24" i="15"/>
  <c r="F24" i="15" s="1"/>
  <c r="E23" i="15"/>
  <c r="D23" i="15"/>
  <c r="B23" i="15"/>
  <c r="F23" i="15" s="1"/>
  <c r="E22" i="15"/>
  <c r="D22" i="15"/>
  <c r="B22" i="15"/>
  <c r="F22" i="15" s="1"/>
  <c r="E21" i="15"/>
  <c r="D21" i="15"/>
  <c r="B21" i="15"/>
  <c r="F21" i="15" s="1"/>
  <c r="E20" i="15"/>
  <c r="D20" i="15"/>
  <c r="B20" i="15"/>
  <c r="F20" i="15" s="1"/>
  <c r="E19" i="15"/>
  <c r="D19" i="15"/>
  <c r="B19" i="15"/>
  <c r="F19" i="15" s="1"/>
  <c r="E18" i="15"/>
  <c r="D18" i="15"/>
  <c r="B18" i="15"/>
  <c r="F18" i="15" s="1"/>
  <c r="E17" i="15"/>
  <c r="D17" i="15"/>
  <c r="B17" i="15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CE91" i="24"/>
  <c r="I381" i="36" s="1"/>
  <c r="CE90" i="24"/>
  <c r="AV89" i="24"/>
  <c r="AU89" i="24"/>
  <c r="AT89" i="24"/>
  <c r="AS89" i="24"/>
  <c r="AR89" i="24"/>
  <c r="AQ89" i="24"/>
  <c r="AP89" i="24"/>
  <c r="AO89" i="24"/>
  <c r="AN89" i="24"/>
  <c r="AM89" i="24"/>
  <c r="AE38" i="31" s="1"/>
  <c r="AL89" i="24"/>
  <c r="AK89" i="24"/>
  <c r="AJ89" i="24"/>
  <c r="AE35" i="31" s="1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AE15" i="31" s="1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J377" i="36" s="1"/>
  <c r="CE87" i="24"/>
  <c r="I376" i="36" s="1"/>
  <c r="J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O9" i="31" s="1"/>
  <c r="I69" i="24"/>
  <c r="H69" i="24"/>
  <c r="G69" i="24"/>
  <c r="F69" i="24"/>
  <c r="E69" i="24"/>
  <c r="D69" i="24"/>
  <c r="C69" i="24"/>
  <c r="CE68" i="24"/>
  <c r="I370" i="36" s="1"/>
  <c r="J370" i="36" s="1"/>
  <c r="CE66" i="24"/>
  <c r="I368" i="36" s="1"/>
  <c r="J368" i="36" s="1"/>
  <c r="CE65" i="24"/>
  <c r="I367" i="36" s="1"/>
  <c r="J367" i="36" s="1"/>
  <c r="CE64" i="24"/>
  <c r="I366" i="36" s="1"/>
  <c r="CE63" i="24"/>
  <c r="I365" i="36" s="1"/>
  <c r="CE61" i="24"/>
  <c r="I363" i="36" s="1"/>
  <c r="J363" i="36" s="1"/>
  <c r="CE60" i="24"/>
  <c r="B53" i="24"/>
  <c r="CE51" i="24"/>
  <c r="B49" i="24"/>
  <c r="AW48" i="24"/>
  <c r="AW62" i="24" s="1"/>
  <c r="AE48" i="24"/>
  <c r="AE62" i="24" s="1"/>
  <c r="AC48" i="24"/>
  <c r="AC62" i="24" s="1"/>
  <c r="AB48" i="24"/>
  <c r="AB62" i="24" s="1"/>
  <c r="AA48" i="24"/>
  <c r="AA62" i="24" s="1"/>
  <c r="Z48" i="24"/>
  <c r="Z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J366" i="36" l="1"/>
  <c r="E166" i="8"/>
  <c r="J365" i="36"/>
  <c r="AL48" i="24"/>
  <c r="AL62" i="24" s="1"/>
  <c r="F33" i="15"/>
  <c r="Y48" i="24"/>
  <c r="Y62" i="24" s="1"/>
  <c r="F36" i="15"/>
  <c r="G10" i="4"/>
  <c r="F43" i="15"/>
  <c r="F69" i="15"/>
  <c r="F39" i="15"/>
  <c r="F45" i="15"/>
  <c r="F17" i="15"/>
  <c r="F15" i="15"/>
  <c r="H30" i="15"/>
  <c r="I30" i="15" s="1"/>
  <c r="F29" i="15"/>
  <c r="D258" i="24"/>
  <c r="CF91" i="24"/>
  <c r="C615" i="24"/>
  <c r="AG48" i="24"/>
  <c r="AG62" i="24" s="1"/>
  <c r="H32" i="31" s="1"/>
  <c r="AH48" i="24"/>
  <c r="AH62" i="24" s="1"/>
  <c r="AO48" i="24"/>
  <c r="AO62" i="24" s="1"/>
  <c r="BJ48" i="24"/>
  <c r="BJ62" i="24" s="1"/>
  <c r="AD48" i="24"/>
  <c r="AD62" i="24" s="1"/>
  <c r="BB48" i="24"/>
  <c r="BB62" i="24" s="1"/>
  <c r="E236" i="36" s="1"/>
  <c r="BE48" i="24"/>
  <c r="BE62" i="24" s="1"/>
  <c r="H56" i="31" s="1"/>
  <c r="BM48" i="24"/>
  <c r="BM62" i="24" s="1"/>
  <c r="BR48" i="24"/>
  <c r="BR62" i="24" s="1"/>
  <c r="H69" i="31" s="1"/>
  <c r="BU48" i="24"/>
  <c r="BU62" i="24" s="1"/>
  <c r="AT48" i="24"/>
  <c r="AT62" i="24" s="1"/>
  <c r="H45" i="31" s="1"/>
  <c r="AM48" i="24"/>
  <c r="AM62" i="24" s="1"/>
  <c r="AU48" i="24"/>
  <c r="AU62" i="24" s="1"/>
  <c r="BC48" i="24"/>
  <c r="BC62" i="24" s="1"/>
  <c r="H54" i="31" s="1"/>
  <c r="BK48" i="24"/>
  <c r="BK62" i="24" s="1"/>
  <c r="H62" i="31" s="1"/>
  <c r="BS48" i="24"/>
  <c r="BS62" i="24" s="1"/>
  <c r="H70" i="31" s="1"/>
  <c r="AF48" i="24"/>
  <c r="AF62" i="24" s="1"/>
  <c r="AN48" i="24"/>
  <c r="AN62" i="24" s="1"/>
  <c r="AV48" i="24"/>
  <c r="AV62" i="24" s="1"/>
  <c r="H47" i="31" s="1"/>
  <c r="BD48" i="24"/>
  <c r="BD62" i="24" s="1"/>
  <c r="BL48" i="24"/>
  <c r="BL62" i="24" s="1"/>
  <c r="H63" i="31" s="1"/>
  <c r="BT48" i="24"/>
  <c r="BT62" i="24" s="1"/>
  <c r="AP48" i="24"/>
  <c r="AP62" i="24" s="1"/>
  <c r="H41" i="31" s="1"/>
  <c r="AX48" i="24"/>
  <c r="AX62" i="24" s="1"/>
  <c r="H204" i="36" s="1"/>
  <c r="BF48" i="24"/>
  <c r="BF62" i="24" s="1"/>
  <c r="I236" i="36" s="1"/>
  <c r="BN48" i="24"/>
  <c r="BN62" i="24" s="1"/>
  <c r="BV48" i="24"/>
  <c r="BV62" i="24" s="1"/>
  <c r="D332" i="36" s="1"/>
  <c r="AI48" i="24"/>
  <c r="AI62" i="24" s="1"/>
  <c r="AQ48" i="24"/>
  <c r="AQ62" i="24" s="1"/>
  <c r="H172" i="36" s="1"/>
  <c r="AY48" i="24"/>
  <c r="AY62" i="24" s="1"/>
  <c r="I204" i="36" s="1"/>
  <c r="BG48" i="24"/>
  <c r="BG62" i="24" s="1"/>
  <c r="H58" i="31" s="1"/>
  <c r="BO48" i="24"/>
  <c r="BO62" i="24" s="1"/>
  <c r="D300" i="36" s="1"/>
  <c r="BX48" i="24"/>
  <c r="BX62" i="24" s="1"/>
  <c r="H75" i="31" s="1"/>
  <c r="AJ48" i="24"/>
  <c r="AJ62" i="24" s="1"/>
  <c r="AR48" i="24"/>
  <c r="AR62" i="24" s="1"/>
  <c r="AZ48" i="24"/>
  <c r="AZ62" i="24" s="1"/>
  <c r="BH48" i="24"/>
  <c r="BH62" i="24" s="1"/>
  <c r="H59" i="31" s="1"/>
  <c r="BP48" i="24"/>
  <c r="BP62" i="24" s="1"/>
  <c r="CA48" i="24"/>
  <c r="CA62" i="24" s="1"/>
  <c r="H78" i="31" s="1"/>
  <c r="AK48" i="24"/>
  <c r="AK62" i="24" s="1"/>
  <c r="H36" i="31" s="1"/>
  <c r="AS48" i="24"/>
  <c r="AS62" i="24" s="1"/>
  <c r="H44" i="31" s="1"/>
  <c r="BA48" i="24"/>
  <c r="BA62" i="24" s="1"/>
  <c r="BI48" i="24"/>
  <c r="BI62" i="24" s="1"/>
  <c r="E268" i="36" s="1"/>
  <c r="BQ48" i="24"/>
  <c r="BQ62" i="24" s="1"/>
  <c r="BY48" i="24"/>
  <c r="BY62" i="24" s="1"/>
  <c r="BZ48" i="24"/>
  <c r="BZ62" i="24" s="1"/>
  <c r="H77" i="31" s="1"/>
  <c r="CB48" i="24"/>
  <c r="CB62" i="24" s="1"/>
  <c r="CC48" i="24"/>
  <c r="CC62" i="24" s="1"/>
  <c r="H80" i="31" s="1"/>
  <c r="CD48" i="24"/>
  <c r="BW48" i="24"/>
  <c r="BW62" i="24" s="1"/>
  <c r="H74" i="31" s="1"/>
  <c r="F37" i="15"/>
  <c r="D383" i="24"/>
  <c r="C137" i="8" s="1"/>
  <c r="J372" i="36" s="1"/>
  <c r="H18" i="15"/>
  <c r="I18" i="15" s="1"/>
  <c r="H20" i="15"/>
  <c r="I20" i="15" s="1"/>
  <c r="H22" i="15"/>
  <c r="I22" i="15" s="1"/>
  <c r="H24" i="15"/>
  <c r="I24" i="15" s="1"/>
  <c r="H26" i="15"/>
  <c r="I26" i="15" s="1"/>
  <c r="H16" i="15"/>
  <c r="I16" i="15" s="1"/>
  <c r="F27" i="15"/>
  <c r="C648" i="34"/>
  <c r="M716" i="34" s="1"/>
  <c r="F612" i="24"/>
  <c r="C62" i="24"/>
  <c r="H2" i="31" s="1"/>
  <c r="D341" i="24"/>
  <c r="C87" i="8" s="1"/>
  <c r="J612" i="24"/>
  <c r="H19" i="15"/>
  <c r="I19" i="15" s="1"/>
  <c r="H21" i="15"/>
  <c r="I21" i="15" s="1"/>
  <c r="H23" i="15"/>
  <c r="I23" i="15" s="1"/>
  <c r="H25" i="15"/>
  <c r="I25" i="15" s="1"/>
  <c r="F28" i="15"/>
  <c r="D186" i="36"/>
  <c r="H9" i="31"/>
  <c r="C44" i="36"/>
  <c r="H17" i="31"/>
  <c r="D76" i="36"/>
  <c r="H25" i="31"/>
  <c r="E108" i="36"/>
  <c r="H33" i="31"/>
  <c r="F140" i="36"/>
  <c r="H65" i="31"/>
  <c r="C300" i="36"/>
  <c r="H73" i="31"/>
  <c r="H26" i="31"/>
  <c r="F108" i="36"/>
  <c r="H50" i="31"/>
  <c r="H3" i="31"/>
  <c r="D12" i="36"/>
  <c r="H11" i="31"/>
  <c r="E44" i="36"/>
  <c r="H19" i="31"/>
  <c r="F76" i="36"/>
  <c r="H4" i="31"/>
  <c r="E12" i="36"/>
  <c r="H12" i="31"/>
  <c r="F44" i="36"/>
  <c r="H20" i="31"/>
  <c r="G76" i="36"/>
  <c r="H28" i="31"/>
  <c r="H108" i="36"/>
  <c r="H52" i="31"/>
  <c r="D236" i="36"/>
  <c r="H60" i="31"/>
  <c r="G332" i="36"/>
  <c r="H37" i="31"/>
  <c r="C172" i="36"/>
  <c r="H53" i="31"/>
  <c r="H61" i="31"/>
  <c r="F268" i="36"/>
  <c r="H6" i="31"/>
  <c r="G12" i="36"/>
  <c r="H14" i="31"/>
  <c r="H44" i="36"/>
  <c r="H22" i="31"/>
  <c r="I76" i="36"/>
  <c r="H30" i="31"/>
  <c r="C140" i="36"/>
  <c r="H38" i="31"/>
  <c r="D172" i="36"/>
  <c r="G268" i="36"/>
  <c r="H7" i="31"/>
  <c r="H12" i="36"/>
  <c r="H15" i="31"/>
  <c r="I44" i="36"/>
  <c r="O7" i="31"/>
  <c r="H19" i="36"/>
  <c r="O15" i="31"/>
  <c r="I51" i="36"/>
  <c r="O23" i="31"/>
  <c r="C115" i="36"/>
  <c r="O31" i="31"/>
  <c r="D147" i="36"/>
  <c r="O39" i="31"/>
  <c r="E179" i="36"/>
  <c r="O47" i="31"/>
  <c r="F211" i="36"/>
  <c r="O55" i="31"/>
  <c r="G243" i="36"/>
  <c r="O63" i="31"/>
  <c r="H275" i="36"/>
  <c r="O71" i="31"/>
  <c r="I307" i="36"/>
  <c r="O79" i="31"/>
  <c r="C371" i="36"/>
  <c r="I380" i="36"/>
  <c r="D612" i="24"/>
  <c r="CF90" i="24"/>
  <c r="C16" i="8"/>
  <c r="D308" i="24"/>
  <c r="D416" i="24"/>
  <c r="H42" i="31"/>
  <c r="H27" i="31"/>
  <c r="G108" i="36"/>
  <c r="H35" i="31"/>
  <c r="H140" i="36"/>
  <c r="H51" i="31"/>
  <c r="C236" i="36"/>
  <c r="D268" i="36"/>
  <c r="H67" i="31"/>
  <c r="E300" i="36"/>
  <c r="O8" i="31"/>
  <c r="I19" i="36"/>
  <c r="O16" i="31"/>
  <c r="C83" i="36"/>
  <c r="D115" i="36"/>
  <c r="O24" i="31"/>
  <c r="O32" i="31"/>
  <c r="E147" i="36"/>
  <c r="O40" i="31"/>
  <c r="F179" i="36"/>
  <c r="O48" i="31"/>
  <c r="G211" i="36"/>
  <c r="O56" i="31"/>
  <c r="H243" i="36"/>
  <c r="I275" i="36"/>
  <c r="O64" i="31"/>
  <c r="C339" i="36"/>
  <c r="O72" i="31"/>
  <c r="D371" i="36"/>
  <c r="O80" i="31"/>
  <c r="AE9" i="31"/>
  <c r="C58" i="36"/>
  <c r="AE17" i="31"/>
  <c r="D90" i="36"/>
  <c r="AE25" i="31"/>
  <c r="E122" i="36"/>
  <c r="AE33" i="31"/>
  <c r="F154" i="36"/>
  <c r="AE41" i="31"/>
  <c r="G186" i="36"/>
  <c r="H56" i="15"/>
  <c r="I56" i="15" s="1"/>
  <c r="F56" i="15"/>
  <c r="H68" i="31"/>
  <c r="F300" i="36"/>
  <c r="H5" i="31"/>
  <c r="F12" i="36"/>
  <c r="H13" i="31"/>
  <c r="G44" i="36"/>
  <c r="H21" i="31"/>
  <c r="H76" i="36"/>
  <c r="H34" i="31"/>
  <c r="G140" i="36"/>
  <c r="E204" i="36"/>
  <c r="I382" i="36"/>
  <c r="I612" i="24"/>
  <c r="C113" i="8"/>
  <c r="D367" i="24"/>
  <c r="H10" i="31"/>
  <c r="D44" i="36"/>
  <c r="CE69" i="24"/>
  <c r="I371" i="36" s="1"/>
  <c r="J371" i="36" s="1"/>
  <c r="AE4" i="31"/>
  <c r="E26" i="36"/>
  <c r="AE12" i="31"/>
  <c r="F58" i="36"/>
  <c r="AE20" i="31"/>
  <c r="G90" i="36"/>
  <c r="AE28" i="31"/>
  <c r="H122" i="36"/>
  <c r="AE36" i="31"/>
  <c r="I154" i="36"/>
  <c r="AE44" i="31"/>
  <c r="C218" i="36"/>
  <c r="H18" i="31"/>
  <c r="E76" i="36"/>
  <c r="F10" i="6"/>
  <c r="E220" i="24"/>
  <c r="H23" i="31"/>
  <c r="C108" i="36"/>
  <c r="H39" i="31"/>
  <c r="E172" i="36"/>
  <c r="H55" i="31"/>
  <c r="G236" i="36"/>
  <c r="I300" i="36"/>
  <c r="H79" i="31"/>
  <c r="C364" i="36"/>
  <c r="BK2" i="30"/>
  <c r="I362" i="36"/>
  <c r="H612" i="24"/>
  <c r="H8" i="31"/>
  <c r="I12" i="36"/>
  <c r="H16" i="31"/>
  <c r="C76" i="36"/>
  <c r="O4" i="31"/>
  <c r="E19" i="36"/>
  <c r="O12" i="31"/>
  <c r="F51" i="36"/>
  <c r="O20" i="31"/>
  <c r="G83" i="36"/>
  <c r="O28" i="31"/>
  <c r="H115" i="36"/>
  <c r="O36" i="31"/>
  <c r="I147" i="36"/>
  <c r="O44" i="31"/>
  <c r="C211" i="36"/>
  <c r="O52" i="31"/>
  <c r="D243" i="36"/>
  <c r="E275" i="36"/>
  <c r="O60" i="31"/>
  <c r="O68" i="31"/>
  <c r="F307" i="36"/>
  <c r="O76" i="31"/>
  <c r="G339" i="36"/>
  <c r="AE5" i="31"/>
  <c r="F26" i="36"/>
  <c r="AE13" i="31"/>
  <c r="G58" i="36"/>
  <c r="AE21" i="31"/>
  <c r="H90" i="36"/>
  <c r="AE29" i="31"/>
  <c r="I122" i="36"/>
  <c r="AE37" i="31"/>
  <c r="C186" i="36"/>
  <c r="AE45" i="31"/>
  <c r="D218" i="36"/>
  <c r="F35" i="15"/>
  <c r="H29" i="31"/>
  <c r="I108" i="36"/>
  <c r="H24" i="31"/>
  <c r="D108" i="36"/>
  <c r="H40" i="31"/>
  <c r="F172" i="36"/>
  <c r="H48" i="31"/>
  <c r="G204" i="36"/>
  <c r="H72" i="31"/>
  <c r="C332" i="36"/>
  <c r="C68" i="8"/>
  <c r="D350" i="24"/>
  <c r="O5" i="31"/>
  <c r="F19" i="36"/>
  <c r="O13" i="31"/>
  <c r="G51" i="36"/>
  <c r="O21" i="31"/>
  <c r="H83" i="36"/>
  <c r="O29" i="31"/>
  <c r="I115" i="36"/>
  <c r="O37" i="31"/>
  <c r="C179" i="36"/>
  <c r="O45" i="31"/>
  <c r="D211" i="36"/>
  <c r="O53" i="31"/>
  <c r="E243" i="36"/>
  <c r="O61" i="31"/>
  <c r="F275" i="36"/>
  <c r="O69" i="31"/>
  <c r="G307" i="36"/>
  <c r="O77" i="31"/>
  <c r="H339" i="36"/>
  <c r="AE2" i="31"/>
  <c r="C26" i="36"/>
  <c r="AE10" i="31"/>
  <c r="D58" i="36"/>
  <c r="AE18" i="31"/>
  <c r="E90" i="36"/>
  <c r="AE26" i="31"/>
  <c r="F122" i="36"/>
  <c r="AE34" i="31"/>
  <c r="G154" i="36"/>
  <c r="AE42" i="31"/>
  <c r="H186" i="36"/>
  <c r="G19" i="4"/>
  <c r="E19" i="4"/>
  <c r="H47" i="15"/>
  <c r="I47" i="15" s="1"/>
  <c r="F47" i="15"/>
  <c r="F65" i="15"/>
  <c r="O6" i="31"/>
  <c r="G19" i="36"/>
  <c r="O14" i="31"/>
  <c r="H51" i="36"/>
  <c r="O22" i="31"/>
  <c r="I83" i="36"/>
  <c r="O30" i="31"/>
  <c r="C147" i="36"/>
  <c r="O38" i="31"/>
  <c r="D179" i="36"/>
  <c r="O46" i="31"/>
  <c r="E211" i="36"/>
  <c r="O54" i="31"/>
  <c r="F243" i="36"/>
  <c r="O62" i="31"/>
  <c r="G275" i="36"/>
  <c r="H307" i="36"/>
  <c r="O70" i="31"/>
  <c r="O78" i="31"/>
  <c r="I339" i="36"/>
  <c r="AE3" i="31"/>
  <c r="D26" i="36"/>
  <c r="AE11" i="31"/>
  <c r="E58" i="36"/>
  <c r="AE19" i="31"/>
  <c r="F90" i="36"/>
  <c r="AE27" i="31"/>
  <c r="G122" i="36"/>
  <c r="AE43" i="31"/>
  <c r="I186" i="36"/>
  <c r="L612" i="24"/>
  <c r="F63" i="15"/>
  <c r="H154" i="36"/>
  <c r="F48" i="15"/>
  <c r="O17" i="31"/>
  <c r="D83" i="36"/>
  <c r="O25" i="31"/>
  <c r="E115" i="36"/>
  <c r="O33" i="31"/>
  <c r="F147" i="36"/>
  <c r="O41" i="31"/>
  <c r="G179" i="36"/>
  <c r="O49" i="31"/>
  <c r="H211" i="36"/>
  <c r="O57" i="31"/>
  <c r="I243" i="36"/>
  <c r="O65" i="31"/>
  <c r="C307" i="36"/>
  <c r="O73" i="31"/>
  <c r="D339" i="36"/>
  <c r="CD85" i="24"/>
  <c r="AE6" i="31"/>
  <c r="G26" i="36"/>
  <c r="AE14" i="31"/>
  <c r="H58" i="36"/>
  <c r="AE22" i="31"/>
  <c r="I90" i="36"/>
  <c r="AE30" i="31"/>
  <c r="C154" i="36"/>
  <c r="AE46" i="31"/>
  <c r="E218" i="36"/>
  <c r="E233" i="24"/>
  <c r="F32" i="6" s="1"/>
  <c r="G612" i="24"/>
  <c r="H55" i="15"/>
  <c r="I55" i="15" s="1"/>
  <c r="F55" i="15"/>
  <c r="I58" i="36"/>
  <c r="O2" i="31"/>
  <c r="C19" i="36"/>
  <c r="O10" i="31"/>
  <c r="D51" i="36"/>
  <c r="O18" i="31"/>
  <c r="E83" i="36"/>
  <c r="O26" i="31"/>
  <c r="F115" i="36"/>
  <c r="O34" i="31"/>
  <c r="G147" i="36"/>
  <c r="O42" i="31"/>
  <c r="H179" i="36"/>
  <c r="O50" i="31"/>
  <c r="I211" i="36"/>
  <c r="C275" i="36"/>
  <c r="O58" i="31"/>
  <c r="O66" i="31"/>
  <c r="D307" i="36"/>
  <c r="O74" i="31"/>
  <c r="E339" i="36"/>
  <c r="AE7" i="31"/>
  <c r="H26" i="36"/>
  <c r="AE23" i="31"/>
  <c r="C122" i="36"/>
  <c r="AE31" i="31"/>
  <c r="D154" i="36"/>
  <c r="AE39" i="31"/>
  <c r="E186" i="36"/>
  <c r="AE47" i="31"/>
  <c r="F218" i="36"/>
  <c r="G28" i="4"/>
  <c r="E28" i="4"/>
  <c r="DF2" i="30"/>
  <c r="C170" i="8"/>
  <c r="C51" i="36"/>
  <c r="O3" i="31"/>
  <c r="D19" i="36"/>
  <c r="O11" i="31"/>
  <c r="E51" i="36"/>
  <c r="O19" i="31"/>
  <c r="F83" i="36"/>
  <c r="O27" i="31"/>
  <c r="G115" i="36"/>
  <c r="O35" i="31"/>
  <c r="H147" i="36"/>
  <c r="O43" i="31"/>
  <c r="I179" i="36"/>
  <c r="O51" i="31"/>
  <c r="C243" i="36"/>
  <c r="O59" i="31"/>
  <c r="D275" i="36"/>
  <c r="O67" i="31"/>
  <c r="E307" i="36"/>
  <c r="O75" i="31"/>
  <c r="F339" i="36"/>
  <c r="AE8" i="31"/>
  <c r="I26" i="36"/>
  <c r="AE16" i="31"/>
  <c r="C90" i="36"/>
  <c r="AE24" i="31"/>
  <c r="D122" i="36"/>
  <c r="E154" i="36"/>
  <c r="AE32" i="31"/>
  <c r="AE40" i="31"/>
  <c r="F186" i="36"/>
  <c r="CE89" i="24"/>
  <c r="CF2" i="38"/>
  <c r="D5" i="7"/>
  <c r="F420" i="24"/>
  <c r="H53" i="15"/>
  <c r="I53" i="15" s="1"/>
  <c r="F53" i="15"/>
  <c r="H58" i="15"/>
  <c r="I58" i="15" s="1"/>
  <c r="F58" i="15"/>
  <c r="H46" i="15"/>
  <c r="I46" i="15" s="1"/>
  <c r="F50" i="15"/>
  <c r="H52" i="15"/>
  <c r="I52" i="15" s="1"/>
  <c r="F52" i="15"/>
  <c r="F64" i="15"/>
  <c r="F34" i="15"/>
  <c r="F42" i="15"/>
  <c r="F49" i="15"/>
  <c r="H57" i="15"/>
  <c r="I57" i="15" s="1"/>
  <c r="F57" i="15"/>
  <c r="H59" i="15"/>
  <c r="I59" i="15" s="1"/>
  <c r="F59" i="15"/>
  <c r="H44" i="15"/>
  <c r="I44" i="15" s="1"/>
  <c r="H54" i="15"/>
  <c r="I54" i="15" s="1"/>
  <c r="F54" i="15"/>
  <c r="F41" i="15"/>
  <c r="H51" i="15"/>
  <c r="I51" i="15" s="1"/>
  <c r="F51" i="15"/>
  <c r="D716" i="34"/>
  <c r="D707" i="34"/>
  <c r="D699" i="34"/>
  <c r="D691" i="34"/>
  <c r="D712" i="34"/>
  <c r="D704" i="34"/>
  <c r="D696" i="34"/>
  <c r="D709" i="34"/>
  <c r="D701" i="34"/>
  <c r="D706" i="34"/>
  <c r="D698" i="34"/>
  <c r="D690" i="34"/>
  <c r="D711" i="34"/>
  <c r="D703" i="34"/>
  <c r="D695" i="34"/>
  <c r="D708" i="34"/>
  <c r="D700" i="34"/>
  <c r="D692" i="34"/>
  <c r="D702" i="34"/>
  <c r="D694" i="34"/>
  <c r="D684" i="34"/>
  <c r="D676" i="34"/>
  <c r="D668" i="34"/>
  <c r="D628" i="34"/>
  <c r="D622" i="34"/>
  <c r="D618" i="34"/>
  <c r="D713" i="34"/>
  <c r="D681" i="34"/>
  <c r="D673" i="34"/>
  <c r="D697" i="34"/>
  <c r="D686" i="34"/>
  <c r="D678" i="34"/>
  <c r="D670" i="34"/>
  <c r="D647" i="34"/>
  <c r="D646" i="34"/>
  <c r="D645" i="34"/>
  <c r="D629" i="34"/>
  <c r="D626" i="34"/>
  <c r="D621" i="34"/>
  <c r="D617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710" i="34"/>
  <c r="D689" i="34"/>
  <c r="D680" i="34"/>
  <c r="D672" i="34"/>
  <c r="D620" i="34"/>
  <c r="D616" i="34"/>
  <c r="D705" i="34"/>
  <c r="D693" i="34"/>
  <c r="D688" i="34"/>
  <c r="D685" i="34"/>
  <c r="D677" i="34"/>
  <c r="D669" i="34"/>
  <c r="D627" i="34"/>
  <c r="D687" i="34"/>
  <c r="D679" i="34"/>
  <c r="D671" i="34"/>
  <c r="D625" i="34"/>
  <c r="D682" i="34"/>
  <c r="C715" i="34"/>
  <c r="E380" i="24" l="1"/>
  <c r="D12" i="35"/>
  <c r="H57" i="31"/>
  <c r="G300" i="36"/>
  <c r="E140" i="36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O85" i="24" s="1"/>
  <c r="AG52" i="24"/>
  <c r="AG67" i="24" s="1"/>
  <c r="Y52" i="24"/>
  <c r="Y67" i="24" s="1"/>
  <c r="Q52" i="24"/>
  <c r="Q67" i="24" s="1"/>
  <c r="I52" i="24"/>
  <c r="I67" i="24" s="1"/>
  <c r="AP52" i="24"/>
  <c r="AP67" i="24" s="1"/>
  <c r="AP85" i="24" s="1"/>
  <c r="C707" i="24" s="1"/>
  <c r="CB52" i="24"/>
  <c r="CB67" i="24" s="1"/>
  <c r="BT52" i="24"/>
  <c r="BT67" i="24" s="1"/>
  <c r="BT85" i="24" s="1"/>
  <c r="BL52" i="24"/>
  <c r="BL67" i="24" s="1"/>
  <c r="BL85" i="24" s="1"/>
  <c r="C76" i="15" s="1"/>
  <c r="G76" i="15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BI52" i="24"/>
  <c r="BI67" i="24" s="1"/>
  <c r="BI85" i="24" s="1"/>
  <c r="C634" i="24" s="1"/>
  <c r="U52" i="24"/>
  <c r="U67" i="24" s="1"/>
  <c r="CD52" i="24"/>
  <c r="Z52" i="24"/>
  <c r="Z67" i="24" s="1"/>
  <c r="CA52" i="24"/>
  <c r="CA67" i="24" s="1"/>
  <c r="CA85" i="24" s="1"/>
  <c r="BS52" i="24"/>
  <c r="BS67" i="24" s="1"/>
  <c r="BS85" i="24" s="1"/>
  <c r="BK52" i="24"/>
  <c r="BK67" i="24" s="1"/>
  <c r="BC52" i="24"/>
  <c r="BC67" i="24" s="1"/>
  <c r="AU52" i="24"/>
  <c r="AU67" i="24" s="1"/>
  <c r="AU85" i="24" s="1"/>
  <c r="AM52" i="24"/>
  <c r="AM67" i="24" s="1"/>
  <c r="AE52" i="24"/>
  <c r="AE67" i="24" s="1"/>
  <c r="W52" i="24"/>
  <c r="W67" i="24" s="1"/>
  <c r="O52" i="24"/>
  <c r="O67" i="24" s="1"/>
  <c r="G52" i="24"/>
  <c r="G67" i="24" s="1"/>
  <c r="BA52" i="24"/>
  <c r="BA67" i="24" s="1"/>
  <c r="AC52" i="24"/>
  <c r="AC67" i="24" s="1"/>
  <c r="E52" i="24"/>
  <c r="E67" i="24" s="1"/>
  <c r="BF52" i="24"/>
  <c r="BF67" i="24" s="1"/>
  <c r="J52" i="24"/>
  <c r="J67" i="24" s="1"/>
  <c r="BZ52" i="24"/>
  <c r="BZ67" i="24" s="1"/>
  <c r="BZ85" i="24" s="1"/>
  <c r="C90" i="15" s="1"/>
  <c r="G90" i="15" s="1"/>
  <c r="BR52" i="24"/>
  <c r="BR67" i="24" s="1"/>
  <c r="BJ52" i="24"/>
  <c r="BJ67" i="24" s="1"/>
  <c r="BB52" i="24"/>
  <c r="BB67" i="24" s="1"/>
  <c r="BB85" i="24" s="1"/>
  <c r="AT52" i="24"/>
  <c r="AT67" i="24" s="1"/>
  <c r="AT85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Q52" i="24"/>
  <c r="BQ67" i="24" s="1"/>
  <c r="AS52" i="24"/>
  <c r="AS67" i="24" s="1"/>
  <c r="AS85" i="24" s="1"/>
  <c r="M52" i="24"/>
  <c r="M67" i="24" s="1"/>
  <c r="BN52" i="24"/>
  <c r="BN67" i="24" s="1"/>
  <c r="BN85" i="24" s="1"/>
  <c r="R52" i="24"/>
  <c r="R67" i="24" s="1"/>
  <c r="BY52" i="24"/>
  <c r="BY67" i="24" s="1"/>
  <c r="AK52" i="24"/>
  <c r="AK67" i="24" s="1"/>
  <c r="BX52" i="24"/>
  <c r="BX67" i="24" s="1"/>
  <c r="BX85" i="24" s="1"/>
  <c r="BP52" i="24"/>
  <c r="BP67" i="24" s="1"/>
  <c r="BH52" i="24"/>
  <c r="BH67" i="24" s="1"/>
  <c r="AZ52" i="24"/>
  <c r="AZ67" i="24" s="1"/>
  <c r="AR52" i="24"/>
  <c r="AR67" i="24" s="1"/>
  <c r="AR85" i="24" s="1"/>
  <c r="AJ52" i="24"/>
  <c r="AJ67" i="24" s="1"/>
  <c r="AB52" i="24"/>
  <c r="AB67" i="24" s="1"/>
  <c r="T52" i="24"/>
  <c r="T67" i="24" s="1"/>
  <c r="L52" i="24"/>
  <c r="L67" i="24" s="1"/>
  <c r="D52" i="24"/>
  <c r="D67" i="24" s="1"/>
  <c r="AX52" i="24"/>
  <c r="AX67" i="24" s="1"/>
  <c r="BW52" i="24"/>
  <c r="BW67" i="24" s="1"/>
  <c r="BW85" i="24" s="1"/>
  <c r="E341" i="36" s="1"/>
  <c r="BO52" i="24"/>
  <c r="BO67" i="24" s="1"/>
  <c r="BG52" i="24"/>
  <c r="BG67" i="24" s="1"/>
  <c r="AY52" i="24"/>
  <c r="AY67" i="24" s="1"/>
  <c r="AY85" i="24" s="1"/>
  <c r="I213" i="36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BV52" i="24"/>
  <c r="BV67" i="24" s="1"/>
  <c r="AH52" i="24"/>
  <c r="AH67" i="24" s="1"/>
  <c r="AN85" i="24"/>
  <c r="AG85" i="24"/>
  <c r="BM85" i="24"/>
  <c r="I277" i="36" s="1"/>
  <c r="H64" i="31"/>
  <c r="H71" i="31"/>
  <c r="I332" i="36"/>
  <c r="BG85" i="24"/>
  <c r="H49" i="31"/>
  <c r="I268" i="36"/>
  <c r="H66" i="31"/>
  <c r="H236" i="36"/>
  <c r="C268" i="36"/>
  <c r="BC85" i="24"/>
  <c r="C633" i="24" s="1"/>
  <c r="AK85" i="24"/>
  <c r="I149" i="36" s="1"/>
  <c r="G172" i="36"/>
  <c r="CC85" i="24"/>
  <c r="D373" i="36" s="1"/>
  <c r="D364" i="36"/>
  <c r="F236" i="36"/>
  <c r="H300" i="36"/>
  <c r="H332" i="36"/>
  <c r="I140" i="36"/>
  <c r="H46" i="31"/>
  <c r="H76" i="31"/>
  <c r="E332" i="36"/>
  <c r="C12" i="36"/>
  <c r="CE62" i="24"/>
  <c r="I364" i="36" s="1"/>
  <c r="J364" i="36" s="1"/>
  <c r="H268" i="36"/>
  <c r="D204" i="36"/>
  <c r="I172" i="36"/>
  <c r="BV85" i="24"/>
  <c r="D341" i="36" s="1"/>
  <c r="H43" i="31"/>
  <c r="F204" i="36"/>
  <c r="D140" i="36"/>
  <c r="H31" i="31"/>
  <c r="F332" i="36"/>
  <c r="C204" i="36"/>
  <c r="BF85" i="24"/>
  <c r="I245" i="36" s="1"/>
  <c r="CE48" i="24"/>
  <c r="E612" i="34"/>
  <c r="F16" i="6"/>
  <c r="F234" i="24"/>
  <c r="C121" i="8"/>
  <c r="D384" i="24"/>
  <c r="D715" i="34"/>
  <c r="I378" i="36"/>
  <c r="K612" i="24"/>
  <c r="C167" i="8"/>
  <c r="D22" i="35"/>
  <c r="E414" i="24"/>
  <c r="C277" i="36"/>
  <c r="C71" i="15"/>
  <c r="G71" i="15" s="1"/>
  <c r="C618" i="24"/>
  <c r="E623" i="34"/>
  <c r="C50" i="8"/>
  <c r="D352" i="24"/>
  <c r="C103" i="8" s="1"/>
  <c r="F309" i="24"/>
  <c r="E373" i="36"/>
  <c r="C94" i="15"/>
  <c r="G94" i="15" s="1"/>
  <c r="C642" i="24" l="1"/>
  <c r="D213" i="36"/>
  <c r="C58" i="15"/>
  <c r="G58" i="15" s="1"/>
  <c r="C70" i="15"/>
  <c r="G70" i="15" s="1"/>
  <c r="H309" i="36"/>
  <c r="C83" i="15"/>
  <c r="G83" i="15" s="1"/>
  <c r="C639" i="24"/>
  <c r="C629" i="24"/>
  <c r="C67" i="15"/>
  <c r="G67" i="15" s="1"/>
  <c r="F245" i="36"/>
  <c r="H341" i="36"/>
  <c r="C619" i="24"/>
  <c r="C309" i="36"/>
  <c r="C78" i="15"/>
  <c r="G78" i="15" s="1"/>
  <c r="C56" i="15"/>
  <c r="G56" i="15" s="1"/>
  <c r="C709" i="24"/>
  <c r="I181" i="36"/>
  <c r="G181" i="36"/>
  <c r="C54" i="15"/>
  <c r="G54" i="15" s="1"/>
  <c r="C87" i="15"/>
  <c r="G87" i="15" s="1"/>
  <c r="C643" i="24"/>
  <c r="C73" i="15"/>
  <c r="G73" i="15" s="1"/>
  <c r="C93" i="15"/>
  <c r="G93" i="15" s="1"/>
  <c r="C620" i="24"/>
  <c r="C638" i="24"/>
  <c r="C711" i="24"/>
  <c r="C77" i="15"/>
  <c r="G77" i="15" s="1"/>
  <c r="C63" i="15"/>
  <c r="C84" i="15"/>
  <c r="G84" i="15" s="1"/>
  <c r="I309" i="36"/>
  <c r="C640" i="24"/>
  <c r="C632" i="24"/>
  <c r="C66" i="15"/>
  <c r="G66" i="15" s="1"/>
  <c r="E245" i="36"/>
  <c r="C710" i="24"/>
  <c r="C213" i="36"/>
  <c r="C57" i="15"/>
  <c r="G57" i="15" s="1"/>
  <c r="C644" i="24"/>
  <c r="C88" i="15"/>
  <c r="G88" i="15" s="1"/>
  <c r="C91" i="15"/>
  <c r="G91" i="15" s="1"/>
  <c r="C647" i="24"/>
  <c r="I341" i="36"/>
  <c r="E213" i="36"/>
  <c r="C59" i="15"/>
  <c r="G59" i="15" s="1"/>
  <c r="C712" i="24"/>
  <c r="M49" i="31"/>
  <c r="H209" i="36"/>
  <c r="M56" i="31"/>
  <c r="H241" i="36"/>
  <c r="AA85" i="24"/>
  <c r="M26" i="31"/>
  <c r="F113" i="36"/>
  <c r="D85" i="24"/>
  <c r="M3" i="31"/>
  <c r="D17" i="36"/>
  <c r="M67" i="31"/>
  <c r="E305" i="36"/>
  <c r="BP85" i="24"/>
  <c r="BQ85" i="24"/>
  <c r="M68" i="31"/>
  <c r="F305" i="36"/>
  <c r="M61" i="31"/>
  <c r="F273" i="36"/>
  <c r="BJ85" i="24"/>
  <c r="G17" i="36"/>
  <c r="G85" i="24"/>
  <c r="M6" i="31"/>
  <c r="H305" i="36"/>
  <c r="M70" i="31"/>
  <c r="X85" i="24"/>
  <c r="M23" i="31"/>
  <c r="C113" i="36"/>
  <c r="G177" i="36"/>
  <c r="M41" i="31"/>
  <c r="I273" i="36"/>
  <c r="M64" i="31"/>
  <c r="E181" i="36"/>
  <c r="C52" i="15"/>
  <c r="G52" i="15" s="1"/>
  <c r="C705" i="24"/>
  <c r="BK85" i="24"/>
  <c r="M62" i="31"/>
  <c r="G273" i="36"/>
  <c r="L85" i="24"/>
  <c r="M11" i="31"/>
  <c r="E49" i="36"/>
  <c r="D145" i="36"/>
  <c r="M31" i="31"/>
  <c r="C86" i="15"/>
  <c r="G86" i="15" s="1"/>
  <c r="M42" i="31"/>
  <c r="H177" i="36"/>
  <c r="AQ85" i="24"/>
  <c r="M19" i="31"/>
  <c r="T85" i="24"/>
  <c r="F81" i="36"/>
  <c r="M36" i="31"/>
  <c r="I145" i="36"/>
  <c r="G49" i="36"/>
  <c r="N85" i="24"/>
  <c r="M13" i="31"/>
  <c r="M77" i="31"/>
  <c r="H337" i="36"/>
  <c r="I81" i="36"/>
  <c r="W85" i="24"/>
  <c r="M22" i="31"/>
  <c r="M25" i="31"/>
  <c r="Z85" i="24"/>
  <c r="E113" i="36"/>
  <c r="M39" i="31"/>
  <c r="E177" i="36"/>
  <c r="Q85" i="24"/>
  <c r="M16" i="31"/>
  <c r="C81" i="36"/>
  <c r="M80" i="31"/>
  <c r="D369" i="36"/>
  <c r="D273" i="36"/>
  <c r="M59" i="31"/>
  <c r="D241" i="36"/>
  <c r="M52" i="31"/>
  <c r="BA85" i="24"/>
  <c r="AX85" i="24"/>
  <c r="F17" i="36"/>
  <c r="F85" i="24"/>
  <c r="M5" i="31"/>
  <c r="C337" i="36"/>
  <c r="M72" i="31"/>
  <c r="C49" i="15"/>
  <c r="G49" i="15" s="1"/>
  <c r="H49" i="15" s="1"/>
  <c r="I49" i="15" s="1"/>
  <c r="AH85" i="24"/>
  <c r="M33" i="31"/>
  <c r="F145" i="36"/>
  <c r="I209" i="36"/>
  <c r="M50" i="31"/>
  <c r="G113" i="36"/>
  <c r="AB85" i="24"/>
  <c r="M27" i="31"/>
  <c r="M76" i="31"/>
  <c r="G337" i="36"/>
  <c r="M21" i="31"/>
  <c r="H81" i="36"/>
  <c r="V85" i="24"/>
  <c r="C49" i="36"/>
  <c r="J85" i="24"/>
  <c r="M9" i="31"/>
  <c r="AE85" i="24"/>
  <c r="C145" i="36"/>
  <c r="M30" i="31"/>
  <c r="AV85" i="24"/>
  <c r="M47" i="31"/>
  <c r="F209" i="36"/>
  <c r="M24" i="31"/>
  <c r="D113" i="36"/>
  <c r="Y85" i="24"/>
  <c r="BY85" i="24"/>
  <c r="E241" i="36"/>
  <c r="M53" i="31"/>
  <c r="M79" i="31"/>
  <c r="C369" i="36"/>
  <c r="M34" i="31"/>
  <c r="G145" i="36"/>
  <c r="AI85" i="24"/>
  <c r="M69" i="31"/>
  <c r="BR85" i="24"/>
  <c r="G305" i="36"/>
  <c r="M8" i="31"/>
  <c r="I85" i="24"/>
  <c r="I17" i="36"/>
  <c r="BH85" i="24"/>
  <c r="D277" i="36" s="1"/>
  <c r="BE85" i="24"/>
  <c r="D337" i="36"/>
  <c r="M73" i="31"/>
  <c r="C273" i="36"/>
  <c r="M58" i="31"/>
  <c r="M35" i="31"/>
  <c r="H145" i="36"/>
  <c r="AJ85" i="24"/>
  <c r="R85" i="24"/>
  <c r="D81" i="36"/>
  <c r="M17" i="31"/>
  <c r="I113" i="36"/>
  <c r="AD85" i="24"/>
  <c r="M29" i="31"/>
  <c r="M57" i="31"/>
  <c r="I241" i="36"/>
  <c r="M38" i="31"/>
  <c r="AM85" i="24"/>
  <c r="D177" i="36"/>
  <c r="G81" i="36"/>
  <c r="M20" i="31"/>
  <c r="U85" i="24"/>
  <c r="M55" i="31"/>
  <c r="BD85" i="24"/>
  <c r="G241" i="36"/>
  <c r="M32" i="31"/>
  <c r="E145" i="36"/>
  <c r="M44" i="31"/>
  <c r="C209" i="36"/>
  <c r="H49" i="36"/>
  <c r="O85" i="24"/>
  <c r="M14" i="31"/>
  <c r="C646" i="24"/>
  <c r="E149" i="36"/>
  <c r="C698" i="24"/>
  <c r="C45" i="15"/>
  <c r="C67" i="24"/>
  <c r="CE52" i="24"/>
  <c r="D305" i="36"/>
  <c r="M66" i="31"/>
  <c r="BO85" i="24"/>
  <c r="M43" i="31"/>
  <c r="I177" i="36"/>
  <c r="M65" i="31"/>
  <c r="C305" i="36"/>
  <c r="AL85" i="24"/>
  <c r="M37" i="31"/>
  <c r="C177" i="36"/>
  <c r="E85" i="24"/>
  <c r="M4" i="31"/>
  <c r="E17" i="36"/>
  <c r="M46" i="31"/>
  <c r="E209" i="36"/>
  <c r="M60" i="31"/>
  <c r="E273" i="36"/>
  <c r="H273" i="36"/>
  <c r="M63" i="31"/>
  <c r="M40" i="31"/>
  <c r="F177" i="36"/>
  <c r="E81" i="36"/>
  <c r="S85" i="24"/>
  <c r="M18" i="31"/>
  <c r="P85" i="24"/>
  <c r="M15" i="31"/>
  <c r="I49" i="36"/>
  <c r="C702" i="24"/>
  <c r="F181" i="36"/>
  <c r="C706" i="24"/>
  <c r="C53" i="15"/>
  <c r="G53" i="15" s="1"/>
  <c r="M75" i="31"/>
  <c r="F337" i="36"/>
  <c r="M78" i="31"/>
  <c r="I337" i="36"/>
  <c r="AF85" i="24"/>
  <c r="C697" i="24" s="1"/>
  <c r="BU85" i="24"/>
  <c r="K85" i="24"/>
  <c r="M10" i="31"/>
  <c r="D49" i="36"/>
  <c r="M74" i="31"/>
  <c r="E337" i="36"/>
  <c r="M51" i="31"/>
  <c r="C241" i="36"/>
  <c r="AZ85" i="24"/>
  <c r="M85" i="24"/>
  <c r="M12" i="31"/>
  <c r="F49" i="36"/>
  <c r="M45" i="31"/>
  <c r="D209" i="36"/>
  <c r="AC85" i="24"/>
  <c r="M28" i="31"/>
  <c r="H113" i="36"/>
  <c r="M54" i="31"/>
  <c r="F241" i="36"/>
  <c r="H85" i="24"/>
  <c r="M7" i="31"/>
  <c r="H17" i="36"/>
  <c r="M71" i="31"/>
  <c r="I305" i="36"/>
  <c r="M48" i="31"/>
  <c r="G209" i="36"/>
  <c r="AW85" i="24"/>
  <c r="CB85" i="24"/>
  <c r="C625" i="24"/>
  <c r="E277" i="36"/>
  <c r="C69" i="15"/>
  <c r="G69" i="15" s="1"/>
  <c r="H69" i="15" s="1"/>
  <c r="I69" i="15" s="1"/>
  <c r="H277" i="36"/>
  <c r="C637" i="24"/>
  <c r="F341" i="36"/>
  <c r="E712" i="34"/>
  <c r="E704" i="34"/>
  <c r="E696" i="34"/>
  <c r="E709" i="34"/>
  <c r="E701" i="34"/>
  <c r="E693" i="34"/>
  <c r="E706" i="34"/>
  <c r="E698" i="34"/>
  <c r="E711" i="34"/>
  <c r="E703" i="34"/>
  <c r="E695" i="34"/>
  <c r="E708" i="34"/>
  <c r="E700" i="34"/>
  <c r="E692" i="34"/>
  <c r="E713" i="34"/>
  <c r="E705" i="34"/>
  <c r="E697" i="34"/>
  <c r="E681" i="34"/>
  <c r="E673" i="34"/>
  <c r="E686" i="34"/>
  <c r="E678" i="34"/>
  <c r="E670" i="34"/>
  <c r="E647" i="34"/>
  <c r="E646" i="34"/>
  <c r="E645" i="34"/>
  <c r="E629" i="34"/>
  <c r="E626" i="34"/>
  <c r="E699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716" i="34"/>
  <c r="E710" i="34"/>
  <c r="E689" i="34"/>
  <c r="E680" i="34"/>
  <c r="E672" i="34"/>
  <c r="E690" i="34"/>
  <c r="E688" i="34"/>
  <c r="E685" i="34"/>
  <c r="E677" i="34"/>
  <c r="E669" i="34"/>
  <c r="E627" i="34"/>
  <c r="E682" i="34"/>
  <c r="E674" i="34"/>
  <c r="E702" i="34"/>
  <c r="E694" i="34"/>
  <c r="E684" i="34"/>
  <c r="E676" i="34"/>
  <c r="E668" i="34"/>
  <c r="E628" i="34"/>
  <c r="E625" i="34"/>
  <c r="E687" i="34"/>
  <c r="E691" i="34"/>
  <c r="E679" i="34"/>
  <c r="E707" i="34"/>
  <c r="E671" i="34"/>
  <c r="C138" i="8"/>
  <c r="D417" i="24"/>
  <c r="C72" i="15" l="1"/>
  <c r="G72" i="15" s="1"/>
  <c r="C636" i="24"/>
  <c r="G63" i="15"/>
  <c r="H63" i="15" s="1"/>
  <c r="I63" i="15" s="1"/>
  <c r="C44" i="15"/>
  <c r="G44" i="15" s="1"/>
  <c r="D149" i="36"/>
  <c r="C631" i="24"/>
  <c r="C61" i="15"/>
  <c r="G213" i="36"/>
  <c r="C684" i="24"/>
  <c r="C31" i="15"/>
  <c r="G31" i="15" s="1"/>
  <c r="E85" i="36"/>
  <c r="C17" i="36"/>
  <c r="CE67" i="24"/>
  <c r="I369" i="36" s="1"/>
  <c r="J369" i="36" s="1"/>
  <c r="C85" i="24"/>
  <c r="M2" i="31"/>
  <c r="I117" i="36"/>
  <c r="C42" i="15"/>
  <c r="C695" i="24"/>
  <c r="H85" i="36"/>
  <c r="C687" i="24"/>
  <c r="C34" i="15"/>
  <c r="H181" i="36"/>
  <c r="C55" i="15"/>
  <c r="G55" i="15" s="1"/>
  <c r="C708" i="24"/>
  <c r="E53" i="36"/>
  <c r="C677" i="24"/>
  <c r="C24" i="15"/>
  <c r="G24" i="15" s="1"/>
  <c r="F309" i="36"/>
  <c r="C81" i="15"/>
  <c r="G81" i="15" s="1"/>
  <c r="C623" i="24"/>
  <c r="C92" i="15"/>
  <c r="G92" i="15" s="1"/>
  <c r="C622" i="24"/>
  <c r="C373" i="36"/>
  <c r="D53" i="36"/>
  <c r="C23" i="15"/>
  <c r="G23" i="15" s="1"/>
  <c r="C676" i="24"/>
  <c r="C64" i="15"/>
  <c r="C245" i="36"/>
  <c r="C628" i="24"/>
  <c r="C341" i="36"/>
  <c r="C85" i="15"/>
  <c r="G85" i="15" s="1"/>
  <c r="C641" i="24"/>
  <c r="G309" i="36"/>
  <c r="C82" i="15"/>
  <c r="G82" i="15" s="1"/>
  <c r="C626" i="24"/>
  <c r="F213" i="36"/>
  <c r="C713" i="24"/>
  <c r="C60" i="15"/>
  <c r="C18" i="15"/>
  <c r="G18" i="15" s="1"/>
  <c r="F21" i="36"/>
  <c r="C671" i="24"/>
  <c r="C80" i="15"/>
  <c r="G80" i="15" s="1"/>
  <c r="E309" i="36"/>
  <c r="C621" i="24"/>
  <c r="D181" i="36"/>
  <c r="C704" i="24"/>
  <c r="C51" i="15"/>
  <c r="G51" i="15" s="1"/>
  <c r="C89" i="15"/>
  <c r="G89" i="15" s="1"/>
  <c r="C645" i="24"/>
  <c r="G341" i="36"/>
  <c r="C62" i="15"/>
  <c r="H213" i="36"/>
  <c r="C616" i="24"/>
  <c r="G277" i="36"/>
  <c r="C635" i="24"/>
  <c r="C75" i="15"/>
  <c r="G75" i="15" s="1"/>
  <c r="F277" i="36"/>
  <c r="C74" i="15"/>
  <c r="G74" i="15" s="1"/>
  <c r="C617" i="24"/>
  <c r="C50" i="15"/>
  <c r="C703" i="24"/>
  <c r="C181" i="36"/>
  <c r="G45" i="15"/>
  <c r="H45" i="15" s="1"/>
  <c r="I45" i="15" s="1"/>
  <c r="G53" i="36"/>
  <c r="C679" i="24"/>
  <c r="C26" i="15"/>
  <c r="G26" i="15" s="1"/>
  <c r="H117" i="36"/>
  <c r="C41" i="15"/>
  <c r="C694" i="24"/>
  <c r="E21" i="36"/>
  <c r="C670" i="24"/>
  <c r="C17" i="15"/>
  <c r="D309" i="36"/>
  <c r="C79" i="15"/>
  <c r="G79" i="15" s="1"/>
  <c r="C627" i="24"/>
  <c r="D85" i="36"/>
  <c r="C683" i="24"/>
  <c r="C30" i="15"/>
  <c r="G30" i="15" s="1"/>
  <c r="H245" i="36"/>
  <c r="C614" i="24"/>
  <c r="G149" i="36"/>
  <c r="C700" i="24"/>
  <c r="C47" i="15"/>
  <c r="G47" i="15" s="1"/>
  <c r="C690" i="24"/>
  <c r="D117" i="36"/>
  <c r="C37" i="15"/>
  <c r="C696" i="24"/>
  <c r="C149" i="36"/>
  <c r="C43" i="15"/>
  <c r="F149" i="36"/>
  <c r="C46" i="15"/>
  <c r="G46" i="15" s="1"/>
  <c r="C699" i="24"/>
  <c r="D245" i="36"/>
  <c r="C65" i="15"/>
  <c r="C630" i="24"/>
  <c r="C35" i="15"/>
  <c r="I85" i="36"/>
  <c r="C688" i="24"/>
  <c r="C21" i="15"/>
  <c r="G21" i="15" s="1"/>
  <c r="I21" i="36"/>
  <c r="C674" i="24"/>
  <c r="G21" i="36"/>
  <c r="C19" i="15"/>
  <c r="G19" i="15" s="1"/>
  <c r="C672" i="24"/>
  <c r="C624" i="24"/>
  <c r="C68" i="15"/>
  <c r="G68" i="15" s="1"/>
  <c r="G245" i="36"/>
  <c r="H149" i="36"/>
  <c r="C48" i="15"/>
  <c r="C701" i="24"/>
  <c r="C85" i="36"/>
  <c r="C682" i="24"/>
  <c r="C29" i="15"/>
  <c r="C117" i="36"/>
  <c r="C689" i="24"/>
  <c r="C36" i="15"/>
  <c r="C673" i="24"/>
  <c r="C20" i="15"/>
  <c r="G20" i="15" s="1"/>
  <c r="H21" i="36"/>
  <c r="G85" i="36"/>
  <c r="C686" i="24"/>
  <c r="C33" i="15"/>
  <c r="C25" i="15"/>
  <c r="G25" i="15" s="1"/>
  <c r="F53" i="36"/>
  <c r="C678" i="24"/>
  <c r="C691" i="24"/>
  <c r="C38" i="15"/>
  <c r="E117" i="36"/>
  <c r="C692" i="24"/>
  <c r="F117" i="36"/>
  <c r="C39" i="15"/>
  <c r="I53" i="36"/>
  <c r="C28" i="15"/>
  <c r="C681" i="24"/>
  <c r="C27" i="15"/>
  <c r="H53" i="36"/>
  <c r="C680" i="24"/>
  <c r="C22" i="15"/>
  <c r="G22" i="15" s="1"/>
  <c r="C675" i="24"/>
  <c r="C53" i="36"/>
  <c r="C693" i="24"/>
  <c r="G117" i="36"/>
  <c r="C40" i="15"/>
  <c r="G40" i="15" s="1"/>
  <c r="C685" i="24"/>
  <c r="C32" i="15"/>
  <c r="G32" i="15" s="1"/>
  <c r="F85" i="36"/>
  <c r="D21" i="36"/>
  <c r="C669" i="24"/>
  <c r="C16" i="15"/>
  <c r="G16" i="15" s="1"/>
  <c r="E715" i="34"/>
  <c r="F624" i="34"/>
  <c r="C168" i="8"/>
  <c r="D421" i="24"/>
  <c r="G64" i="15" l="1"/>
  <c r="H64" i="15" s="1"/>
  <c r="I64" i="15" s="1"/>
  <c r="G34" i="15"/>
  <c r="H34" i="15"/>
  <c r="I34" i="15" s="1"/>
  <c r="G29" i="15"/>
  <c r="H29" i="15" s="1"/>
  <c r="G43" i="15"/>
  <c r="H43" i="15" s="1"/>
  <c r="G33" i="15"/>
  <c r="H33" i="15" s="1"/>
  <c r="I33" i="15" s="1"/>
  <c r="G35" i="15"/>
  <c r="H35" i="15" s="1"/>
  <c r="G17" i="15"/>
  <c r="H17" i="15" s="1"/>
  <c r="I17" i="15" s="1"/>
  <c r="G27" i="15"/>
  <c r="H27" i="15" s="1"/>
  <c r="I27" i="15" s="1"/>
  <c r="H65" i="15"/>
  <c r="I65" i="15" s="1"/>
  <c r="G65" i="15"/>
  <c r="G37" i="15"/>
  <c r="H37" i="15" s="1"/>
  <c r="G42" i="15"/>
  <c r="H42" i="15"/>
  <c r="G28" i="15"/>
  <c r="H28" i="15" s="1"/>
  <c r="I28" i="15" s="1"/>
  <c r="G48" i="15"/>
  <c r="H48" i="15" s="1"/>
  <c r="G38" i="15"/>
  <c r="H38" i="15"/>
  <c r="G41" i="15"/>
  <c r="H41" i="15" s="1"/>
  <c r="D615" i="24"/>
  <c r="C648" i="24"/>
  <c r="M716" i="24" s="1"/>
  <c r="G36" i="15"/>
  <c r="H36" i="15" s="1"/>
  <c r="G39" i="15"/>
  <c r="H39" i="15" s="1"/>
  <c r="G50" i="15"/>
  <c r="H50" i="15" s="1"/>
  <c r="I50" i="15" s="1"/>
  <c r="C15" i="15"/>
  <c r="C21" i="36"/>
  <c r="C668" i="24"/>
  <c r="C715" i="24" s="1"/>
  <c r="CE85" i="24"/>
  <c r="F709" i="34"/>
  <c r="F701" i="34"/>
  <c r="F693" i="34"/>
  <c r="F706" i="34"/>
  <c r="F698" i="34"/>
  <c r="F690" i="34"/>
  <c r="F711" i="34"/>
  <c r="F703" i="34"/>
  <c r="F708" i="34"/>
  <c r="F700" i="34"/>
  <c r="F692" i="34"/>
  <c r="F713" i="34"/>
  <c r="F705" i="34"/>
  <c r="F697" i="34"/>
  <c r="F710" i="34"/>
  <c r="F702" i="34"/>
  <c r="F694" i="34"/>
  <c r="F704" i="34"/>
  <c r="F686" i="34"/>
  <c r="F678" i="34"/>
  <c r="F670" i="34"/>
  <c r="F647" i="34"/>
  <c r="F646" i="34"/>
  <c r="F645" i="34"/>
  <c r="F629" i="34"/>
  <c r="F626" i="34"/>
  <c r="F699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716" i="34"/>
  <c r="F695" i="34"/>
  <c r="F689" i="34"/>
  <c r="F680" i="34"/>
  <c r="F672" i="34"/>
  <c r="F688" i="34"/>
  <c r="F685" i="34"/>
  <c r="F677" i="34"/>
  <c r="F669" i="34"/>
  <c r="F627" i="34"/>
  <c r="F712" i="34"/>
  <c r="F682" i="34"/>
  <c r="F674" i="34"/>
  <c r="F707" i="34"/>
  <c r="F691" i="34"/>
  <c r="F687" i="34"/>
  <c r="F679" i="34"/>
  <c r="F671" i="34"/>
  <c r="F625" i="34"/>
  <c r="F681" i="34"/>
  <c r="F673" i="34"/>
  <c r="F684" i="34"/>
  <c r="F676" i="34"/>
  <c r="F696" i="34"/>
  <c r="F668" i="34"/>
  <c r="F628" i="34"/>
  <c r="C172" i="8"/>
  <c r="D424" i="24"/>
  <c r="C177" i="8" s="1"/>
  <c r="G15" i="15" l="1"/>
  <c r="H15" i="15" s="1"/>
  <c r="I15" i="15" s="1"/>
  <c r="D687" i="24"/>
  <c r="D713" i="24"/>
  <c r="D694" i="24"/>
  <c r="D709" i="24"/>
  <c r="D698" i="24"/>
  <c r="D706" i="24"/>
  <c r="D699" i="24"/>
  <c r="D624" i="24"/>
  <c r="D641" i="24"/>
  <c r="D618" i="24"/>
  <c r="D705" i="24"/>
  <c r="D686" i="24"/>
  <c r="D701" i="24"/>
  <c r="D645" i="24"/>
  <c r="D629" i="24"/>
  <c r="D691" i="24"/>
  <c r="D640" i="24"/>
  <c r="D692" i="24"/>
  <c r="D707" i="24"/>
  <c r="D671" i="24"/>
  <c r="D628" i="24"/>
  <c r="D679" i="24"/>
  <c r="D682" i="24"/>
  <c r="D633" i="24"/>
  <c r="D683" i="24"/>
  <c r="D684" i="24"/>
  <c r="D644" i="24"/>
  <c r="D646" i="24"/>
  <c r="D702" i="24"/>
  <c r="D622" i="24"/>
  <c r="D708" i="24"/>
  <c r="D697" i="24"/>
  <c r="D712" i="24"/>
  <c r="D693" i="24"/>
  <c r="D627" i="24"/>
  <c r="D678" i="24"/>
  <c r="D626" i="24"/>
  <c r="D639" i="24"/>
  <c r="D637" i="24"/>
  <c r="D632" i="24"/>
  <c r="D700" i="24"/>
  <c r="D704" i="24"/>
  <c r="D685" i="24"/>
  <c r="D675" i="24"/>
  <c r="D621" i="24"/>
  <c r="D638" i="24"/>
  <c r="D625" i="24"/>
  <c r="D673" i="24"/>
  <c r="D677" i="24"/>
  <c r="D674" i="24"/>
  <c r="D619" i="24"/>
  <c r="D689" i="24"/>
  <c r="D716" i="24"/>
  <c r="D631" i="24"/>
  <c r="D696" i="24"/>
  <c r="D617" i="24"/>
  <c r="D630" i="24"/>
  <c r="D711" i="24"/>
  <c r="D688" i="24"/>
  <c r="D670" i="24"/>
  <c r="D668" i="24"/>
  <c r="D647" i="24"/>
  <c r="D635" i="24"/>
  <c r="D681" i="24"/>
  <c r="D690" i="24"/>
  <c r="D616" i="24"/>
  <c r="D703" i="24"/>
  <c r="D676" i="24"/>
  <c r="D710" i="24"/>
  <c r="D680" i="24"/>
  <c r="D620" i="24"/>
  <c r="D623" i="24"/>
  <c r="D669" i="24"/>
  <c r="D642" i="24"/>
  <c r="D636" i="24"/>
  <c r="D643" i="24"/>
  <c r="D695" i="24"/>
  <c r="D672" i="24"/>
  <c r="D634" i="24"/>
  <c r="C716" i="24"/>
  <c r="I373" i="36"/>
  <c r="F715" i="34"/>
  <c r="G625" i="34"/>
  <c r="E623" i="24" l="1"/>
  <c r="D715" i="24"/>
  <c r="E612" i="24"/>
  <c r="G706" i="34"/>
  <c r="G698" i="34"/>
  <c r="G690" i="34"/>
  <c r="G711" i="34"/>
  <c r="G703" i="34"/>
  <c r="G695" i="34"/>
  <c r="G708" i="34"/>
  <c r="G700" i="34"/>
  <c r="G713" i="34"/>
  <c r="G705" i="34"/>
  <c r="G697" i="34"/>
  <c r="G689" i="34"/>
  <c r="G710" i="34"/>
  <c r="G702" i="34"/>
  <c r="G694" i="34"/>
  <c r="G716" i="34"/>
  <c r="G707" i="34"/>
  <c r="G699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92" i="34"/>
  <c r="G680" i="34"/>
  <c r="G672" i="34"/>
  <c r="G688" i="34"/>
  <c r="G685" i="34"/>
  <c r="G677" i="34"/>
  <c r="G669" i="34"/>
  <c r="G627" i="34"/>
  <c r="G712" i="34"/>
  <c r="G701" i="34"/>
  <c r="G682" i="34"/>
  <c r="G674" i="34"/>
  <c r="G693" i="34"/>
  <c r="G687" i="34"/>
  <c r="G679" i="34"/>
  <c r="G671" i="34"/>
  <c r="G696" i="34"/>
  <c r="G684" i="34"/>
  <c r="G676" i="34"/>
  <c r="G668" i="34"/>
  <c r="G628" i="34"/>
  <c r="G709" i="34"/>
  <c r="G704" i="34"/>
  <c r="G686" i="34"/>
  <c r="G678" i="34"/>
  <c r="G670" i="34"/>
  <c r="G647" i="34"/>
  <c r="G646" i="34"/>
  <c r="G645" i="34"/>
  <c r="G629" i="34"/>
  <c r="G626" i="34"/>
  <c r="G673" i="34"/>
  <c r="G681" i="34"/>
  <c r="E692" i="24" l="1"/>
  <c r="E673" i="24"/>
  <c r="E699" i="24"/>
  <c r="E669" i="24"/>
  <c r="E695" i="24"/>
  <c r="E680" i="24"/>
  <c r="E641" i="24"/>
  <c r="E633" i="24"/>
  <c r="E644" i="24"/>
  <c r="E689" i="24"/>
  <c r="E635" i="24"/>
  <c r="E684" i="24"/>
  <c r="E710" i="24"/>
  <c r="E691" i="24"/>
  <c r="E706" i="24"/>
  <c r="E679" i="24"/>
  <c r="E672" i="24"/>
  <c r="E640" i="24"/>
  <c r="E632" i="24"/>
  <c r="E647" i="24"/>
  <c r="E716" i="24"/>
  <c r="E677" i="24"/>
  <c r="E676" i="24"/>
  <c r="E702" i="24"/>
  <c r="E683" i="24"/>
  <c r="E698" i="24"/>
  <c r="E712" i="24"/>
  <c r="E668" i="24"/>
  <c r="E639" i="24"/>
  <c r="E631" i="24"/>
  <c r="E688" i="24"/>
  <c r="E671" i="24"/>
  <c r="E707" i="24"/>
  <c r="E642" i="24"/>
  <c r="E713" i="24"/>
  <c r="E694" i="24"/>
  <c r="E709" i="24"/>
  <c r="E690" i="24"/>
  <c r="E674" i="24"/>
  <c r="E629" i="24"/>
  <c r="E638" i="24"/>
  <c r="E630" i="24"/>
  <c r="E687" i="24"/>
  <c r="E708" i="24"/>
  <c r="E703" i="24"/>
  <c r="E681" i="24"/>
  <c r="E627" i="24"/>
  <c r="E634" i="24"/>
  <c r="E705" i="24"/>
  <c r="E686" i="24"/>
  <c r="E701" i="24"/>
  <c r="E682" i="24"/>
  <c r="E646" i="24"/>
  <c r="E626" i="24"/>
  <c r="E637" i="24"/>
  <c r="E624" i="24"/>
  <c r="E675" i="24"/>
  <c r="E645" i="24"/>
  <c r="E700" i="24"/>
  <c r="E711" i="24"/>
  <c r="E697" i="24"/>
  <c r="E678" i="24"/>
  <c r="E693" i="24"/>
  <c r="E704" i="24"/>
  <c r="E625" i="24"/>
  <c r="E696" i="24"/>
  <c r="E636" i="24"/>
  <c r="E628" i="24"/>
  <c r="E685" i="24"/>
  <c r="E643" i="24"/>
  <c r="E670" i="24"/>
  <c r="G715" i="34"/>
  <c r="H628" i="34"/>
  <c r="E715" i="24" l="1"/>
  <c r="F624" i="24"/>
  <c r="H711" i="34"/>
  <c r="H703" i="34"/>
  <c r="H695" i="34"/>
  <c r="H708" i="34"/>
  <c r="H700" i="34"/>
  <c r="H692" i="34"/>
  <c r="H713" i="34"/>
  <c r="H705" i="34"/>
  <c r="H710" i="34"/>
  <c r="H702" i="34"/>
  <c r="H694" i="34"/>
  <c r="H716" i="34"/>
  <c r="H707" i="34"/>
  <c r="H699" i="34"/>
  <c r="H691" i="34"/>
  <c r="H712" i="34"/>
  <c r="H704" i="34"/>
  <c r="H696" i="34"/>
  <c r="H680" i="34"/>
  <c r="H672" i="34"/>
  <c r="H706" i="34"/>
  <c r="H697" i="34"/>
  <c r="H689" i="34"/>
  <c r="H688" i="34"/>
  <c r="H685" i="34"/>
  <c r="H677" i="34"/>
  <c r="H669" i="34"/>
  <c r="H701" i="34"/>
  <c r="H682" i="34"/>
  <c r="H674" i="34"/>
  <c r="H693" i="34"/>
  <c r="H690" i="34"/>
  <c r="H687" i="34"/>
  <c r="H679" i="34"/>
  <c r="H671" i="34"/>
  <c r="H684" i="34"/>
  <c r="H676" i="34"/>
  <c r="H668" i="34"/>
  <c r="H698" i="34"/>
  <c r="H681" i="34"/>
  <c r="H673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70" i="34"/>
  <c r="H646" i="34"/>
  <c r="H645" i="34"/>
  <c r="H629" i="34"/>
  <c r="H709" i="34"/>
  <c r="H686" i="34"/>
  <c r="H678" i="34"/>
  <c r="H647" i="34"/>
  <c r="F644" i="24" l="1"/>
  <c r="F683" i="24"/>
  <c r="F713" i="24"/>
  <c r="F692" i="24"/>
  <c r="F672" i="24"/>
  <c r="F706" i="24"/>
  <c r="F632" i="24"/>
  <c r="F716" i="24"/>
  <c r="F687" i="24"/>
  <c r="F697" i="24"/>
  <c r="F680" i="24"/>
  <c r="F690" i="24"/>
  <c r="F628" i="24"/>
  <c r="F642" i="24"/>
  <c r="F686" i="24"/>
  <c r="F626" i="24"/>
  <c r="F685" i="24"/>
  <c r="F696" i="24"/>
  <c r="F670" i="24"/>
  <c r="F678" i="24"/>
  <c r="F669" i="24"/>
  <c r="F701" i="24"/>
  <c r="F699" i="24"/>
  <c r="F634" i="24"/>
  <c r="F700" i="24"/>
  <c r="F710" i="24"/>
  <c r="F702" i="24"/>
  <c r="F709" i="24"/>
  <c r="F682" i="24"/>
  <c r="F691" i="24"/>
  <c r="F712" i="24"/>
  <c r="F643" i="24"/>
  <c r="F637" i="24"/>
  <c r="F668" i="24"/>
  <c r="F673" i="24"/>
  <c r="F645" i="24"/>
  <c r="F703" i="24"/>
  <c r="F639" i="24"/>
  <c r="F629" i="24"/>
  <c r="F698" i="24"/>
  <c r="F633" i="24"/>
  <c r="F635" i="24"/>
  <c r="F681" i="24"/>
  <c r="F671" i="24"/>
  <c r="F646" i="24"/>
  <c r="F704" i="24"/>
  <c r="F631" i="24"/>
  <c r="F707" i="24"/>
  <c r="F638" i="24"/>
  <c r="F679" i="24"/>
  <c r="F695" i="24"/>
  <c r="F684" i="24"/>
  <c r="F647" i="24"/>
  <c r="F641" i="24"/>
  <c r="F677" i="24"/>
  <c r="F711" i="24"/>
  <c r="F688" i="24"/>
  <c r="F630" i="24"/>
  <c r="F676" i="24"/>
  <c r="F708" i="24"/>
  <c r="F689" i="24"/>
  <c r="F674" i="24"/>
  <c r="F675" i="24"/>
  <c r="F627" i="24"/>
  <c r="F694" i="24"/>
  <c r="F625" i="24"/>
  <c r="F705" i="24"/>
  <c r="F693" i="24"/>
  <c r="F636" i="24"/>
  <c r="F640" i="24"/>
  <c r="H715" i="34"/>
  <c r="I629" i="34"/>
  <c r="F715" i="24" l="1"/>
  <c r="G625" i="24"/>
  <c r="I708" i="34"/>
  <c r="I700" i="34"/>
  <c r="I692" i="34"/>
  <c r="I713" i="34"/>
  <c r="I705" i="34"/>
  <c r="I697" i="34"/>
  <c r="I689" i="34"/>
  <c r="I710" i="34"/>
  <c r="I702" i="34"/>
  <c r="I716" i="34"/>
  <c r="I707" i="34"/>
  <c r="I699" i="34"/>
  <c r="I691" i="34"/>
  <c r="I712" i="34"/>
  <c r="I704" i="34"/>
  <c r="I696" i="34"/>
  <c r="I709" i="34"/>
  <c r="I701" i="34"/>
  <c r="I693" i="34"/>
  <c r="I706" i="34"/>
  <c r="I688" i="34"/>
  <c r="I685" i="34"/>
  <c r="I677" i="34"/>
  <c r="I669" i="34"/>
  <c r="I695" i="34"/>
  <c r="I682" i="34"/>
  <c r="I674" i="34"/>
  <c r="I690" i="34"/>
  <c r="I687" i="34"/>
  <c r="I679" i="34"/>
  <c r="I671" i="34"/>
  <c r="I703" i="34"/>
  <c r="I684" i="34"/>
  <c r="I676" i="34"/>
  <c r="I668" i="34"/>
  <c r="I698" i="34"/>
  <c r="I681" i="34"/>
  <c r="I673" i="34"/>
  <c r="I686" i="34"/>
  <c r="I678" i="34"/>
  <c r="I670" i="34"/>
  <c r="I647" i="34"/>
  <c r="I646" i="34"/>
  <c r="I645" i="34"/>
  <c r="I711" i="34"/>
  <c r="I680" i="34"/>
  <c r="I672" i="34"/>
  <c r="I642" i="34"/>
  <c r="I638" i="34"/>
  <c r="I634" i="34"/>
  <c r="I630" i="34"/>
  <c r="I683" i="34"/>
  <c r="I641" i="34"/>
  <c r="I637" i="34"/>
  <c r="I633" i="34"/>
  <c r="I675" i="34"/>
  <c r="I644" i="34"/>
  <c r="I640" i="34"/>
  <c r="I636" i="34"/>
  <c r="I632" i="34"/>
  <c r="I643" i="34"/>
  <c r="I639" i="34"/>
  <c r="I635" i="34"/>
  <c r="I631" i="34"/>
  <c r="I694" i="34"/>
  <c r="G686" i="24" l="1"/>
  <c r="G629" i="24"/>
  <c r="G671" i="24"/>
  <c r="G716" i="24"/>
  <c r="G681" i="24"/>
  <c r="G669" i="24"/>
  <c r="G692" i="24"/>
  <c r="G670" i="24"/>
  <c r="G641" i="24"/>
  <c r="G705" i="24"/>
  <c r="G690" i="24"/>
  <c r="G680" i="24"/>
  <c r="G644" i="24"/>
  <c r="G702" i="24"/>
  <c r="G689" i="24"/>
  <c r="G712" i="24"/>
  <c r="G707" i="24"/>
  <c r="G695" i="24"/>
  <c r="G628" i="24"/>
  <c r="G710" i="24"/>
  <c r="G642" i="24"/>
  <c r="G646" i="24"/>
  <c r="G709" i="24"/>
  <c r="G697" i="24"/>
  <c r="G676" i="24"/>
  <c r="G693" i="24"/>
  <c r="G704" i="24"/>
  <c r="G640" i="24"/>
  <c r="G631" i="24"/>
  <c r="G691" i="24"/>
  <c r="G698" i="24"/>
  <c r="G645" i="24"/>
  <c r="G703" i="24"/>
  <c r="G637" i="24"/>
  <c r="G679" i="24"/>
  <c r="G672" i="24"/>
  <c r="G713" i="24"/>
  <c r="G708" i="24"/>
  <c r="G685" i="24"/>
  <c r="G694" i="24"/>
  <c r="G647" i="24"/>
  <c r="G688" i="24"/>
  <c r="G687" i="24"/>
  <c r="G630" i="24"/>
  <c r="G635" i="24"/>
  <c r="G627" i="24"/>
  <c r="G636" i="24"/>
  <c r="G643" i="24"/>
  <c r="G683" i="24"/>
  <c r="G682" i="24"/>
  <c r="G639" i="24"/>
  <c r="G696" i="24"/>
  <c r="G634" i="24"/>
  <c r="G706" i="24"/>
  <c r="G674" i="24"/>
  <c r="G632" i="24"/>
  <c r="G678" i="24"/>
  <c r="G684" i="24"/>
  <c r="G638" i="24"/>
  <c r="G701" i="24"/>
  <c r="G633" i="24"/>
  <c r="G626" i="24"/>
  <c r="G673" i="24"/>
  <c r="G711" i="24"/>
  <c r="G675" i="24"/>
  <c r="G668" i="24"/>
  <c r="G677" i="24"/>
  <c r="G700" i="24"/>
  <c r="G699" i="24"/>
  <c r="I715" i="34"/>
  <c r="J630" i="34"/>
  <c r="G715" i="24" l="1"/>
  <c r="H628" i="24"/>
  <c r="J713" i="34"/>
  <c r="J705" i="34"/>
  <c r="J697" i="34"/>
  <c r="J689" i="34"/>
  <c r="J710" i="34"/>
  <c r="J702" i="34"/>
  <c r="J694" i="34"/>
  <c r="J716" i="34"/>
  <c r="J707" i="34"/>
  <c r="J699" i="34"/>
  <c r="J712" i="34"/>
  <c r="J704" i="34"/>
  <c r="J696" i="34"/>
  <c r="J688" i="34"/>
  <c r="J709" i="34"/>
  <c r="J701" i="34"/>
  <c r="J693" i="34"/>
  <c r="J706" i="34"/>
  <c r="J698" i="34"/>
  <c r="J695" i="34"/>
  <c r="J692" i="34"/>
  <c r="J682" i="34"/>
  <c r="J674" i="34"/>
  <c r="J690" i="34"/>
  <c r="J687" i="34"/>
  <c r="J679" i="34"/>
  <c r="J671" i="34"/>
  <c r="J708" i="34"/>
  <c r="J703" i="34"/>
  <c r="J684" i="34"/>
  <c r="J676" i="34"/>
  <c r="J668" i="34"/>
  <c r="J681" i="34"/>
  <c r="J673" i="34"/>
  <c r="J691" i="34"/>
  <c r="J686" i="34"/>
  <c r="J678" i="34"/>
  <c r="J670" i="34"/>
  <c r="J647" i="34"/>
  <c r="J646" i="34"/>
  <c r="J645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85" i="34"/>
  <c r="J677" i="34"/>
  <c r="J669" i="34"/>
  <c r="J711" i="34"/>
  <c r="J680" i="34"/>
  <c r="J672" i="34"/>
  <c r="J700" i="34"/>
  <c r="H692" i="24" l="1"/>
  <c r="H712" i="24"/>
  <c r="H645" i="24"/>
  <c r="H688" i="24"/>
  <c r="H668" i="24"/>
  <c r="H693" i="24"/>
  <c r="H641" i="24"/>
  <c r="H682" i="24"/>
  <c r="H681" i="24"/>
  <c r="H671" i="24"/>
  <c r="H635" i="24"/>
  <c r="H706" i="24"/>
  <c r="H636" i="24"/>
  <c r="H687" i="24"/>
  <c r="H640" i="24"/>
  <c r="H705" i="24"/>
  <c r="H670" i="24"/>
  <c r="H716" i="24"/>
  <c r="H634" i="24"/>
  <c r="H676" i="24"/>
  <c r="H633" i="24"/>
  <c r="H691" i="24"/>
  <c r="H708" i="24"/>
  <c r="H686" i="24"/>
  <c r="H677" i="24"/>
  <c r="H689" i="24"/>
  <c r="H713" i="24"/>
  <c r="H673" i="24"/>
  <c r="H696" i="24"/>
  <c r="H698" i="24"/>
  <c r="H679" i="24"/>
  <c r="H701" i="24"/>
  <c r="H672" i="24"/>
  <c r="H637" i="24"/>
  <c r="H632" i="24"/>
  <c r="H711" i="24"/>
  <c r="H647" i="24"/>
  <c r="H675" i="24"/>
  <c r="H643" i="24"/>
  <c r="H631" i="24"/>
  <c r="H704" i="24"/>
  <c r="H702" i="24"/>
  <c r="H695" i="24"/>
  <c r="H697" i="24"/>
  <c r="H710" i="24"/>
  <c r="H674" i="24"/>
  <c r="H646" i="24"/>
  <c r="H683" i="24"/>
  <c r="H700" i="24"/>
  <c r="H629" i="24"/>
  <c r="H690" i="24"/>
  <c r="H642" i="24"/>
  <c r="H684" i="24"/>
  <c r="H680" i="24"/>
  <c r="H685" i="24"/>
  <c r="H644" i="24"/>
  <c r="H669" i="24"/>
  <c r="H707" i="24"/>
  <c r="H639" i="24"/>
  <c r="H703" i="24"/>
  <c r="H694" i="24"/>
  <c r="H709" i="24"/>
  <c r="H630" i="24"/>
  <c r="H699" i="24"/>
  <c r="H678" i="24"/>
  <c r="H638" i="24"/>
  <c r="L647" i="34"/>
  <c r="K644" i="34"/>
  <c r="J715" i="34"/>
  <c r="H715" i="24" l="1"/>
  <c r="I629" i="24"/>
  <c r="K710" i="34"/>
  <c r="K702" i="34"/>
  <c r="K694" i="34"/>
  <c r="K716" i="34"/>
  <c r="K707" i="34"/>
  <c r="K699" i="34"/>
  <c r="K691" i="34"/>
  <c r="K712" i="34"/>
  <c r="K704" i="34"/>
  <c r="K709" i="34"/>
  <c r="K701" i="34"/>
  <c r="K693" i="34"/>
  <c r="K706" i="34"/>
  <c r="K698" i="34"/>
  <c r="K690" i="34"/>
  <c r="K711" i="34"/>
  <c r="K703" i="34"/>
  <c r="K695" i="34"/>
  <c r="K713" i="34"/>
  <c r="K697" i="34"/>
  <c r="K689" i="34"/>
  <c r="K687" i="34"/>
  <c r="K679" i="34"/>
  <c r="K671" i="34"/>
  <c r="K708" i="34"/>
  <c r="K684" i="34"/>
  <c r="K676" i="34"/>
  <c r="K668" i="34"/>
  <c r="K681" i="34"/>
  <c r="K673" i="34"/>
  <c r="K686" i="34"/>
  <c r="K678" i="34"/>
  <c r="K670" i="34"/>
  <c r="K705" i="34"/>
  <c r="K696" i="34"/>
  <c r="K683" i="34"/>
  <c r="K675" i="34"/>
  <c r="K700" i="34"/>
  <c r="K680" i="34"/>
  <c r="K672" i="34"/>
  <c r="K692" i="34"/>
  <c r="K688" i="34"/>
  <c r="K682" i="34"/>
  <c r="K674" i="34"/>
  <c r="K677" i="34"/>
  <c r="K669" i="34"/>
  <c r="K685" i="34"/>
  <c r="L716" i="34"/>
  <c r="L707" i="34"/>
  <c r="M707" i="34" s="1"/>
  <c r="L699" i="34"/>
  <c r="L691" i="34"/>
  <c r="L712" i="34"/>
  <c r="L704" i="34"/>
  <c r="M704" i="34" s="1"/>
  <c r="L696" i="34"/>
  <c r="L709" i="34"/>
  <c r="M709" i="34" s="1"/>
  <c r="L701" i="34"/>
  <c r="M701" i="34" s="1"/>
  <c r="L706" i="34"/>
  <c r="M706" i="34" s="1"/>
  <c r="L698" i="34"/>
  <c r="M698" i="34" s="1"/>
  <c r="L690" i="34"/>
  <c r="L711" i="34"/>
  <c r="L703" i="34"/>
  <c r="M703" i="34" s="1"/>
  <c r="L695" i="34"/>
  <c r="M695" i="34" s="1"/>
  <c r="L708" i="34"/>
  <c r="M708" i="34" s="1"/>
  <c r="L700" i="34"/>
  <c r="M700" i="34" s="1"/>
  <c r="L692" i="34"/>
  <c r="M692" i="34" s="1"/>
  <c r="L684" i="34"/>
  <c r="M684" i="34" s="1"/>
  <c r="L676" i="34"/>
  <c r="M676" i="34" s="1"/>
  <c r="L668" i="34"/>
  <c r="L681" i="34"/>
  <c r="M681" i="34" s="1"/>
  <c r="L673" i="34"/>
  <c r="M673" i="34" s="1"/>
  <c r="L710" i="34"/>
  <c r="M710" i="34" s="1"/>
  <c r="L693" i="34"/>
  <c r="M693" i="34" s="1"/>
  <c r="L686" i="34"/>
  <c r="M686" i="34" s="1"/>
  <c r="L678" i="34"/>
  <c r="L670" i="34"/>
  <c r="M670" i="34" s="1"/>
  <c r="L705" i="34"/>
  <c r="L683" i="34"/>
  <c r="M683" i="34" s="1"/>
  <c r="L675" i="34"/>
  <c r="M675" i="34" s="1"/>
  <c r="L680" i="34"/>
  <c r="M680" i="34" s="1"/>
  <c r="L672" i="34"/>
  <c r="M672" i="34" s="1"/>
  <c r="L694" i="34"/>
  <c r="M694" i="34" s="1"/>
  <c r="L685" i="34"/>
  <c r="M685" i="34" s="1"/>
  <c r="L677" i="34"/>
  <c r="M677" i="34" s="1"/>
  <c r="L669" i="34"/>
  <c r="M669" i="34" s="1"/>
  <c r="L713" i="34"/>
  <c r="M713" i="34" s="1"/>
  <c r="L697" i="34"/>
  <c r="M697" i="34" s="1"/>
  <c r="L689" i="34"/>
  <c r="M689" i="34" s="1"/>
  <c r="L687" i="34"/>
  <c r="M687" i="34" s="1"/>
  <c r="L679" i="34"/>
  <c r="M679" i="34" s="1"/>
  <c r="L671" i="34"/>
  <c r="L688" i="34"/>
  <c r="M688" i="34" s="1"/>
  <c r="L702" i="34"/>
  <c r="M702" i="34" s="1"/>
  <c r="L682" i="34"/>
  <c r="M682" i="34" s="1"/>
  <c r="L674" i="34"/>
  <c r="M674" i="34" s="1"/>
  <c r="I678" i="24" l="1"/>
  <c r="I712" i="24"/>
  <c r="I679" i="24"/>
  <c r="I641" i="24"/>
  <c r="I640" i="24"/>
  <c r="I699" i="24"/>
  <c r="I643" i="24"/>
  <c r="I670" i="24"/>
  <c r="I638" i="24"/>
  <c r="I680" i="24"/>
  <c r="I703" i="24"/>
  <c r="I668" i="24"/>
  <c r="I693" i="24"/>
  <c r="I698" i="24"/>
  <c r="I633" i="24"/>
  <c r="I632" i="24"/>
  <c r="I688" i="24"/>
  <c r="I694" i="24"/>
  <c r="I707" i="24"/>
  <c r="I642" i="24"/>
  <c r="I635" i="24"/>
  <c r="I674" i="24"/>
  <c r="I691" i="24"/>
  <c r="I684" i="24"/>
  <c r="I644" i="24"/>
  <c r="I669" i="24"/>
  <c r="I709" i="24"/>
  <c r="I630" i="24"/>
  <c r="I677" i="24"/>
  <c r="I701" i="24"/>
  <c r="I671" i="24"/>
  <c r="I676" i="24"/>
  <c r="I689" i="24"/>
  <c r="I704" i="24"/>
  <c r="I696" i="24"/>
  <c r="I672" i="24"/>
  <c r="I695" i="24"/>
  <c r="I700" i="24"/>
  <c r="I646" i="24"/>
  <c r="I685" i="24"/>
  <c r="I690" i="24"/>
  <c r="I647" i="24"/>
  <c r="I706" i="24"/>
  <c r="I682" i="24"/>
  <c r="I686" i="24"/>
  <c r="I634" i="24"/>
  <c r="I681" i="24"/>
  <c r="I673" i="24"/>
  <c r="I708" i="24"/>
  <c r="I639" i="24"/>
  <c r="I687" i="24"/>
  <c r="I697" i="24"/>
  <c r="I705" i="24"/>
  <c r="I702" i="24"/>
  <c r="I713" i="24"/>
  <c r="I637" i="24"/>
  <c r="I675" i="24"/>
  <c r="I645" i="24"/>
  <c r="I716" i="24"/>
  <c r="I683" i="24"/>
  <c r="I631" i="24"/>
  <c r="I692" i="24"/>
  <c r="I710" i="24"/>
  <c r="I711" i="24"/>
  <c r="I636" i="24"/>
  <c r="M696" i="34"/>
  <c r="M705" i="34"/>
  <c r="L715" i="34"/>
  <c r="M668" i="34"/>
  <c r="M711" i="34"/>
  <c r="M712" i="34"/>
  <c r="K715" i="34"/>
  <c r="M690" i="34"/>
  <c r="M691" i="34"/>
  <c r="M671" i="34"/>
  <c r="M678" i="34"/>
  <c r="M699" i="34"/>
  <c r="I715" i="24" l="1"/>
  <c r="J630" i="24"/>
  <c r="M715" i="34"/>
  <c r="J699" i="24" l="1"/>
  <c r="J673" i="24"/>
  <c r="J704" i="24"/>
  <c r="J683" i="24"/>
  <c r="J689" i="24"/>
  <c r="J684" i="24"/>
  <c r="J679" i="24"/>
  <c r="J643" i="24"/>
  <c r="J716" i="24"/>
  <c r="J690" i="24"/>
  <c r="J641" i="24"/>
  <c r="J709" i="24"/>
  <c r="J687" i="24"/>
  <c r="J639" i="24"/>
  <c r="J638" i="24"/>
  <c r="J646" i="24"/>
  <c r="J634" i="24"/>
  <c r="J676" i="24"/>
  <c r="J681" i="24"/>
  <c r="J633" i="24"/>
  <c r="J682" i="24"/>
  <c r="J696" i="24"/>
  <c r="J631" i="24"/>
  <c r="J697" i="24"/>
  <c r="J712" i="24"/>
  <c r="J677" i="24"/>
  <c r="J668" i="24"/>
  <c r="J678" i="24"/>
  <c r="J675" i="24"/>
  <c r="J702" i="24"/>
  <c r="J707" i="24"/>
  <c r="J713" i="24"/>
  <c r="J708" i="24"/>
  <c r="J680" i="24"/>
  <c r="J644" i="24"/>
  <c r="J688" i="24"/>
  <c r="J637" i="24"/>
  <c r="J695" i="24"/>
  <c r="J698" i="24"/>
  <c r="J693" i="24"/>
  <c r="J691" i="24"/>
  <c r="J645" i="24"/>
  <c r="J671" i="24"/>
  <c r="J672" i="24"/>
  <c r="J640" i="24"/>
  <c r="J700" i="24"/>
  <c r="J692" i="24"/>
  <c r="J685" i="24"/>
  <c r="J706" i="24"/>
  <c r="J669" i="24"/>
  <c r="J701" i="24"/>
  <c r="J642" i="24"/>
  <c r="J711" i="24"/>
  <c r="J686" i="24"/>
  <c r="J694" i="24"/>
  <c r="J632" i="24"/>
  <c r="J670" i="24"/>
  <c r="J647" i="24"/>
  <c r="J703" i="24"/>
  <c r="J635" i="24"/>
  <c r="J636" i="24"/>
  <c r="J705" i="24"/>
  <c r="J710" i="24"/>
  <c r="J674" i="24"/>
  <c r="J715" i="24" l="1"/>
  <c r="K644" i="24"/>
  <c r="L647" i="24"/>
  <c r="L675" i="24" l="1"/>
  <c r="L711" i="24"/>
  <c r="L710" i="24"/>
  <c r="L695" i="24"/>
  <c r="L691" i="24"/>
  <c r="L678" i="24"/>
  <c r="L700" i="24"/>
  <c r="L693" i="24"/>
  <c r="L684" i="24"/>
  <c r="L680" i="24"/>
  <c r="L668" i="24"/>
  <c r="L687" i="24"/>
  <c r="L685" i="24"/>
  <c r="L682" i="24"/>
  <c r="L689" i="24"/>
  <c r="L692" i="24"/>
  <c r="L673" i="24"/>
  <c r="L683" i="24"/>
  <c r="L702" i="24"/>
  <c r="L713" i="24"/>
  <c r="L686" i="24"/>
  <c r="L707" i="24"/>
  <c r="L704" i="24"/>
  <c r="L681" i="24"/>
  <c r="L688" i="24"/>
  <c r="L670" i="24"/>
  <c r="L672" i="24"/>
  <c r="L694" i="24"/>
  <c r="L696" i="24"/>
  <c r="L709" i="24"/>
  <c r="L669" i="24"/>
  <c r="L674" i="24"/>
  <c r="L690" i="24"/>
  <c r="L703" i="24"/>
  <c r="L697" i="24"/>
  <c r="L705" i="24"/>
  <c r="L699" i="24"/>
  <c r="L671" i="24"/>
  <c r="L677" i="24"/>
  <c r="L679" i="24"/>
  <c r="L701" i="24"/>
  <c r="L676" i="24"/>
  <c r="L698" i="24"/>
  <c r="L708" i="24"/>
  <c r="L712" i="24"/>
  <c r="L716" i="24"/>
  <c r="L706" i="24"/>
  <c r="K699" i="24"/>
  <c r="K676" i="24"/>
  <c r="K687" i="24"/>
  <c r="K705" i="24"/>
  <c r="K668" i="24"/>
  <c r="K704" i="24"/>
  <c r="K680" i="24"/>
  <c r="K691" i="24"/>
  <c r="K713" i="24"/>
  <c r="K675" i="24"/>
  <c r="K677" i="24"/>
  <c r="K709" i="24"/>
  <c r="K682" i="24"/>
  <c r="K693" i="24"/>
  <c r="K686" i="24"/>
  <c r="K683" i="24"/>
  <c r="K694" i="24"/>
  <c r="K716" i="24"/>
  <c r="K673" i="24"/>
  <c r="K702" i="24"/>
  <c r="K678" i="24"/>
  <c r="K701" i="24"/>
  <c r="K685" i="24"/>
  <c r="K710" i="24"/>
  <c r="K670" i="24"/>
  <c r="K707" i="24"/>
  <c r="K711" i="24"/>
  <c r="K700" i="24"/>
  <c r="K681" i="24"/>
  <c r="K688" i="24"/>
  <c r="K696" i="24"/>
  <c r="K703" i="24"/>
  <c r="K692" i="24"/>
  <c r="K672" i="24"/>
  <c r="K698" i="24"/>
  <c r="K697" i="24"/>
  <c r="K708" i="24"/>
  <c r="K674" i="24"/>
  <c r="K690" i="24"/>
  <c r="K671" i="24"/>
  <c r="K684" i="24"/>
  <c r="K695" i="24"/>
  <c r="K706" i="24"/>
  <c r="K679" i="24"/>
  <c r="K712" i="24"/>
  <c r="K689" i="24"/>
  <c r="K669" i="24"/>
  <c r="M679" i="24" l="1"/>
  <c r="M709" i="24"/>
  <c r="I183" i="36" s="1"/>
  <c r="M707" i="24"/>
  <c r="G183" i="36" s="1"/>
  <c r="M682" i="24"/>
  <c r="C87" i="36" s="1"/>
  <c r="M678" i="24"/>
  <c r="M676" i="24"/>
  <c r="D55" i="36" s="1"/>
  <c r="M671" i="24"/>
  <c r="F23" i="36" s="1"/>
  <c r="M705" i="24"/>
  <c r="E183" i="36" s="1"/>
  <c r="M674" i="24"/>
  <c r="I23" i="36" s="1"/>
  <c r="M681" i="24"/>
  <c r="I55" i="36" s="1"/>
  <c r="M712" i="24"/>
  <c r="E215" i="36" s="1"/>
  <c r="M692" i="24"/>
  <c r="M693" i="24"/>
  <c r="M706" i="24"/>
  <c r="F183" i="36" s="1"/>
  <c r="M677" i="24"/>
  <c r="M669" i="24"/>
  <c r="D23" i="36" s="1"/>
  <c r="M704" i="24"/>
  <c r="D183" i="36" s="1"/>
  <c r="M689" i="24"/>
  <c r="C119" i="36" s="1"/>
  <c r="M700" i="24"/>
  <c r="G151" i="36" s="1"/>
  <c r="M699" i="24"/>
  <c r="F151" i="36" s="1"/>
  <c r="M696" i="24"/>
  <c r="C151" i="36" s="1"/>
  <c r="M686" i="24"/>
  <c r="G87" i="36" s="1"/>
  <c r="M685" i="24"/>
  <c r="F87" i="36" s="1"/>
  <c r="M691" i="24"/>
  <c r="K715" i="24"/>
  <c r="M694" i="24"/>
  <c r="H119" i="36" s="1"/>
  <c r="M713" i="24"/>
  <c r="F215" i="36" s="1"/>
  <c r="M687" i="24"/>
  <c r="H87" i="36" s="1"/>
  <c r="M695" i="24"/>
  <c r="I119" i="36" s="1"/>
  <c r="M708" i="24"/>
  <c r="H183" i="36" s="1"/>
  <c r="M698" i="24"/>
  <c r="E151" i="36" s="1"/>
  <c r="M697" i="24"/>
  <c r="D151" i="36" s="1"/>
  <c r="M672" i="24"/>
  <c r="G23" i="36" s="1"/>
  <c r="M702" i="24"/>
  <c r="I151" i="36" s="1"/>
  <c r="L715" i="24"/>
  <c r="M668" i="24"/>
  <c r="M710" i="24"/>
  <c r="C215" i="36" s="1"/>
  <c r="M703" i="24"/>
  <c r="C183" i="36" s="1"/>
  <c r="M670" i="24"/>
  <c r="E23" i="36" s="1"/>
  <c r="M683" i="24"/>
  <c r="D87" i="36" s="1"/>
  <c r="M680" i="24"/>
  <c r="H55" i="36" s="1"/>
  <c r="M711" i="24"/>
  <c r="D215" i="36" s="1"/>
  <c r="M701" i="24"/>
  <c r="H151" i="36" s="1"/>
  <c r="M690" i="24"/>
  <c r="D119" i="36" s="1"/>
  <c r="M688" i="24"/>
  <c r="I87" i="36" s="1"/>
  <c r="M673" i="24"/>
  <c r="H23" i="36" s="1"/>
  <c r="M684" i="24"/>
  <c r="E87" i="36" s="1"/>
  <c r="M675" i="24"/>
  <c r="C55" i="36" s="1"/>
  <c r="E119" i="36" l="1"/>
  <c r="E55" i="36"/>
  <c r="G119" i="36"/>
  <c r="G55" i="36"/>
  <c r="C23" i="36"/>
  <c r="M715" i="24"/>
  <c r="F55" i="36"/>
  <c r="F119" i="36"/>
</calcChain>
</file>

<file path=xl/sharedStrings.xml><?xml version="1.0" encoding="utf-8"?>
<sst xmlns="http://schemas.openxmlformats.org/spreadsheetml/2006/main" count="4870" uniqueCount="1380">
  <si>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</si>
  <si>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</si>
  <si>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</si>
  <si>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</si>
  <si>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</si>
  <si>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</si>
  <si>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</si>
  <si>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</si>
  <si>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</si>
  <si>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</si>
  <si>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</si>
  <si>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</si>
  <si>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</si>
  <si>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</si>
  <si>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</si>
  <si>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</si>
  <si>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</si>
  <si>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</si>
  <si>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</si>
  <si>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</si>
  <si>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</si>
  <si>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</si>
  <si>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</si>
  <si>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</si>
  <si>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</si>
  <si>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</si>
  <si>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</si>
  <si>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</si>
  <si>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</si>
  <si>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</si>
  <si>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</si>
  <si>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</si>
  <si>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</si>
  <si>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</si>
  <si>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</si>
  <si>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</si>
  <si>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</si>
  <si>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</si>
  <si>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</si>
  <si>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</si>
  <si>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</si>
  <si>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</si>
  <si>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</si>
  <si>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</si>
  <si>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</si>
  <si>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</si>
  <si>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</si>
  <si>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</si>
  <si>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</si>
  <si>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</si>
  <si>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</si>
  <si>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</si>
  <si>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</si>
  <si>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</si>
  <si>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</si>
  <si>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</si>
  <si>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</si>
  <si>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</si>
  <si>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</si>
  <si>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</si>
  <si>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</si>
  <si>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</si>
  <si>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</si>
  <si>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</si>
  <si>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</si>
  <si>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</si>
  <si>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</si>
  <si>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</si>
  <si>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</si>
  <si>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</si>
  <si>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</si>
  <si>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</si>
  <si>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</si>
  <si>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</si>
  <si>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</si>
  <si>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</si>
  <si>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</si>
  <si>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</si>
  <si>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</si>
  <si>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</si>
  <si>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</si>
  <si>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</si>
  <si>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</si>
  <si>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</si>
  <si>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</si>
  <si>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</si>
  <si>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</si>
  <si>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</si>
  <si>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</si>
  <si>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</si>
  <si>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</si>
  <si>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</si>
  <si>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</si>
  <si>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</si>
  <si>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</si>
  <si>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</si>
  <si>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</si>
  <si>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</si>
  <si>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</si>
  <si>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</si>
  <si>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</si>
  <si>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</si>
  <si>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</si>
  <si>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</si>
  <si>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</si>
  <si>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</si>
  <si>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</si>
  <si>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</si>
  <si>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</si>
  <si>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</si>
  <si>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</si>
  <si>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</si>
  <si>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</si>
  <si>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</si>
  <si>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</si>
  <si>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</si>
  <si>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</si>
  <si>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</si>
  <si>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</si>
  <si>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</si>
  <si>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</si>
  <si>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</si>
  <si>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</si>
  <si>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</si>
  <si>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</si>
  <si>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</si>
  <si>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</si>
  <si>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</si>
  <si>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</si>
  <si>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</si>
  <si>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</si>
  <si>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</si>
  <si>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</si>
  <si>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</si>
  <si>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</si>
  <si>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</si>
  <si>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</si>
  <si>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</si>
  <si>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</si>
  <si>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</si>
  <si>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</si>
  <si>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</si>
  <si>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</si>
  <si>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</si>
  <si>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</si>
  <si>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</si>
  <si>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</si>
  <si>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</si>
  <si>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</si>
  <si>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</si>
  <si>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</si>
  <si>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</si>
  <si>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</si>
  <si>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</si>
  <si>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</si>
  <si>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</si>
  <si>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</si>
  <si>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</si>
  <si>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</si>
  <si>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</si>
  <si>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</si>
  <si>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</si>
  <si>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</si>
  <si>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</si>
  <si>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</si>
  <si>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</si>
  <si>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</si>
  <si>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</si>
  <si>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</si>
  <si>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</si>
  <si>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</si>
  <si>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</si>
  <si>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</si>
  <si>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</si>
  <si>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</si>
  <si>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</si>
  <si>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</si>
  <si>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</si>
  <si>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</si>
  <si>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</si>
  <si>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</si>
  <si>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</si>
  <si>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</si>
  <si>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</si>
  <si>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</si>
  <si>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</si>
  <si>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</si>
  <si>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</si>
  <si>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</si>
  <si>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</si>
  <si>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</si>
  <si>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</si>
  <si>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</si>
  <si>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</si>
  <si>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</si>
  <si>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</si>
  <si>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</si>
  <si>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</si>
  <si>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</si>
  <si>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</si>
  <si>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</si>
  <si>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</si>
  <si>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</si>
  <si>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</si>
  <si>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</si>
  <si>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</si>
  <si>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</si>
  <si>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</si>
  <si>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</si>
  <si>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</si>
  <si>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</si>
  <si>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</si>
  <si>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</si>
  <si>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</si>
  <si>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</si>
  <si>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</si>
  <si>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</si>
  <si>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</si>
  <si>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</si>
  <si>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</si>
  <si>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</si>
  <si>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</si>
  <si>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</si>
  <si>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</si>
  <si>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</si>
  <si>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</si>
  <si>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</si>
  <si>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</si>
  <si>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</si>
  <si>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</si>
  <si>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</si>
  <si>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</si>
  <si>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</si>
  <si>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</si>
  <si>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</si>
  <si>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</si>
  <si>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</si>
  <si>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</si>
  <si>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</si>
  <si>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</si>
  <si>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</si>
  <si>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</si>
  <si>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</si>
  <si>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</si>
  <si>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</si>
  <si>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</si>
  <si>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</si>
  <si>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</si>
  <si>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</si>
  <si>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</si>
  <si>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</si>
  <si>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</si>
  <si>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</si>
  <si>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</si>
  <si>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</si>
  <si>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</si>
  <si>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</si>
  <si>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</si>
  <si>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</si>
  <si>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</si>
  <si>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</si>
  <si>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</si>
  <si>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</si>
  <si>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</si>
  <si>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</si>
  <si>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</si>
  <si>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</si>
  <si>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</si>
  <si>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</si>
  <si>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</si>
  <si>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</si>
  <si>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</si>
  <si>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</si>
  <si>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</si>
  <si>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</si>
  <si>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</si>
  <si>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</si>
  <si>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</si>
  <si>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</si>
  <si>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</si>
  <si>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</si>
  <si>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</si>
  <si>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</si>
  <si>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</si>
  <si>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</si>
  <si>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</si>
  <si>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</si>
  <si>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</si>
  <si>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</si>
  <si>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</si>
  <si>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</si>
  <si>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</si>
  <si>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</si>
  <si>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</si>
  <si>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</si>
  <si>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</si>
  <si>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</si>
  <si>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6/30/2023</t>
  </si>
  <si>
    <t>License Number</t>
  </si>
  <si>
    <t>:</t>
  </si>
  <si>
    <t>201</t>
  </si>
  <si>
    <t>Hospital Name</t>
  </si>
  <si>
    <t>St. Francis Hospital</t>
  </si>
  <si>
    <t>Mailing Address</t>
  </si>
  <si>
    <t>34515 9th Ave S</t>
  </si>
  <si>
    <t>City</t>
  </si>
  <si>
    <t>Federal Way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</si>
  <si>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</si>
  <si>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</si>
  <si>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</si>
  <si>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</si>
  <si>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</si>
  <si>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</si>
  <si>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</si>
  <si>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</si>
  <si>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</si>
  <si>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</si>
  <si>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</si>
  <si>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</si>
  <si>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253-944-8100</t>
  </si>
  <si>
    <t>Facsimile Number</t>
  </si>
  <si>
    <t>253-428-8313</t>
  </si>
  <si>
    <t>Name of Submitter</t>
  </si>
  <si>
    <t>Caroline Leung</t>
  </si>
  <si>
    <t>Email of Submitter</t>
  </si>
  <si>
    <t>caroline.leung@commonspirit.org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</si>
  <si>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</si>
  <si>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</si>
  <si>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</si>
  <si>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</si>
  <si>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</si>
  <si>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</si>
  <si>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</si>
  <si>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</si>
  <si>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</si>
  <si>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</si>
  <si>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</si>
  <si>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</si>
  <si>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</si>
  <si>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</si>
  <si>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</si>
  <si>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</si>
  <si>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</si>
  <si>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</si>
  <si>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</si>
  <si>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</si>
  <si>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</si>
  <si>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</si>
  <si>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</si>
  <si>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</si>
  <si>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</si>
  <si>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</si>
  <si>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</si>
  <si>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</si>
  <si>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</si>
  <si>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</si>
  <si>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</si>
  <si>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</si>
  <si>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</si>
  <si>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</si>
  <si>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</si>
  <si>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</si>
  <si>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</si>
  <si>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</si>
  <si>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</si>
  <si>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</si>
  <si>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</si>
  <si>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</si>
  <si>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</si>
  <si>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</si>
  <si>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</si>
  <si>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</si>
  <si>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</si>
  <si>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</si>
  <si>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</si>
  <si>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</si>
  <si>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</si>
  <si>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</si>
  <si>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</si>
  <si>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</si>
  <si>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</si>
  <si>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</si>
  <si>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</si>
  <si>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</si>
  <si>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</si>
  <si>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</si>
  <si>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</si>
  <si>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</si>
  <si>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</si>
  <si>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</si>
  <si>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</si>
  <si>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</si>
  <si>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</si>
  <si>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</si>
  <si>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</si>
  <si>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</si>
  <si>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</si>
  <si>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</si>
  <si>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</si>
  <si>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</si>
  <si>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</si>
  <si>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</si>
  <si>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</si>
  <si>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</si>
  <si>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</si>
  <si>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</si>
  <si>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</si>
  <si>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</si>
  <si>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</si>
  <si>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</si>
  <si>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</si>
  <si>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</si>
  <si>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</si>
  <si>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</si>
  <si>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</si>
  <si>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</si>
  <si>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</si>
  <si>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</si>
  <si>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</si>
  <si>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</si>
  <si>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</si>
  <si>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</si>
  <si>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</si>
  <si>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</si>
  <si>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</si>
  <si>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</si>
  <si>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</si>
  <si>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</si>
  <si>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</si>
  <si>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</si>
  <si>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</si>
  <si>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</si>
  <si>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</si>
  <si>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</si>
  <si>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</si>
  <si>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</si>
  <si>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</si>
  <si>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</si>
  <si>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</si>
  <si>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</si>
  <si>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</si>
  <si>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</si>
  <si>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</si>
  <si>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</si>
  <si>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</si>
  <si>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</si>
  <si>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</si>
  <si>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</si>
  <si>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</si>
  <si>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</si>
  <si>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</si>
  <si>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</si>
  <si>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</si>
  <si>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</si>
  <si>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</si>
  <si>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</si>
  <si>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</si>
  <si>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</si>
  <si>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</si>
  <si>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</si>
  <si>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</si>
  <si>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</si>
  <si>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</si>
  <si>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</si>
  <si>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</si>
  <si>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</si>
  <si>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</si>
  <si>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</si>
  <si>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</si>
  <si>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</si>
  <si>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</si>
  <si>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</si>
  <si>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</si>
  <si>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</si>
  <si>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</si>
  <si>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</si>
  <si>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</si>
  <si>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</si>
  <si>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</si>
  <si>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</si>
  <si>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</si>
  <si>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</si>
  <si>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</si>
  <si>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</si>
  <si>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</si>
  <si>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</si>
  <si>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</si>
  <si>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</si>
  <si>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</si>
  <si>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</si>
  <si>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</si>
  <si>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</si>
  <si>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</si>
  <si>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</si>
  <si>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</si>
  <si>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</si>
  <si>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</si>
  <si>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</si>
  <si>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</si>
  <si>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</si>
  <si>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</si>
  <si>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</si>
  <si>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</si>
  <si>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</si>
  <si>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</si>
  <si>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</si>
  <si>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</si>
  <si>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</si>
  <si>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</si>
  <si>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</si>
  <si>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</si>
  <si>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</si>
  <si>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</si>
  <si>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</si>
  <si>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</si>
  <si>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</si>
  <si>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</si>
  <si>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</si>
  <si>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</si>
  <si>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</si>
  <si>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</si>
  <si>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</si>
  <si>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</si>
  <si>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</si>
  <si>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</si>
  <si>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</si>
  <si>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</si>
  <si>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</si>
  <si>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</si>
  <si>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</si>
  <si>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</si>
  <si>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</si>
  <si>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</si>
  <si>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</si>
  <si>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</si>
  <si>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</si>
  <si>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</si>
  <si>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</si>
  <si>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</si>
  <si>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</si>
  <si>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</si>
  <si>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</si>
  <si>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</si>
  <si>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</si>
  <si>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</si>
  <si>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</si>
  <si>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</si>
  <si>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</si>
  <si>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</si>
  <si>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</si>
  <si>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</si>
  <si>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</si>
  <si>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</si>
  <si>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</si>
  <si>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</si>
  <si>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</si>
  <si>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</si>
  <si>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</si>
  <si>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</si>
  <si>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</si>
  <si>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</si>
  <si>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</si>
  <si>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</si>
  <si>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</si>
  <si>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</si>
  <si>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</si>
  <si>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</si>
  <si>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</si>
  <si>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</si>
  <si>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</si>
  <si>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</si>
  <si>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</si>
  <si>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</si>
  <si>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</si>
  <si>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</si>
  <si>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</si>
  <si>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</si>
  <si>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</si>
  <si>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</si>
  <si>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</si>
  <si>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</si>
  <si>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</si>
  <si>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</si>
  <si>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</si>
  <si>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</si>
  <si>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</si>
  <si>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</si>
  <si>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</si>
  <si>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</si>
  <si>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</si>
  <si>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</si>
  <si>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</si>
  <si>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</si>
  <si>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</si>
  <si>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</si>
  <si>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</si>
  <si>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</si>
  <si>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</si>
  <si>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</si>
  <si>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</si>
  <si>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</si>
  <si>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</si>
  <si>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</si>
  <si>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</si>
  <si>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</si>
  <si>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</si>
  <si>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</si>
  <si>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</si>
  <si>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</si>
  <si>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</si>
  <si>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</si>
  <si>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</si>
  <si>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</si>
  <si>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</si>
  <si>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</si>
  <si>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</si>
  <si>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</si>
  <si>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</si>
  <si>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</si>
  <si>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</si>
  <si>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</si>
  <si>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</si>
  <si>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</si>
  <si>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</si>
  <si>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</si>
  <si>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</si>
  <si>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</si>
  <si>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</si>
  <si>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</si>
  <si>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</si>
  <si>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</si>
  <si>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</si>
  <si>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</si>
  <si>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</si>
  <si>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</si>
  <si>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</si>
  <si>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</si>
  <si>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</si>
  <si>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</si>
  <si>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</si>
  <si>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</si>
  <si>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</si>
  <si>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</si>
  <si>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</si>
  <si>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</si>
  <si>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</si>
  <si>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</si>
  <si>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</si>
  <si>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</si>
  <si>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</si>
  <si>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</si>
  <si>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</si>
  <si>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</si>
  <si>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</si>
  <si>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</si>
  <si>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</si>
  <si>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</si>
  <si>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</si>
  <si>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</si>
  <si>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</si>
  <si>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</si>
  <si>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</si>
  <si>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</si>
  <si>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</si>
  <si>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</si>
  <si>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</si>
  <si>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</si>
  <si>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</si>
  <si>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</si>
  <si>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</si>
  <si>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</si>
  <si>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</si>
  <si>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</si>
  <si>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</si>
  <si>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</si>
  <si>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</si>
  <si>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</si>
  <si>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</si>
  <si>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</si>
  <si>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</si>
  <si>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</si>
  <si>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</si>
  <si>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</si>
  <si>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</si>
  <si>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</si>
  <si>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</si>
  <si>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</si>
  <si>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</si>
  <si>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</si>
  <si>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</si>
  <si>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</si>
  <si>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</si>
  <si>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</si>
  <si>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</si>
  <si>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</si>
  <si>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</si>
  <si>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</si>
  <si>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</si>
  <si>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</si>
  <si>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</si>
  <si>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</si>
  <si>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</si>
  <si>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</si>
  <si>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</si>
  <si>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</si>
  <si>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</si>
  <si>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</si>
  <si>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</si>
  <si>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</si>
  <si>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</si>
  <si>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</si>
  <si>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</si>
  <si>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</si>
  <si>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</si>
  <si>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</si>
  <si>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</si>
  <si>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</si>
  <si>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</si>
  <si>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</si>
  <si>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</si>
  <si>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</si>
  <si>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</si>
  <si>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</si>
  <si>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</si>
  <si>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</si>
  <si>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</si>
  <si>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</si>
  <si>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</si>
  <si>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</si>
  <si>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</si>
  <si>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</si>
  <si>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</si>
  <si>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</si>
  <si>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</si>
  <si>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</si>
  <si>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</si>
  <si>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</si>
  <si>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</si>
  <si>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</si>
  <si>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</si>
  <si>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</si>
  <si>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</si>
  <si>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</si>
  <si>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</si>
  <si>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</si>
  <si>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</si>
  <si>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</si>
  <si>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</si>
  <si>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</si>
  <si>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</si>
  <si>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</si>
  <si>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</si>
  <si>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</si>
  <si>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</si>
  <si>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</si>
  <si>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</si>
  <si>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</si>
  <si>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</si>
  <si>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</si>
  <si>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</si>
  <si>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</si>
  <si>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</si>
  <si>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</si>
  <si>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</si>
  <si>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</si>
  <si>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</si>
  <si>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</si>
  <si>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</si>
  <si>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</si>
  <si>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</si>
  <si>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</si>
  <si>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</si>
  <si>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</si>
  <si>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</si>
  <si>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</si>
  <si>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</si>
  <si>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</si>
  <si>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</si>
  <si>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</si>
  <si>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</si>
  <si>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</si>
  <si>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</si>
  <si>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</si>
  <si>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</si>
  <si>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</si>
  <si>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</si>
  <si>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</si>
  <si>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</si>
  <si>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</si>
  <si>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</si>
  <si>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</si>
  <si>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</si>
  <si>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</si>
  <si>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</si>
  <si>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</si>
  <si>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</si>
  <si>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</si>
  <si>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</si>
  <si>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</si>
  <si>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</si>
  <si>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</si>
  <si>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</si>
  <si>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</si>
  <si>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</si>
  <si>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</si>
  <si>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</si>
  <si>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</si>
  <si>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</si>
  <si>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</si>
  <si>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</si>
  <si>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</si>
  <si>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</si>
  <si>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</si>
  <si>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</si>
  <si>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</si>
  <si>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</si>
  <si>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</si>
  <si>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</si>
  <si>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</si>
  <si>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</si>
  <si>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</si>
  <si>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</si>
  <si>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</si>
  <si>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</si>
  <si>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</si>
  <si>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</si>
  <si>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</si>
  <si>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</si>
  <si>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</si>
  <si>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</si>
  <si>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</si>
  <si>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</si>
  <si>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</si>
  <si>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</si>
  <si>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</si>
  <si>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</si>
  <si>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</si>
  <si>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</si>
  <si>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</si>
  <si>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</si>
  <si>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</si>
  <si>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</si>
  <si>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</si>
  <si>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</si>
  <si>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</si>
  <si>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</si>
  <si>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</si>
  <si>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</si>
  <si>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</si>
  <si>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</si>
  <si>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</si>
  <si>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</si>
  <si>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</si>
  <si>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</si>
  <si>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</si>
  <si>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</si>
  <si>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</si>
  <si>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</si>
  <si>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</si>
  <si>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</si>
  <si>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</si>
  <si>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</si>
  <si>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</si>
  <si>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</si>
  <si>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</si>
  <si>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</si>
  <si>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</si>
  <si>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</si>
  <si>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</si>
  <si>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</si>
  <si>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</si>
  <si>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</si>
  <si>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</si>
  <si>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</si>
  <si>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</si>
  <si>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</si>
  <si>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</si>
  <si>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</si>
  <si>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</si>
  <si>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</si>
  <si>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</si>
  <si>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</si>
  <si>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</si>
  <si>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</si>
  <si>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</si>
  <si>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</si>
  <si>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</si>
  <si>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</si>
  <si>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</si>
  <si>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</si>
  <si>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</si>
  <si>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</si>
  <si>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</si>
  <si>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</si>
  <si>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</si>
  <si>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</si>
  <si>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</si>
  <si>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</si>
  <si>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</si>
  <si>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</si>
  <si>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</si>
  <si>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</si>
  <si>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</si>
  <si>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</si>
  <si>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</si>
  <si>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</si>
  <si>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</si>
  <si>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</si>
  <si>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</si>
  <si>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</si>
  <si>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</si>
  <si>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</si>
  <si>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</si>
  <si>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</si>
  <si>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</si>
  <si>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</si>
  <si>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</si>
  <si>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</si>
  <si>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</si>
  <si>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</si>
  <si>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</si>
  <si>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</si>
  <si>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</si>
  <si>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</si>
  <si>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</si>
  <si>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</si>
  <si>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</si>
  <si>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</si>
  <si>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</si>
  <si>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</si>
  <si>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</si>
  <si>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</si>
  <si>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</si>
  <si>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</si>
  <si>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</si>
  <si>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</si>
  <si>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</si>
  <si>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</si>
  <si>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</si>
  <si>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</si>
  <si>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</si>
  <si>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</si>
  <si>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</si>
  <si>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</si>
  <si>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</si>
  <si>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</si>
  <si>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</si>
  <si>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</si>
  <si>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</si>
  <si>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</si>
  <si>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</si>
  <si>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</si>
  <si>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</si>
  <si>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</si>
  <si>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</si>
  <si>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</si>
  <si>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</si>
  <si>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</si>
  <si>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</si>
  <si>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</si>
  <si>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</si>
  <si>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</si>
  <si>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</si>
  <si>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</si>
  <si>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</si>
  <si>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</si>
  <si>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</si>
  <si>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</si>
  <si>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</si>
  <si>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</si>
  <si>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</si>
  <si>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</si>
  <si>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</si>
  <si>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</si>
  <si>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</si>
  <si>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</si>
  <si>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</si>
  <si>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</si>
  <si>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</si>
  <si>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</si>
  <si>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</si>
  <si>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</si>
  <si>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</si>
  <si>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</si>
  <si>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</si>
  <si>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</si>
  <si>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</si>
  <si>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</si>
  <si>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</si>
  <si>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</si>
  <si>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</si>
  <si>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</si>
  <si>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</si>
  <si>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</si>
  <si>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</si>
  <si>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</si>
  <si>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</si>
  <si>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</si>
  <si>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</si>
  <si>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</si>
  <si>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</si>
  <si>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</si>
  <si>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</si>
  <si>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</si>
  <si>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</si>
  <si>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</si>
  <si>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</si>
  <si>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</si>
  <si>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</si>
  <si>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</si>
  <si>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</si>
  <si>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</si>
  <si>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</si>
  <si>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</si>
  <si>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</si>
  <si>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</si>
  <si>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</si>
  <si>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</si>
  <si>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</si>
  <si>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</si>
  <si>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</si>
  <si>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</si>
  <si>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</si>
  <si>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</si>
  <si>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</si>
  <si>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</si>
  <si>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</si>
  <si>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</si>
  <si>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</si>
  <si>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</si>
  <si>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</si>
  <si>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</si>
  <si>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</si>
  <si>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</si>
  <si>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</si>
  <si>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</si>
  <si>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</si>
  <si>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</si>
  <si>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</si>
  <si>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</si>
  <si>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</si>
  <si>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</si>
  <si>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</si>
  <si>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</si>
  <si>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</si>
  <si>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</si>
  <si>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</si>
  <si>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</si>
  <si>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</si>
  <si>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</si>
  <si>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</si>
  <si>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</si>
  <si>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</si>
  <si>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</si>
  <si>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</si>
  <si>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</si>
  <si>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</si>
  <si>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</si>
  <si>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</si>
  <si>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</si>
  <si>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</si>
  <si>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</si>
  <si>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</si>
  <si>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</si>
  <si>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</si>
  <si>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</si>
  <si>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</si>
  <si>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</si>
  <si>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</si>
  <si>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</si>
  <si>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</si>
  <si>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</si>
  <si>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</si>
  <si>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</si>
  <si>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</si>
  <si>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</si>
  <si>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</si>
  <si>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</si>
  <si>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</si>
  <si>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</si>
  <si>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</si>
  <si>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</si>
  <si>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</si>
  <si>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</si>
  <si>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</si>
  <si>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</si>
  <si>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</si>
  <si>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</si>
  <si>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</si>
  <si>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</si>
  <si>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</si>
  <si>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</si>
  <si>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</si>
  <si>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</si>
  <si>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</si>
  <si>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</si>
  <si>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</si>
  <si>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</si>
  <si>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</si>
  <si>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</si>
  <si>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</si>
  <si>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</si>
  <si>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</si>
  <si>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</si>
  <si>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</si>
  <si>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</si>
  <si>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</si>
  <si>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</si>
  <si>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</si>
  <si>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</si>
  <si>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</si>
  <si>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</si>
  <si>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</si>
  <si>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</si>
  <si>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</si>
  <si>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</si>
  <si>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</si>
  <si>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</si>
  <si>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</si>
  <si>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</si>
  <si>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</si>
  <si>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</si>
  <si>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</si>
  <si>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</si>
  <si>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</si>
  <si>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</si>
  <si>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</si>
  <si>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</si>
  <si>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</si>
  <si>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</si>
  <si>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</si>
  <si>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</si>
  <si>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</si>
  <si>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</si>
  <si>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</si>
  <si>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</si>
  <si>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</si>
  <si>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</si>
  <si>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</si>
  <si>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</si>
  <si>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</si>
  <si>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</si>
  <si>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</si>
  <si>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</si>
  <si>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</si>
  <si>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</si>
  <si>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</si>
  <si>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</si>
  <si>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</si>
  <si>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</si>
  <si>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</si>
  <si>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</si>
  <si>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</si>
  <si>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</si>
  <si>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</si>
  <si>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</si>
  <si>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</si>
  <si>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</si>
  <si>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</si>
  <si>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</si>
  <si>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</si>
  <si>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</si>
  <si>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</si>
  <si>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</si>
  <si>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</si>
  <si>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</si>
  <si>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</si>
  <si>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</si>
  <si>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</si>
  <si>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</si>
  <si>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</si>
  <si>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</si>
  <si>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</si>
  <si>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</si>
  <si>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</si>
  <si>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</si>
  <si>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</si>
  <si>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</si>
  <si>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</si>
  <si>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</si>
  <si>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</si>
  <si>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</si>
  <si>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</si>
  <si>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</si>
  <si>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</si>
  <si>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</si>
  <si>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</si>
  <si>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</si>
  <si>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</si>
  <si>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</si>
  <si>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</si>
  <si>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</si>
  <si>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</si>
  <si>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</si>
  <si>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</si>
  <si>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</si>
  <si>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</si>
  <si>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</si>
  <si>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</si>
  <si>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</si>
  <si>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</si>
  <si>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</si>
  <si>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</si>
  <si>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</si>
  <si>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</si>
  <si>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</si>
  <si>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</si>
  <si>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</si>
  <si>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</si>
  <si>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</si>
  <si>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</si>
  <si>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</si>
  <si>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</si>
  <si>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</si>
  <si>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</si>
  <si>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</si>
  <si>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</si>
  <si>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</si>
  <si>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</si>
  <si>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</si>
  <si>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</si>
  <si>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</si>
  <si>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</si>
  <si>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</si>
  <si>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</si>
  <si>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</si>
  <si>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</si>
  <si>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</si>
  <si>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</si>
  <si>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</si>
  <si>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</si>
  <si>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</si>
  <si>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</si>
  <si>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</si>
  <si>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</si>
  <si>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</si>
  <si>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</si>
  <si>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</si>
  <si>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</si>
  <si>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</si>
  <si>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</si>
  <si>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</si>
  <si>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</si>
  <si>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</si>
  <si>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</si>
  <si>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</si>
  <si>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</si>
  <si>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</si>
  <si>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</si>
  <si>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</si>
  <si>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</si>
  <si>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</si>
  <si>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</si>
  <si>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</si>
  <si>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</si>
  <si>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</si>
  <si>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</si>
  <si>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</si>
  <si>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</si>
  <si>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</si>
  <si>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</si>
  <si>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</si>
  <si>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</si>
  <si>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</si>
  <si>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</si>
  <si>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</si>
  <si>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</si>
  <si>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</si>
  <si>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</si>
  <si>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</si>
  <si>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</si>
  <si>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</si>
  <si>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</si>
  <si>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</si>
  <si>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</si>
  <si>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</si>
  <si>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</si>
  <si>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</si>
  <si>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</si>
  <si>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</si>
  <si>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</si>
  <si>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</si>
  <si>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</si>
  <si>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</si>
  <si>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</si>
  <si>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</si>
  <si>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</si>
  <si>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</si>
  <si>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</si>
  <si>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</si>
  <si>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</si>
  <si>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</si>
  <si>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</si>
  <si>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</si>
  <si>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</si>
  <si>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</si>
  <si>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</si>
  <si>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</si>
  <si>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</si>
  <si>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</si>
  <si>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</si>
  <si>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</si>
  <si>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</si>
  <si>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</si>
  <si>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</si>
  <si>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</si>
  <si>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</si>
  <si>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</si>
  <si>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</si>
  <si>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</si>
  <si>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</si>
  <si>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</si>
  <si>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</si>
  <si>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</si>
  <si>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</si>
  <si>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</si>
  <si>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</si>
  <si>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</si>
  <si>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</si>
  <si>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</si>
  <si>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</si>
  <si>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</si>
  <si>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</si>
  <si>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</si>
  <si>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</si>
  <si>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</si>
  <si>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</si>
  <si>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</si>
  <si>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</si>
  <si>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</si>
  <si>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</si>
  <si>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</si>
  <si>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</si>
  <si>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</si>
  <si>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</si>
  <si>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</si>
  <si>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</si>
  <si>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</si>
  <si>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</si>
  <si>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</si>
  <si>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</si>
  <si>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</si>
  <si>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</si>
  <si>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</si>
  <si>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</si>
  <si>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</si>
  <si>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</si>
  <si>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</si>
  <si>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</si>
  <si>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</si>
  <si>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</si>
  <si>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</si>
  <si>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</si>
  <si>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</si>
  <si>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</si>
  <si>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</si>
  <si>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</si>
  <si>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</si>
  <si>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</si>
  <si>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</si>
  <si>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</si>
  <si>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</si>
  <si>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</si>
  <si>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6/30/2024</t>
  </si>
  <si>
    <t>FY24 Included Post Procedure minutes that weren't included in previous year.</t>
  </si>
  <si>
    <t>Radiology Support Dept close.   The staffs  increased at MRI and as the result</t>
  </si>
  <si>
    <t>Procedure change to include the all billed time as well as documentation time which is unbilled not includes previously</t>
  </si>
  <si>
    <t>Others</t>
  </si>
  <si>
    <t>Cost of Goods Sold - supplies</t>
  </si>
  <si>
    <t xml:space="preserve">   for outpatient pharmacy</t>
  </si>
  <si>
    <t>Travel and meeting</t>
  </si>
  <si>
    <t>License</t>
  </si>
  <si>
    <t>Physician allocated expenses</t>
  </si>
  <si>
    <t>Cybersecurity insurance reimbursement</t>
  </si>
  <si>
    <t>Integrated network reimbursement</t>
  </si>
  <si>
    <t xml:space="preserve">STAT increased is in sync with the increase in revenue. </t>
  </si>
  <si>
    <t>We changed how some of the cost centers roll up to clinic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</si>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</sst>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2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6" borderId="0" xfId="0" applyFont="1" applyFill="1"/>
    <xf numFmtId="37" fontId="11" fillId="6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6" borderId="0" xfId="0" quotePrefix="1" applyFont="1" applyFill="1" applyAlignment="1">
      <alignment horizontal="left"/>
    </xf>
    <xf numFmtId="37" fontId="11" fillId="6" borderId="0" xfId="0" applyFont="1" applyFill="1" applyAlignment="1">
      <alignment horizontal="right"/>
    </xf>
    <xf numFmtId="37" fontId="11" fillId="6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6" borderId="0" xfId="0" applyFont="1" applyFill="1" applyAlignment="1">
      <alignment horizontal="centerContinuous"/>
    </xf>
    <xf numFmtId="37" fontId="11" fillId="6" borderId="0" xfId="0" applyFont="1" applyFill="1" applyAlignment="1">
      <alignment horizontal="left" indent="1"/>
    </xf>
    <xf numFmtId="10" fontId="11" fillId="0" borderId="0" xfId="4" applyNumberFormat="1" applyFont="1"/>
    <xf numFmtId="37" fontId="11" fillId="6" borderId="0" xfId="0" applyFont="1" applyFill="1" applyAlignment="1">
      <alignment horizontal="left" indent="2"/>
    </xf>
    <xf numFmtId="37" fontId="11" fillId="6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6" borderId="0" xfId="1" applyFont="1" applyFill="1"/>
    <xf numFmtId="37" fontId="16" fillId="6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7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8" borderId="0" xfId="0" applyFont="1" applyFill="1"/>
    <xf numFmtId="37" fontId="22" fillId="8" borderId="0" xfId="0" applyFont="1" applyFill="1" applyAlignment="1">
      <alignment horizontal="center"/>
    </xf>
    <xf numFmtId="37" fontId="22" fillId="9" borderId="0" xfId="0" applyFont="1" applyFill="1"/>
    <xf numFmtId="37" fontId="22" fillId="9" borderId="0" xfId="0" applyFont="1" applyFill="1" applyAlignment="1">
      <alignment horizontal="left"/>
    </xf>
    <xf numFmtId="37" fontId="22" fillId="9" borderId="0" xfId="0" applyFont="1" applyFill="1" applyAlignment="1">
      <alignment horizontal="center"/>
    </xf>
    <xf numFmtId="39" fontId="22" fillId="9" borderId="0" xfId="0" applyNumberFormat="1" applyFont="1" applyFill="1"/>
    <xf numFmtId="39" fontId="22" fillId="8" borderId="0" xfId="0" applyNumberFormat="1" applyFont="1" applyFill="1"/>
    <xf numFmtId="37" fontId="11" fillId="6" borderId="0" xfId="0" quotePrefix="1" applyFont="1" applyFill="1" applyAlignment="1">
      <alignment horizontal="fill"/>
    </xf>
    <xf numFmtId="38" fontId="11" fillId="6" borderId="0" xfId="0" applyNumberFormat="1" applyFont="1" applyFill="1"/>
    <xf numFmtId="39" fontId="11" fillId="6" borderId="0" xfId="0" applyNumberFormat="1" applyFont="1" applyFill="1"/>
    <xf numFmtId="2" fontId="11" fillId="6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6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1" borderId="1" xfId="0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28" fillId="11" borderId="1" xfId="0" applyFont="1" applyFill="1" applyBorder="1" applyProtection="1">
      <protection locked="0"/>
    </xf>
    <xf numFmtId="37" fontId="13" fillId="11" borderId="1" xfId="1" quotePrefix="1" applyNumberFormat="1" applyFont="1" applyFill="1" applyBorder="1" applyProtection="1">
      <protection locked="0"/>
    </xf>
    <xf numFmtId="37" fontId="13" fillId="11" borderId="1" xfId="1" applyNumberFormat="1" applyFont="1" applyFill="1" applyBorder="1" applyProtection="1">
      <protection locked="0"/>
    </xf>
    <xf numFmtId="2" fontId="13" fillId="11" borderId="1" xfId="0" quotePrefix="1" applyNumberFormat="1" applyFont="1" applyFill="1" applyBorder="1" applyProtection="1">
      <protection locked="0"/>
    </xf>
    <xf numFmtId="2" fontId="13" fillId="11" borderId="1" xfId="1" quotePrefix="1" applyNumberFormat="1" applyFont="1" applyFill="1" applyBorder="1" applyProtection="1">
      <protection locked="0"/>
    </xf>
    <xf numFmtId="2" fontId="13" fillId="11" borderId="1" xfId="4" quotePrefix="1" applyNumberFormat="1" applyFont="1" applyFill="1" applyBorder="1" applyProtection="1">
      <protection locked="0"/>
    </xf>
    <xf numFmtId="2" fontId="13" fillId="11" borderId="1" xfId="1" applyNumberFormat="1" applyFont="1" applyFill="1" applyBorder="1" applyProtection="1">
      <protection locked="0"/>
    </xf>
    <xf numFmtId="37" fontId="13" fillId="11" borderId="1" xfId="4" quotePrefix="1" applyNumberFormat="1" applyFont="1" applyFill="1" applyBorder="1" applyProtection="1">
      <protection locked="0"/>
    </xf>
    <xf numFmtId="1" fontId="13" fillId="11" borderId="1" xfId="0" quotePrefix="1" applyNumberFormat="1" applyFont="1" applyFill="1" applyBorder="1" applyProtection="1">
      <protection locked="0"/>
    </xf>
    <xf numFmtId="37" fontId="13" fillId="10" borderId="1" xfId="0" quotePrefix="1" applyFont="1" applyFill="1" applyBorder="1" applyProtection="1">
      <protection locked="0"/>
    </xf>
    <xf numFmtId="167" fontId="13" fillId="10" borderId="1" xfId="0" quotePrefix="1" applyNumberFormat="1" applyFont="1" applyFill="1" applyBorder="1" applyProtection="1">
      <protection locked="0"/>
    </xf>
    <xf numFmtId="38" fontId="13" fillId="10" borderId="8" xfId="0" applyNumberFormat="1" applyFont="1" applyFill="1" applyBorder="1" applyProtection="1">
      <protection locked="0"/>
    </xf>
    <xf numFmtId="38" fontId="13" fillId="10" borderId="2" xfId="0" applyNumberFormat="1" applyFont="1" applyFill="1" applyBorder="1" applyProtection="1">
      <protection locked="0"/>
    </xf>
    <xf numFmtId="3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4" xfId="0" applyNumberFormat="1" applyFont="1" applyFill="1" applyBorder="1" applyProtection="1">
      <protection locked="0"/>
    </xf>
    <xf numFmtId="166" fontId="13" fillId="10" borderId="14" xfId="0" applyNumberFormat="1" applyFont="1" applyFill="1" applyBorder="1" applyAlignment="1" applyProtection="1">
      <alignment horizontal="left"/>
      <protection locked="0"/>
    </xf>
    <xf numFmtId="49" fontId="13" fillId="10" borderId="1" xfId="0" quotePrefix="1" applyNumberFormat="1" applyFont="1" applyFill="1" applyBorder="1" applyProtection="1">
      <protection locked="0"/>
    </xf>
    <xf numFmtId="16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" xfId="0" applyNumberFormat="1" applyFont="1" applyFill="1" applyBorder="1" applyProtection="1">
      <protection locked="0"/>
    </xf>
    <xf numFmtId="38" fontId="21" fillId="10" borderId="1" xfId="0" applyNumberFormat="1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7" fontId="13" fillId="10" borderId="1" xfId="0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center"/>
      <protection locked="0"/>
    </xf>
    <xf numFmtId="38" fontId="13" fillId="11" borderId="1" xfId="0" applyNumberFormat="1" applyFont="1" applyFill="1" applyBorder="1" applyProtection="1">
      <protection locked="0"/>
    </xf>
    <xf numFmtId="37" fontId="29" fillId="10" borderId="35" xfId="0" quotePrefix="1" applyFont="1" applyFill="1" applyBorder="1" applyAlignment="1">
      <alignment horizontal="left"/>
    </xf>
    <xf numFmtId="37" fontId="3" fillId="10" borderId="33" xfId="0" applyFont="1" applyFill="1" applyBorder="1"/>
    <xf numFmtId="38" fontId="3" fillId="10" borderId="33" xfId="0" applyNumberFormat="1" applyFont="1" applyFill="1" applyBorder="1"/>
    <xf numFmtId="37" fontId="3" fillId="10" borderId="38" xfId="0" applyFont="1" applyFill="1" applyBorder="1"/>
    <xf numFmtId="37" fontId="3" fillId="10" borderId="36" xfId="0" quotePrefix="1" applyFont="1" applyFill="1" applyBorder="1" applyAlignment="1">
      <alignment vertical="center" readingOrder="1"/>
    </xf>
    <xf numFmtId="37" fontId="3" fillId="10" borderId="0" xfId="0" quotePrefix="1" applyFont="1" applyFill="1" applyAlignment="1">
      <alignment horizontal="left"/>
    </xf>
    <xf numFmtId="38" fontId="3" fillId="10" borderId="0" xfId="0" applyNumberFormat="1" applyFont="1" applyFill="1"/>
    <xf numFmtId="37" fontId="3" fillId="10" borderId="0" xfId="0" applyFont="1" applyFill="1"/>
    <xf numFmtId="37" fontId="3" fillId="10" borderId="39" xfId="0" applyFont="1" applyFill="1" applyBorder="1"/>
    <xf numFmtId="37" fontId="2" fillId="10" borderId="36" xfId="0" quotePrefix="1" applyFont="1" applyFill="1" applyBorder="1"/>
    <xf numFmtId="37" fontId="3" fillId="10" borderId="36" xfId="0" applyFont="1" applyFill="1" applyBorder="1" applyAlignment="1">
      <alignment vertical="center" readingOrder="1"/>
    </xf>
    <xf numFmtId="37" fontId="2" fillId="10" borderId="37" xfId="0" quotePrefix="1" applyFont="1" applyFill="1" applyBorder="1"/>
    <xf numFmtId="37" fontId="3" fillId="10" borderId="34" xfId="0" applyFont="1" applyFill="1" applyBorder="1"/>
    <xf numFmtId="38" fontId="3" fillId="10" borderId="34" xfId="0" applyNumberFormat="1" applyFont="1" applyFill="1" applyBorder="1"/>
    <xf numFmtId="37" fontId="3" fillId="10" borderId="40" xfId="0" applyFont="1" applyFill="1" applyBorder="1"/>
    <xf numFmtId="37" fontId="30" fillId="0" borderId="0" xfId="0" applyFont="1"/>
    <xf numFmtId="37" fontId="11" fillId="10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4" borderId="2" xfId="0" applyFont="1" applyFill="1" applyBorder="1"/>
    <xf numFmtId="37" fontId="23" fillId="5" borderId="2" xfId="0" applyFont="1" applyFill="1" applyBorder="1"/>
    <xf numFmtId="37" fontId="26" fillId="0" borderId="0" xfId="0" applyFont="1"/>
    <xf numFmtId="37" fontId="23" fillId="5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5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5" borderId="2" xfId="0" quotePrefix="1" applyFont="1" applyFill="1" applyBorder="1"/>
    <xf numFmtId="39" fontId="23" fillId="5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5" borderId="2" xfId="0" applyNumberFormat="1" applyFont="1" applyFill="1" applyBorder="1"/>
    <xf numFmtId="2" fontId="23" fillId="0" borderId="2" xfId="0" applyNumberFormat="1" applyFont="1" applyBorder="1"/>
    <xf numFmtId="3" fontId="23" fillId="5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1" borderId="0" xfId="0" applyFont="1" applyFill="1"/>
    <xf numFmtId="2" fontId="11" fillId="11" borderId="0" xfId="0" applyNumberFormat="1" applyFont="1" applyFill="1"/>
    <xf numFmtId="37" fontId="31" fillId="0" borderId="34" xfId="0" applyFont="1" applyBorder="1"/>
    <xf numFmtId="37" fontId="35" fillId="0" borderId="0" xfId="0" applyFont="1"/>
    <xf numFmtId="37" fontId="37" fillId="0" borderId="0" xfId="0" applyFont="1" applyAlignment="1">
      <alignment vertical="center"/>
    </xf>
    <xf numFmtId="37" fontId="29" fillId="0" borderId="0" xfId="0" quotePrefix="1" applyFont="1" applyAlignment="1">
      <alignment horizontal="left"/>
    </xf>
    <xf numFmtId="37" fontId="3" fillId="0" borderId="0" xfId="0" applyFont="1"/>
    <xf numFmtId="38" fontId="3" fillId="0" borderId="0" xfId="0" applyNumberFormat="1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 applyAlignment="1">
      <alignment horizontal="left"/>
    </xf>
    <xf numFmtId="37" fontId="2" fillId="0" borderId="0" xfId="0" quotePrefix="1" applyFont="1"/>
    <xf numFmtId="37" fontId="3" fillId="0" borderId="0" xfId="0" applyFont="1" applyAlignment="1">
      <alignment vertical="center" readingOrder="1"/>
    </xf>
    <xf numFmtId="37" fontId="13" fillId="3" borderId="0" xfId="0" applyFont="1" applyFill="1" applyAlignment="1">
      <alignment horizontal="center" vertical="center"/>
    </xf>
    <xf numFmtId="37" fontId="38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688788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235" y="0"/>
          <a:ext cx="1854200" cy="544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O\Department%20of%20Health%20Reports\DOH%20FY24\3%20-%20Templates\102%20SFH%20YE201\2024%20Replica%20Template%20102-932%20cwl%20review-12.27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ing"/>
      <sheetName val="data"/>
      <sheetName val="LawsonDrillInfo"/>
      <sheetName val="Responses-1"/>
      <sheetName val="Responses-2"/>
      <sheetName val="1XX9XXIS"/>
      <sheetName val="1XX9XXBS"/>
      <sheetName val="93XAlloc"/>
      <sheetName val="Capital"/>
      <sheetName val="Lookup"/>
      <sheetName val="Info"/>
      <sheetName val="FY24vs.FY23"/>
      <sheetName val="Prior Year"/>
    </sheetNames>
    <sheetDataSet>
      <sheetData sheetId="0"/>
      <sheetData sheetId="1"/>
      <sheetData sheetId="2"/>
      <sheetData sheetId="3"/>
      <sheetData sheetId="4"/>
      <sheetData sheetId="5">
        <row r="114">
          <cell r="V114">
            <v>2216527.8199999998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>
      <selection activeCell="A431" sqref="A43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/>
    <row r="2" spans="1:5" x14ac:dyDescent="0.25">
      <c r="E2" s="318" t="s">
        <v>1378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  <c r="C5" s="13"/>
    </row>
    <row r="7" spans="1:5" x14ac:dyDescent="0.25">
      <c r="A7" s="317" t="s">
        <v>1377</v>
      </c>
    </row>
    <row r="8" spans="1:5" x14ac:dyDescent="0.25">
      <c r="C8" s="13"/>
    </row>
    <row r="9" spans="1:5" x14ac:dyDescent="0.25">
      <c r="A9" s="56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59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4" x14ac:dyDescent="0.25">
      <c r="A33" s="14" t="s">
        <v>26</v>
      </c>
      <c r="B33" s="58"/>
      <c r="C33" s="58"/>
      <c r="D33" s="58"/>
    </row>
    <row r="34" spans="1:84" ht="16.5" x14ac:dyDescent="0.25">
      <c r="A34" s="14" t="s">
        <v>27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9" t="s">
        <v>28</v>
      </c>
      <c r="B36" s="320"/>
      <c r="C36" s="321"/>
      <c r="D36" s="320"/>
      <c r="E36" s="320"/>
      <c r="F36" s="320"/>
      <c r="G36" s="320"/>
    </row>
    <row r="37" spans="1:84" x14ac:dyDescent="0.25">
      <c r="A37" s="322" t="s">
        <v>29</v>
      </c>
      <c r="B37" s="323"/>
      <c r="C37" s="321"/>
      <c r="D37" s="320"/>
      <c r="E37" s="320"/>
      <c r="F37" s="320"/>
      <c r="G37" s="320"/>
    </row>
    <row r="38" spans="1:84" x14ac:dyDescent="0.25">
      <c r="A38" s="324" t="s">
        <v>30</v>
      </c>
      <c r="B38" s="323"/>
      <c r="C38" s="321"/>
      <c r="D38" s="320"/>
      <c r="E38" s="320"/>
      <c r="F38" s="320"/>
      <c r="G38" s="320"/>
    </row>
    <row r="39" spans="1:84" x14ac:dyDescent="0.25">
      <c r="A39" s="325" t="s">
        <v>31</v>
      </c>
      <c r="B39" s="320"/>
      <c r="C39" s="321"/>
      <c r="D39" s="320"/>
      <c r="E39" s="320"/>
      <c r="F39" s="320"/>
      <c r="G39" s="320"/>
    </row>
    <row r="40" spans="1:84" x14ac:dyDescent="0.25">
      <c r="A40" s="324" t="s">
        <v>32</v>
      </c>
      <c r="B40" s="320"/>
      <c r="C40" s="321"/>
      <c r="D40" s="320"/>
      <c r="E40" s="320"/>
      <c r="F40" s="320"/>
      <c r="G40" s="320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3">
        <v>105346.21</v>
      </c>
      <c r="C47" s="234">
        <v>2847.82</v>
      </c>
      <c r="D47" s="234">
        <v>0</v>
      </c>
      <c r="E47" s="234">
        <v>3210.7599999999998</v>
      </c>
      <c r="F47" s="234">
        <v>0</v>
      </c>
      <c r="G47" s="234">
        <v>0</v>
      </c>
      <c r="H47" s="234">
        <v>0</v>
      </c>
      <c r="I47" s="234">
        <v>0</v>
      </c>
      <c r="J47" s="234">
        <v>0</v>
      </c>
      <c r="K47" s="234">
        <v>0</v>
      </c>
      <c r="L47" s="234">
        <v>0</v>
      </c>
      <c r="M47" s="234">
        <v>0</v>
      </c>
      <c r="N47" s="234">
        <v>0</v>
      </c>
      <c r="O47" s="234">
        <v>1762.84</v>
      </c>
      <c r="P47" s="234">
        <v>3539.25</v>
      </c>
      <c r="Q47" s="234">
        <v>465.23</v>
      </c>
      <c r="R47" s="234">
        <v>0</v>
      </c>
      <c r="S47" s="234">
        <v>211.25</v>
      </c>
      <c r="T47" s="234">
        <v>0</v>
      </c>
      <c r="U47" s="234">
        <v>1751.58</v>
      </c>
      <c r="V47" s="234">
        <v>0</v>
      </c>
      <c r="W47" s="234">
        <v>0</v>
      </c>
      <c r="X47" s="234">
        <v>0</v>
      </c>
      <c r="Y47" s="234">
        <v>144</v>
      </c>
      <c r="Z47" s="234">
        <v>0</v>
      </c>
      <c r="AA47" s="234">
        <v>0</v>
      </c>
      <c r="AB47" s="234">
        <v>450.21</v>
      </c>
      <c r="AC47" s="234">
        <v>2334.5500000000002</v>
      </c>
      <c r="AD47" s="234">
        <v>0</v>
      </c>
      <c r="AE47" s="234">
        <v>0</v>
      </c>
      <c r="AF47" s="234">
        <v>0</v>
      </c>
      <c r="AG47" s="234">
        <v>647.85</v>
      </c>
      <c r="AH47" s="234">
        <v>0</v>
      </c>
      <c r="AI47" s="234">
        <v>0</v>
      </c>
      <c r="AJ47" s="234">
        <v>0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0</v>
      </c>
      <c r="AQ47" s="234">
        <v>0</v>
      </c>
      <c r="AR47" s="234">
        <v>0</v>
      </c>
      <c r="AS47" s="234">
        <v>0</v>
      </c>
      <c r="AT47" s="234">
        <v>0</v>
      </c>
      <c r="AU47" s="234">
        <v>0</v>
      </c>
      <c r="AV47" s="234">
        <v>385.7</v>
      </c>
      <c r="AW47" s="234">
        <v>0</v>
      </c>
      <c r="AX47" s="234">
        <v>0</v>
      </c>
      <c r="AY47" s="234">
        <v>191.88</v>
      </c>
      <c r="AZ47" s="234">
        <v>0</v>
      </c>
      <c r="BA47" s="234">
        <v>0</v>
      </c>
      <c r="BB47" s="234">
        <v>0</v>
      </c>
      <c r="BC47" s="234">
        <v>0</v>
      </c>
      <c r="BD47" s="234">
        <v>0</v>
      </c>
      <c r="BE47" s="234">
        <v>0</v>
      </c>
      <c r="BF47" s="234">
        <v>0</v>
      </c>
      <c r="BG47" s="234">
        <v>0</v>
      </c>
      <c r="BH47" s="234">
        <v>0</v>
      </c>
      <c r="BI47" s="234">
        <v>0</v>
      </c>
      <c r="BJ47" s="234">
        <v>0</v>
      </c>
      <c r="BK47" s="234">
        <v>0</v>
      </c>
      <c r="BL47" s="234">
        <v>0</v>
      </c>
      <c r="BM47" s="234">
        <v>0</v>
      </c>
      <c r="BN47" s="234">
        <v>56373.49</v>
      </c>
      <c r="BO47" s="234">
        <v>0</v>
      </c>
      <c r="BP47" s="234">
        <v>0</v>
      </c>
      <c r="BQ47" s="234">
        <v>0</v>
      </c>
      <c r="BR47" s="234">
        <v>0</v>
      </c>
      <c r="BS47" s="234">
        <v>0</v>
      </c>
      <c r="BT47" s="234">
        <v>0</v>
      </c>
      <c r="BU47" s="234">
        <v>0</v>
      </c>
      <c r="BV47" s="234">
        <v>0</v>
      </c>
      <c r="BW47" s="234">
        <v>0</v>
      </c>
      <c r="BX47" s="234">
        <v>0</v>
      </c>
      <c r="BY47" s="234">
        <v>28567.09</v>
      </c>
      <c r="BZ47" s="234">
        <v>0</v>
      </c>
      <c r="CA47" s="234">
        <v>238.61</v>
      </c>
      <c r="CB47" s="234">
        <v>0</v>
      </c>
      <c r="CC47" s="234">
        <v>2224.1000000000004</v>
      </c>
      <c r="CD47" s="16"/>
      <c r="CE47" s="25">
        <f>SUM(C47:CC47)</f>
        <v>105346.21</v>
      </c>
      <c r="CF47" s="314">
        <v>0</v>
      </c>
    </row>
    <row r="48" spans="1:84" x14ac:dyDescent="0.25">
      <c r="A48" s="25" t="s">
        <v>232</v>
      </c>
      <c r="B48" s="233">
        <v>33791417.530000001</v>
      </c>
      <c r="C48" s="25">
        <f t="shared" ref="C48:AH48" si="0">IF($B$48,(ROUND((($B$48/$CE$61)*C61),0)))</f>
        <v>1692562</v>
      </c>
      <c r="D48" s="25">
        <f t="shared" si="0"/>
        <v>0</v>
      </c>
      <c r="E48" s="25">
        <f t="shared" si="0"/>
        <v>6067313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1715384</v>
      </c>
      <c r="P48" s="25">
        <f t="shared" si="0"/>
        <v>2865016</v>
      </c>
      <c r="Q48" s="25">
        <f t="shared" si="0"/>
        <v>821944</v>
      </c>
      <c r="R48" s="25">
        <f t="shared" si="0"/>
        <v>0</v>
      </c>
      <c r="S48" s="25">
        <f t="shared" si="0"/>
        <v>147435</v>
      </c>
      <c r="T48" s="25">
        <f t="shared" si="0"/>
        <v>235988</v>
      </c>
      <c r="U48" s="25">
        <f t="shared" si="0"/>
        <v>551257</v>
      </c>
      <c r="V48" s="25">
        <f t="shared" si="0"/>
        <v>171740</v>
      </c>
      <c r="W48" s="25">
        <f t="shared" si="0"/>
        <v>109295</v>
      </c>
      <c r="X48" s="25">
        <f t="shared" si="0"/>
        <v>194385</v>
      </c>
      <c r="Y48" s="25">
        <f t="shared" si="0"/>
        <v>879870</v>
      </c>
      <c r="Z48" s="25">
        <f t="shared" si="0"/>
        <v>207829</v>
      </c>
      <c r="AA48" s="25">
        <f t="shared" si="0"/>
        <v>70366</v>
      </c>
      <c r="AB48" s="25">
        <f t="shared" si="0"/>
        <v>826917</v>
      </c>
      <c r="AC48" s="25">
        <f t="shared" si="0"/>
        <v>369237</v>
      </c>
      <c r="AD48" s="25">
        <f t="shared" si="0"/>
        <v>0</v>
      </c>
      <c r="AE48" s="25">
        <f t="shared" si="0"/>
        <v>196719</v>
      </c>
      <c r="AF48" s="25">
        <f t="shared" si="0"/>
        <v>0</v>
      </c>
      <c r="AG48" s="25">
        <f t="shared" si="0"/>
        <v>1718467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11101858</v>
      </c>
      <c r="AK48" s="25">
        <f t="shared" si="1"/>
        <v>67288</v>
      </c>
      <c r="AL48" s="25">
        <f t="shared" si="1"/>
        <v>18687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10403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484726</v>
      </c>
      <c r="AW48" s="25">
        <f t="shared" si="1"/>
        <v>0</v>
      </c>
      <c r="AX48" s="25">
        <f t="shared" si="1"/>
        <v>0</v>
      </c>
      <c r="AY48" s="25">
        <f t="shared" si="1"/>
        <v>429135</v>
      </c>
      <c r="AZ48" s="25">
        <f t="shared" si="1"/>
        <v>0</v>
      </c>
      <c r="BA48" s="25">
        <f t="shared" si="1"/>
        <v>-120</v>
      </c>
      <c r="BB48" s="25">
        <f t="shared" si="1"/>
        <v>0</v>
      </c>
      <c r="BC48" s="25">
        <f t="shared" si="1"/>
        <v>69039</v>
      </c>
      <c r="BD48" s="25">
        <f t="shared" si="1"/>
        <v>0</v>
      </c>
      <c r="BE48" s="25">
        <f t="shared" si="1"/>
        <v>344568</v>
      </c>
      <c r="BF48" s="25">
        <f t="shared" si="1"/>
        <v>401240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44689</v>
      </c>
      <c r="BK48" s="25">
        <f t="shared" si="1"/>
        <v>0</v>
      </c>
      <c r="BL48" s="25">
        <f t="shared" si="1"/>
        <v>20263</v>
      </c>
      <c r="BM48" s="25">
        <f t="shared" si="1"/>
        <v>26792</v>
      </c>
      <c r="BN48" s="25">
        <f t="shared" si="1"/>
        <v>170472</v>
      </c>
      <c r="BO48" s="25">
        <f t="shared" ref="BO48:CD48" si="2">IF($B$48,(ROUND((($B$48/$CE$61)*BO61),0)))</f>
        <v>19121</v>
      </c>
      <c r="BP48" s="25">
        <f t="shared" si="2"/>
        <v>0</v>
      </c>
      <c r="BQ48" s="25">
        <f t="shared" si="2"/>
        <v>0</v>
      </c>
      <c r="BR48" s="25">
        <f t="shared" si="2"/>
        <v>0</v>
      </c>
      <c r="BS48" s="25">
        <f t="shared" si="2"/>
        <v>1190</v>
      </c>
      <c r="BT48" s="25">
        <f t="shared" si="2"/>
        <v>24116</v>
      </c>
      <c r="BU48" s="25">
        <f t="shared" si="2"/>
        <v>0</v>
      </c>
      <c r="BV48" s="25">
        <f t="shared" si="2"/>
        <v>0</v>
      </c>
      <c r="BW48" s="25">
        <f t="shared" si="2"/>
        <v>72003</v>
      </c>
      <c r="BX48" s="25">
        <f t="shared" si="2"/>
        <v>384045</v>
      </c>
      <c r="BY48" s="25">
        <f t="shared" si="2"/>
        <v>668749</v>
      </c>
      <c r="BZ48" s="25">
        <f t="shared" si="2"/>
        <v>38286</v>
      </c>
      <c r="CA48" s="25">
        <f t="shared" si="2"/>
        <v>153474</v>
      </c>
      <c r="CB48" s="25">
        <f t="shared" si="2"/>
        <v>13309</v>
      </c>
      <c r="CC48" s="25">
        <f t="shared" si="2"/>
        <v>386364</v>
      </c>
      <c r="CD48" s="25">
        <f t="shared" si="2"/>
        <v>0</v>
      </c>
      <c r="CE48" s="25">
        <f>SUM(C48:CD48)</f>
        <v>33791421</v>
      </c>
      <c r="CF48" s="314">
        <v>0</v>
      </c>
    </row>
    <row r="49" spans="1:84" x14ac:dyDescent="0.25">
      <c r="A49" s="16" t="s">
        <v>233</v>
      </c>
      <c r="B49" s="25">
        <f>B47+B48</f>
        <v>33896763.740000002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4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4">
        <v>0</v>
      </c>
    </row>
    <row r="51" spans="1:84" x14ac:dyDescent="0.25">
      <c r="A51" s="21" t="s">
        <v>234</v>
      </c>
      <c r="B51" s="234">
        <v>6380895.5699999984</v>
      </c>
      <c r="C51" s="234">
        <v>188452.47999999998</v>
      </c>
      <c r="D51" s="234">
        <v>0</v>
      </c>
      <c r="E51" s="234">
        <v>60307.46</v>
      </c>
      <c r="F51" s="234">
        <v>0</v>
      </c>
      <c r="G51" s="234">
        <v>0</v>
      </c>
      <c r="H51" s="234">
        <v>0</v>
      </c>
      <c r="I51" s="234">
        <v>0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67725.2</v>
      </c>
      <c r="P51" s="234">
        <v>1836890.7999999998</v>
      </c>
      <c r="Q51" s="234">
        <v>445.19</v>
      </c>
      <c r="R51" s="234">
        <v>0</v>
      </c>
      <c r="S51" s="234">
        <v>2906.35</v>
      </c>
      <c r="T51" s="234">
        <v>15716.77</v>
      </c>
      <c r="U51" s="234">
        <v>23231.13</v>
      </c>
      <c r="V51" s="234">
        <v>59169.689999999995</v>
      </c>
      <c r="W51" s="234">
        <v>0</v>
      </c>
      <c r="X51" s="234">
        <v>2816.53</v>
      </c>
      <c r="Y51" s="234">
        <v>292778.13999999996</v>
      </c>
      <c r="Z51" s="234">
        <v>653036.82999999996</v>
      </c>
      <c r="AA51" s="234">
        <v>2523.42</v>
      </c>
      <c r="AB51" s="234">
        <v>54362.01</v>
      </c>
      <c r="AC51" s="234">
        <v>42526.720000000001</v>
      </c>
      <c r="AD51" s="234">
        <v>24225.39</v>
      </c>
      <c r="AE51" s="234">
        <v>454.87</v>
      </c>
      <c r="AF51" s="234">
        <v>0</v>
      </c>
      <c r="AG51" s="234">
        <v>81544.570000000007</v>
      </c>
      <c r="AH51" s="234">
        <v>0</v>
      </c>
      <c r="AI51" s="234">
        <v>0</v>
      </c>
      <c r="AJ51" s="234">
        <v>2120759.7399999998</v>
      </c>
      <c r="AK51" s="234">
        <v>0</v>
      </c>
      <c r="AL51" s="234">
        <v>0</v>
      </c>
      <c r="AM51" s="234">
        <v>0</v>
      </c>
      <c r="AN51" s="234">
        <v>0</v>
      </c>
      <c r="AO51" s="234">
        <v>0</v>
      </c>
      <c r="AP51" s="234">
        <v>0</v>
      </c>
      <c r="AQ51" s="234">
        <v>0</v>
      </c>
      <c r="AR51" s="234">
        <v>0</v>
      </c>
      <c r="AS51" s="234">
        <v>0</v>
      </c>
      <c r="AT51" s="234">
        <v>0</v>
      </c>
      <c r="AU51" s="234">
        <v>0</v>
      </c>
      <c r="AV51" s="234">
        <v>0</v>
      </c>
      <c r="AW51" s="234">
        <v>0</v>
      </c>
      <c r="AX51" s="234">
        <v>0</v>
      </c>
      <c r="AY51" s="234">
        <v>36387.429999999993</v>
      </c>
      <c r="AZ51" s="234">
        <v>0</v>
      </c>
      <c r="BA51" s="234">
        <v>0</v>
      </c>
      <c r="BB51" s="234">
        <v>0</v>
      </c>
      <c r="BC51" s="234">
        <v>0</v>
      </c>
      <c r="BD51" s="234">
        <v>0</v>
      </c>
      <c r="BE51" s="234">
        <v>455587.02</v>
      </c>
      <c r="BF51" s="234">
        <v>7179.51</v>
      </c>
      <c r="BG51" s="234">
        <v>0</v>
      </c>
      <c r="BH51" s="234">
        <v>0</v>
      </c>
      <c r="BI51" s="234">
        <v>0</v>
      </c>
      <c r="BJ51" s="234">
        <v>0</v>
      </c>
      <c r="BK51" s="234">
        <v>0</v>
      </c>
      <c r="BL51" s="234">
        <v>2131.54</v>
      </c>
      <c r="BM51" s="234">
        <v>0</v>
      </c>
      <c r="BN51" s="234">
        <v>2223.04</v>
      </c>
      <c r="BO51" s="234">
        <v>0</v>
      </c>
      <c r="BP51" s="234">
        <v>0</v>
      </c>
      <c r="BQ51" s="234">
        <v>0</v>
      </c>
      <c r="BR51" s="234">
        <v>0</v>
      </c>
      <c r="BS51" s="234">
        <v>0</v>
      </c>
      <c r="BT51" s="234">
        <v>0</v>
      </c>
      <c r="BU51" s="234">
        <v>0</v>
      </c>
      <c r="BV51" s="234">
        <v>0</v>
      </c>
      <c r="BW51" s="234">
        <v>0</v>
      </c>
      <c r="BX51" s="234">
        <v>0</v>
      </c>
      <c r="BY51" s="234">
        <v>18153.7</v>
      </c>
      <c r="BZ51" s="234">
        <v>0</v>
      </c>
      <c r="CA51" s="234">
        <v>0</v>
      </c>
      <c r="CB51" s="234">
        <v>0</v>
      </c>
      <c r="CC51" s="234">
        <v>329360.03999999998</v>
      </c>
      <c r="CD51" s="16"/>
      <c r="CE51" s="25">
        <f>SUM(C51:CD51)</f>
        <v>6380895.5699999984</v>
      </c>
      <c r="CF51" s="314">
        <v>0</v>
      </c>
    </row>
    <row r="52" spans="1:84" x14ac:dyDescent="0.25">
      <c r="A52" s="31" t="s">
        <v>235</v>
      </c>
      <c r="B52" s="235">
        <v>4822450</v>
      </c>
      <c r="C52" s="25">
        <f t="shared" ref="C52:AH52" si="3">IF($B$52,ROUND(($B$52/($CE$90+$CF$90)*C90),0))</f>
        <v>204609</v>
      </c>
      <c r="D52" s="25">
        <f t="shared" si="3"/>
        <v>0</v>
      </c>
      <c r="E52" s="25">
        <f t="shared" si="3"/>
        <v>900606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78330</v>
      </c>
      <c r="P52" s="25">
        <f t="shared" si="3"/>
        <v>434006</v>
      </c>
      <c r="Q52" s="25">
        <f t="shared" si="3"/>
        <v>22796</v>
      </c>
      <c r="R52" s="25">
        <f t="shared" si="3"/>
        <v>0</v>
      </c>
      <c r="S52" s="25">
        <f t="shared" si="3"/>
        <v>102599</v>
      </c>
      <c r="T52" s="25">
        <f t="shared" si="3"/>
        <v>0</v>
      </c>
      <c r="U52" s="25">
        <f t="shared" si="3"/>
        <v>123572</v>
      </c>
      <c r="V52" s="25">
        <f t="shared" si="3"/>
        <v>0</v>
      </c>
      <c r="W52" s="25">
        <f t="shared" si="3"/>
        <v>0</v>
      </c>
      <c r="X52" s="25">
        <f t="shared" si="3"/>
        <v>14491</v>
      </c>
      <c r="Y52" s="25">
        <f t="shared" si="3"/>
        <v>452934</v>
      </c>
      <c r="Z52" s="25">
        <f t="shared" si="3"/>
        <v>0</v>
      </c>
      <c r="AA52" s="25">
        <f t="shared" si="3"/>
        <v>14510</v>
      </c>
      <c r="AB52" s="25">
        <f t="shared" si="3"/>
        <v>68498</v>
      </c>
      <c r="AC52" s="25">
        <f t="shared" si="3"/>
        <v>21820</v>
      </c>
      <c r="AD52" s="25">
        <f t="shared" si="3"/>
        <v>0</v>
      </c>
      <c r="AE52" s="25">
        <f t="shared" si="3"/>
        <v>181503</v>
      </c>
      <c r="AF52" s="25">
        <f t="shared" si="3"/>
        <v>0</v>
      </c>
      <c r="AG52" s="25">
        <f t="shared" si="3"/>
        <v>187208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20420</v>
      </c>
      <c r="AK52" s="25">
        <f t="shared" si="4"/>
        <v>60727</v>
      </c>
      <c r="AL52" s="25">
        <f t="shared" si="4"/>
        <v>12705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14780</v>
      </c>
      <c r="AW52" s="25">
        <f t="shared" si="4"/>
        <v>0</v>
      </c>
      <c r="AX52" s="25">
        <f t="shared" si="4"/>
        <v>0</v>
      </c>
      <c r="AY52" s="25">
        <f t="shared" si="4"/>
        <v>0</v>
      </c>
      <c r="AZ52" s="25">
        <f t="shared" si="4"/>
        <v>105103</v>
      </c>
      <c r="BA52" s="25">
        <f t="shared" si="4"/>
        <v>39754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1111925</v>
      </c>
      <c r="BF52" s="25">
        <f t="shared" si="4"/>
        <v>11508</v>
      </c>
      <c r="BG52" s="25">
        <f t="shared" si="4"/>
        <v>0</v>
      </c>
      <c r="BH52" s="25">
        <f t="shared" si="4"/>
        <v>0</v>
      </c>
      <c r="BI52" s="25">
        <f t="shared" si="4"/>
        <v>8912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442362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112156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47322</v>
      </c>
      <c r="BW52" s="25">
        <f t="shared" si="5"/>
        <v>0</v>
      </c>
      <c r="BX52" s="25">
        <f t="shared" si="5"/>
        <v>0</v>
      </c>
      <c r="BY52" s="25">
        <f t="shared" si="5"/>
        <v>27289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4822445</v>
      </c>
      <c r="CF52" s="314">
        <v>0</v>
      </c>
    </row>
    <row r="53" spans="1:84" x14ac:dyDescent="0.25">
      <c r="A53" s="16" t="s">
        <v>233</v>
      </c>
      <c r="B53" s="25">
        <f>B51+B52</f>
        <v>11203345.569999998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4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4">
        <v>0</v>
      </c>
    </row>
    <row r="55" spans="1:84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4">
        <v>0</v>
      </c>
    </row>
    <row r="56" spans="1:84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4">
        <v>0</v>
      </c>
    </row>
    <row r="57" spans="1:84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4">
        <v>0</v>
      </c>
    </row>
    <row r="58" spans="1:84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4">
        <v>0</v>
      </c>
    </row>
    <row r="59" spans="1:84" x14ac:dyDescent="0.25">
      <c r="A59" s="31" t="s">
        <v>261</v>
      </c>
      <c r="B59" s="25"/>
      <c r="C59" s="234">
        <v>4980</v>
      </c>
      <c r="D59" s="234"/>
      <c r="E59" s="234">
        <v>35217</v>
      </c>
      <c r="F59" s="234"/>
      <c r="G59" s="234"/>
      <c r="H59" s="234"/>
      <c r="I59" s="234"/>
      <c r="J59" s="234"/>
      <c r="K59" s="234"/>
      <c r="L59" s="234"/>
      <c r="M59" s="234"/>
      <c r="N59" s="234"/>
      <c r="O59" s="234">
        <v>4408</v>
      </c>
      <c r="P59" s="236">
        <v>639869</v>
      </c>
      <c r="Q59" s="236">
        <v>1291845</v>
      </c>
      <c r="R59" s="236">
        <v>0</v>
      </c>
      <c r="S59" s="229">
        <v>0</v>
      </c>
      <c r="T59" s="229">
        <v>0</v>
      </c>
      <c r="U59" s="237">
        <v>603215</v>
      </c>
      <c r="V59" s="236">
        <v>0</v>
      </c>
      <c r="W59" s="236">
        <v>24359.9</v>
      </c>
      <c r="X59" s="236">
        <v>26551.399999999998</v>
      </c>
      <c r="Y59" s="236">
        <v>26583.960000000003</v>
      </c>
      <c r="Z59" s="236">
        <v>423545.5</v>
      </c>
      <c r="AA59" s="236">
        <v>3361</v>
      </c>
      <c r="AB59" s="229">
        <v>0</v>
      </c>
      <c r="AC59" s="236">
        <v>77243.8</v>
      </c>
      <c r="AD59" s="236">
        <v>0</v>
      </c>
      <c r="AE59" s="236">
        <v>23444</v>
      </c>
      <c r="AF59" s="236">
        <v>0</v>
      </c>
      <c r="AG59" s="236">
        <v>44351</v>
      </c>
      <c r="AH59" s="236">
        <v>0</v>
      </c>
      <c r="AI59" s="236">
        <v>0</v>
      </c>
      <c r="AJ59" s="236">
        <v>347764.98000000004</v>
      </c>
      <c r="AK59" s="236">
        <v>11749</v>
      </c>
      <c r="AL59" s="236">
        <v>2444</v>
      </c>
      <c r="AM59" s="236">
        <v>0</v>
      </c>
      <c r="AN59" s="236">
        <v>0</v>
      </c>
      <c r="AO59" s="236">
        <v>0</v>
      </c>
      <c r="AP59" s="236">
        <v>0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124186</v>
      </c>
      <c r="AZ59" s="236">
        <v>92598</v>
      </c>
      <c r="BA59" s="229">
        <v>0</v>
      </c>
      <c r="BB59" s="229">
        <v>0</v>
      </c>
      <c r="BC59" s="229">
        <v>0</v>
      </c>
      <c r="BD59" s="229">
        <v>0</v>
      </c>
      <c r="BE59" s="236">
        <v>261900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  <c r="CF59" s="314">
        <v>0</v>
      </c>
    </row>
    <row r="60" spans="1:84" s="201" customFormat="1" x14ac:dyDescent="0.25">
      <c r="A60" s="206" t="s">
        <v>262</v>
      </c>
      <c r="B60" s="207"/>
      <c r="C60" s="238">
        <v>53.261951923076921</v>
      </c>
      <c r="D60" s="238">
        <v>0</v>
      </c>
      <c r="E60" s="238">
        <v>223.01482211538462</v>
      </c>
      <c r="F60" s="238">
        <v>0</v>
      </c>
      <c r="G60" s="238">
        <v>0</v>
      </c>
      <c r="H60" s="238">
        <v>0</v>
      </c>
      <c r="I60" s="238">
        <v>0</v>
      </c>
      <c r="J60" s="238">
        <v>0</v>
      </c>
      <c r="K60" s="238">
        <v>0</v>
      </c>
      <c r="L60" s="238">
        <v>0</v>
      </c>
      <c r="M60" s="238">
        <v>0</v>
      </c>
      <c r="N60" s="238">
        <v>0</v>
      </c>
      <c r="O60" s="238">
        <v>48.878975961538458</v>
      </c>
      <c r="P60" s="239">
        <v>102.1264519230769</v>
      </c>
      <c r="Q60" s="239">
        <v>23.403519230769234</v>
      </c>
      <c r="R60" s="239">
        <v>0</v>
      </c>
      <c r="S60" s="240">
        <v>10.786735576923078</v>
      </c>
      <c r="T60" s="240">
        <v>5.6676057692307698</v>
      </c>
      <c r="U60" s="241">
        <v>26.656865384615383</v>
      </c>
      <c r="V60" s="239">
        <v>5.5697740384615386</v>
      </c>
      <c r="W60" s="239">
        <v>2.7098894230769228</v>
      </c>
      <c r="X60" s="239">
        <v>5.9234375000000004</v>
      </c>
      <c r="Y60" s="239">
        <v>32.78246153846154</v>
      </c>
      <c r="Z60" s="239">
        <v>6.0322355769230764</v>
      </c>
      <c r="AA60" s="239">
        <v>2.3363750000000003</v>
      </c>
      <c r="AB60" s="240">
        <v>26.662096153846157</v>
      </c>
      <c r="AC60" s="239">
        <v>13.354014423076926</v>
      </c>
      <c r="AD60" s="239">
        <v>0</v>
      </c>
      <c r="AE60" s="239">
        <v>6.3868701923076925</v>
      </c>
      <c r="AF60" s="239">
        <v>0</v>
      </c>
      <c r="AG60" s="239">
        <v>66.103245192307696</v>
      </c>
      <c r="AH60" s="239">
        <v>0</v>
      </c>
      <c r="AI60" s="239">
        <v>0</v>
      </c>
      <c r="AJ60" s="239">
        <v>396.56195192307683</v>
      </c>
      <c r="AK60" s="239">
        <v>2.729466346153846</v>
      </c>
      <c r="AL60" s="239">
        <v>0.75537019230769231</v>
      </c>
      <c r="AM60" s="239">
        <v>0</v>
      </c>
      <c r="AN60" s="239">
        <v>0</v>
      </c>
      <c r="AO60" s="239">
        <v>0</v>
      </c>
      <c r="AP60" s="239">
        <v>0.33845192307692307</v>
      </c>
      <c r="AQ60" s="239">
        <v>0</v>
      </c>
      <c r="AR60" s="239">
        <v>0</v>
      </c>
      <c r="AS60" s="239">
        <v>0</v>
      </c>
      <c r="AT60" s="239">
        <v>0</v>
      </c>
      <c r="AU60" s="239">
        <v>0</v>
      </c>
      <c r="AV60" s="240">
        <v>18.532769230769233</v>
      </c>
      <c r="AW60" s="240">
        <v>0</v>
      </c>
      <c r="AX60" s="240">
        <v>0</v>
      </c>
      <c r="AY60" s="239">
        <v>29.101802884615385</v>
      </c>
      <c r="AZ60" s="239">
        <v>0</v>
      </c>
      <c r="BA60" s="240">
        <v>-1.6942307692307694E-2</v>
      </c>
      <c r="BB60" s="240">
        <v>0</v>
      </c>
      <c r="BC60" s="240">
        <v>4.3352211538461543</v>
      </c>
      <c r="BD60" s="240">
        <v>0</v>
      </c>
      <c r="BE60" s="239">
        <v>22.351413461538463</v>
      </c>
      <c r="BF60" s="240">
        <v>28.709105769230771</v>
      </c>
      <c r="BG60" s="240">
        <v>0</v>
      </c>
      <c r="BH60" s="240">
        <v>0</v>
      </c>
      <c r="BI60" s="240">
        <v>0</v>
      </c>
      <c r="BJ60" s="240">
        <v>1.2450384615384613</v>
      </c>
      <c r="BK60" s="240">
        <v>0</v>
      </c>
      <c r="BL60" s="240">
        <v>1.8461538461538463</v>
      </c>
      <c r="BM60" s="240">
        <v>0.78176442307692318</v>
      </c>
      <c r="BN60" s="240">
        <v>3.6884519230769239</v>
      </c>
      <c r="BO60" s="240">
        <v>0.74875961538461544</v>
      </c>
      <c r="BP60" s="240">
        <v>0</v>
      </c>
      <c r="BQ60" s="240">
        <v>0</v>
      </c>
      <c r="BR60" s="240">
        <v>0</v>
      </c>
      <c r="BS60" s="240">
        <v>5.4389423076923071E-2</v>
      </c>
      <c r="BT60" s="240">
        <v>1.1756971153846152</v>
      </c>
      <c r="BU60" s="240">
        <v>0</v>
      </c>
      <c r="BV60" s="240">
        <v>0</v>
      </c>
      <c r="BW60" s="240">
        <v>1.932985576923077</v>
      </c>
      <c r="BX60" s="240">
        <v>14.270514423076923</v>
      </c>
      <c r="BY60" s="240">
        <v>10.863750000000001</v>
      </c>
      <c r="BZ60" s="240">
        <v>1.5004999999999999</v>
      </c>
      <c r="CA60" s="240">
        <v>5.0336538461538449</v>
      </c>
      <c r="CB60" s="240">
        <v>0.60707692307692307</v>
      </c>
      <c r="CC60" s="240">
        <v>7.4738365384615397</v>
      </c>
      <c r="CD60" s="208" t="s">
        <v>248</v>
      </c>
      <c r="CE60" s="226">
        <f t="shared" ref="CE60:CE68" si="6">SUM(C60:CD60)</f>
        <v>1216.2785096153843</v>
      </c>
      <c r="CF60" s="315">
        <v>0</v>
      </c>
    </row>
    <row r="61" spans="1:84" x14ac:dyDescent="0.25">
      <c r="A61" s="31" t="s">
        <v>263</v>
      </c>
      <c r="B61" s="16"/>
      <c r="C61" s="234">
        <v>7508792.0000000019</v>
      </c>
      <c r="D61" s="234">
        <v>0</v>
      </c>
      <c r="E61" s="234">
        <v>26916696.87999998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7610036.9900000012</v>
      </c>
      <c r="P61" s="236">
        <v>12710202.72000001</v>
      </c>
      <c r="Q61" s="236">
        <v>3646425.7100000009</v>
      </c>
      <c r="R61" s="236">
        <v>0</v>
      </c>
      <c r="S61" s="242">
        <v>654072.32000000007</v>
      </c>
      <c r="T61" s="242">
        <v>1046922.5700000001</v>
      </c>
      <c r="U61" s="237">
        <v>2445564.6399999997</v>
      </c>
      <c r="V61" s="236">
        <v>761896.26999999979</v>
      </c>
      <c r="W61" s="236">
        <v>484870.35000000003</v>
      </c>
      <c r="X61" s="236">
        <v>862359.43</v>
      </c>
      <c r="Y61" s="236">
        <v>3903409.0100000002</v>
      </c>
      <c r="Z61" s="236">
        <v>921999.85000000021</v>
      </c>
      <c r="AA61" s="236">
        <v>312165.7699999999</v>
      </c>
      <c r="AB61" s="243">
        <v>3668490.15</v>
      </c>
      <c r="AC61" s="236">
        <v>1638060.9899999998</v>
      </c>
      <c r="AD61" s="236">
        <v>0</v>
      </c>
      <c r="AE61" s="236">
        <v>872712.36999999988</v>
      </c>
      <c r="AF61" s="236">
        <v>0</v>
      </c>
      <c r="AG61" s="236">
        <v>7623712.1000000006</v>
      </c>
      <c r="AH61" s="236">
        <v>0</v>
      </c>
      <c r="AI61" s="236">
        <v>0</v>
      </c>
      <c r="AJ61" s="236">
        <v>49251679.329999976</v>
      </c>
      <c r="AK61" s="236">
        <v>298510.95</v>
      </c>
      <c r="AL61" s="236">
        <v>82901.02</v>
      </c>
      <c r="AM61" s="236">
        <v>0</v>
      </c>
      <c r="AN61" s="236">
        <v>0</v>
      </c>
      <c r="AO61" s="236">
        <v>0</v>
      </c>
      <c r="AP61" s="236">
        <v>46150.67</v>
      </c>
      <c r="AQ61" s="236">
        <v>0</v>
      </c>
      <c r="AR61" s="236">
        <v>0</v>
      </c>
      <c r="AS61" s="236">
        <v>0</v>
      </c>
      <c r="AT61" s="236">
        <v>0</v>
      </c>
      <c r="AU61" s="236">
        <v>0</v>
      </c>
      <c r="AV61" s="242">
        <v>2150412.2100000009</v>
      </c>
      <c r="AW61" s="242">
        <v>0</v>
      </c>
      <c r="AX61" s="242">
        <v>0</v>
      </c>
      <c r="AY61" s="236">
        <v>1903789.7299999997</v>
      </c>
      <c r="AZ61" s="236">
        <v>0</v>
      </c>
      <c r="BA61" s="242">
        <v>-532.55999999999995</v>
      </c>
      <c r="BB61" s="242">
        <v>0</v>
      </c>
      <c r="BC61" s="242">
        <v>306281.59999999998</v>
      </c>
      <c r="BD61" s="242">
        <v>0</v>
      </c>
      <c r="BE61" s="236">
        <v>1528623.24</v>
      </c>
      <c r="BF61" s="242">
        <v>1780039.55</v>
      </c>
      <c r="BG61" s="242">
        <v>0</v>
      </c>
      <c r="BH61" s="242">
        <v>0</v>
      </c>
      <c r="BI61" s="242">
        <v>0</v>
      </c>
      <c r="BJ61" s="242">
        <v>198257.58</v>
      </c>
      <c r="BK61" s="242">
        <v>0</v>
      </c>
      <c r="BL61" s="242">
        <v>89894.399999999994</v>
      </c>
      <c r="BM61" s="242">
        <v>118859.91</v>
      </c>
      <c r="BN61" s="242">
        <v>756270.76000000024</v>
      </c>
      <c r="BO61" s="242">
        <v>84826.48000000001</v>
      </c>
      <c r="BP61" s="242">
        <v>0</v>
      </c>
      <c r="BQ61" s="242">
        <v>0</v>
      </c>
      <c r="BR61" s="242">
        <v>0</v>
      </c>
      <c r="BS61" s="242">
        <v>5280.57</v>
      </c>
      <c r="BT61" s="242">
        <v>106986.25</v>
      </c>
      <c r="BU61" s="242">
        <v>0</v>
      </c>
      <c r="BV61" s="242">
        <v>0</v>
      </c>
      <c r="BW61" s="242">
        <v>319430.81999999995</v>
      </c>
      <c r="BX61" s="242">
        <v>1703754.4</v>
      </c>
      <c r="BY61" s="242">
        <v>2966801.8500000006</v>
      </c>
      <c r="BZ61" s="242">
        <v>169848.50999999998</v>
      </c>
      <c r="CA61" s="242">
        <v>680862.69</v>
      </c>
      <c r="CB61" s="242">
        <v>59044.240000000005</v>
      </c>
      <c r="CC61" s="242">
        <v>1714045.5699999998</v>
      </c>
      <c r="CD61" s="24" t="s">
        <v>248</v>
      </c>
      <c r="CE61" s="25">
        <f t="shared" si="6"/>
        <v>149910409.88999993</v>
      </c>
      <c r="CF61" s="314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1695410</v>
      </c>
      <c r="D62" s="25">
        <f t="shared" si="7"/>
        <v>0</v>
      </c>
      <c r="E62" s="25">
        <f t="shared" si="7"/>
        <v>6070524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1717147</v>
      </c>
      <c r="P62" s="25">
        <f t="shared" si="7"/>
        <v>2868555</v>
      </c>
      <c r="Q62" s="25">
        <f t="shared" si="7"/>
        <v>822409</v>
      </c>
      <c r="R62" s="25">
        <f t="shared" si="7"/>
        <v>0</v>
      </c>
      <c r="S62" s="25">
        <f t="shared" si="7"/>
        <v>147646</v>
      </c>
      <c r="T62" s="25">
        <f t="shared" si="7"/>
        <v>235988</v>
      </c>
      <c r="U62" s="25">
        <f t="shared" si="7"/>
        <v>553009</v>
      </c>
      <c r="V62" s="25">
        <f t="shared" si="7"/>
        <v>171740</v>
      </c>
      <c r="W62" s="25">
        <f t="shared" si="7"/>
        <v>109295</v>
      </c>
      <c r="X62" s="25">
        <f t="shared" si="7"/>
        <v>194385</v>
      </c>
      <c r="Y62" s="25">
        <f t="shared" si="7"/>
        <v>880014</v>
      </c>
      <c r="Z62" s="25">
        <f t="shared" si="7"/>
        <v>207829</v>
      </c>
      <c r="AA62" s="25">
        <f t="shared" si="7"/>
        <v>70366</v>
      </c>
      <c r="AB62" s="25">
        <f t="shared" si="7"/>
        <v>827367</v>
      </c>
      <c r="AC62" s="25">
        <f t="shared" si="7"/>
        <v>371572</v>
      </c>
      <c r="AD62" s="25">
        <f t="shared" si="7"/>
        <v>0</v>
      </c>
      <c r="AE62" s="25">
        <f t="shared" si="7"/>
        <v>196719</v>
      </c>
      <c r="AF62" s="25">
        <f t="shared" si="7"/>
        <v>0</v>
      </c>
      <c r="AG62" s="25">
        <f t="shared" si="7"/>
        <v>1719115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11101858</v>
      </c>
      <c r="AK62" s="25">
        <f t="shared" si="8"/>
        <v>67288</v>
      </c>
      <c r="AL62" s="25">
        <f t="shared" si="8"/>
        <v>18687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10403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485112</v>
      </c>
      <c r="AW62" s="25">
        <f t="shared" si="8"/>
        <v>0</v>
      </c>
      <c r="AX62" s="25">
        <f t="shared" si="8"/>
        <v>0</v>
      </c>
      <c r="AY62" s="25">
        <f t="shared" si="8"/>
        <v>429327</v>
      </c>
      <c r="AZ62" s="25">
        <f t="shared" si="8"/>
        <v>0</v>
      </c>
      <c r="BA62" s="25">
        <f t="shared" si="8"/>
        <v>-120</v>
      </c>
      <c r="BB62" s="25">
        <f t="shared" si="8"/>
        <v>0</v>
      </c>
      <c r="BC62" s="25">
        <f t="shared" si="8"/>
        <v>69039</v>
      </c>
      <c r="BD62" s="25">
        <f t="shared" si="8"/>
        <v>0</v>
      </c>
      <c r="BE62" s="25">
        <f t="shared" si="8"/>
        <v>344568</v>
      </c>
      <c r="BF62" s="25">
        <f t="shared" si="8"/>
        <v>401240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44689</v>
      </c>
      <c r="BK62" s="25">
        <f t="shared" si="8"/>
        <v>0</v>
      </c>
      <c r="BL62" s="25">
        <f t="shared" si="8"/>
        <v>20263</v>
      </c>
      <c r="BM62" s="25">
        <f t="shared" si="8"/>
        <v>26792</v>
      </c>
      <c r="BN62" s="25">
        <f t="shared" si="8"/>
        <v>226845</v>
      </c>
      <c r="BO62" s="25">
        <f t="shared" ref="BO62:CC62" si="9">ROUND(BO47+BO48,0)</f>
        <v>19121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1190</v>
      </c>
      <c r="BT62" s="25">
        <f t="shared" si="9"/>
        <v>24116</v>
      </c>
      <c r="BU62" s="25">
        <f t="shared" si="9"/>
        <v>0</v>
      </c>
      <c r="BV62" s="25">
        <f t="shared" si="9"/>
        <v>0</v>
      </c>
      <c r="BW62" s="25">
        <f t="shared" si="9"/>
        <v>72003</v>
      </c>
      <c r="BX62" s="25">
        <f t="shared" si="9"/>
        <v>384045</v>
      </c>
      <c r="BY62" s="25">
        <f t="shared" si="9"/>
        <v>697316</v>
      </c>
      <c r="BZ62" s="25">
        <f t="shared" si="9"/>
        <v>38286</v>
      </c>
      <c r="CA62" s="25">
        <f t="shared" si="9"/>
        <v>153713</v>
      </c>
      <c r="CB62" s="25">
        <f t="shared" si="9"/>
        <v>13309</v>
      </c>
      <c r="CC62" s="25">
        <f t="shared" si="9"/>
        <v>388588</v>
      </c>
      <c r="CD62" s="24" t="s">
        <v>248</v>
      </c>
      <c r="CE62" s="25">
        <f t="shared" si="6"/>
        <v>33896768</v>
      </c>
      <c r="CF62" s="314">
        <v>0</v>
      </c>
    </row>
    <row r="63" spans="1:84" x14ac:dyDescent="0.25">
      <c r="A63" s="31" t="s">
        <v>264</v>
      </c>
      <c r="B63" s="16"/>
      <c r="C63" s="234">
        <v>2518744.1100000003</v>
      </c>
      <c r="D63" s="234">
        <v>0</v>
      </c>
      <c r="E63" s="234">
        <v>5938598.6699999999</v>
      </c>
      <c r="F63" s="234">
        <v>0</v>
      </c>
      <c r="G63" s="234">
        <v>0</v>
      </c>
      <c r="H63" s="234">
        <v>235994.35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1194601.51</v>
      </c>
      <c r="P63" s="236">
        <v>7568503.7600000007</v>
      </c>
      <c r="Q63" s="236">
        <v>0</v>
      </c>
      <c r="R63" s="236">
        <v>0</v>
      </c>
      <c r="S63" s="242">
        <v>0</v>
      </c>
      <c r="T63" s="242">
        <v>0</v>
      </c>
      <c r="U63" s="237">
        <v>32815.300000000003</v>
      </c>
      <c r="V63" s="236">
        <v>0</v>
      </c>
      <c r="W63" s="236">
        <v>0</v>
      </c>
      <c r="X63" s="236">
        <v>0</v>
      </c>
      <c r="Y63" s="236">
        <v>36062.5</v>
      </c>
      <c r="Z63" s="236">
        <v>0</v>
      </c>
      <c r="AA63" s="236">
        <v>0</v>
      </c>
      <c r="AB63" s="243">
        <v>0</v>
      </c>
      <c r="AC63" s="236">
        <v>270</v>
      </c>
      <c r="AD63" s="236">
        <v>0</v>
      </c>
      <c r="AE63" s="236">
        <v>0</v>
      </c>
      <c r="AF63" s="236">
        <v>0</v>
      </c>
      <c r="AG63" s="236">
        <v>728333.16000000015</v>
      </c>
      <c r="AH63" s="236">
        <v>0</v>
      </c>
      <c r="AI63" s="236">
        <v>0</v>
      </c>
      <c r="AJ63" s="236">
        <v>568165.9800000001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52730.400000000001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627879.65</v>
      </c>
      <c r="CD63" s="24" t="s">
        <v>248</v>
      </c>
      <c r="CE63" s="25">
        <f t="shared" si="6"/>
        <v>19502699.390000001</v>
      </c>
      <c r="CF63" s="314">
        <v>0</v>
      </c>
    </row>
    <row r="64" spans="1:84" x14ac:dyDescent="0.25">
      <c r="A64" s="31" t="s">
        <v>265</v>
      </c>
      <c r="B64" s="16"/>
      <c r="C64" s="234">
        <v>687846.35999999987</v>
      </c>
      <c r="D64" s="234">
        <v>0</v>
      </c>
      <c r="E64" s="234">
        <v>1895067.5699999996</v>
      </c>
      <c r="F64" s="234">
        <v>0</v>
      </c>
      <c r="G64" s="234">
        <v>0</v>
      </c>
      <c r="H64" s="234">
        <v>0</v>
      </c>
      <c r="I64" s="234">
        <v>0</v>
      </c>
      <c r="J64" s="234">
        <v>0</v>
      </c>
      <c r="K64" s="234">
        <v>0</v>
      </c>
      <c r="L64" s="234">
        <v>0</v>
      </c>
      <c r="M64" s="234">
        <v>0</v>
      </c>
      <c r="N64" s="234">
        <v>0</v>
      </c>
      <c r="O64" s="234">
        <v>1005217.0399999998</v>
      </c>
      <c r="P64" s="236">
        <v>21796330.679999989</v>
      </c>
      <c r="Q64" s="236">
        <v>216701.35</v>
      </c>
      <c r="R64" s="236">
        <v>0</v>
      </c>
      <c r="S64" s="242">
        <v>-13342.899999999983</v>
      </c>
      <c r="T64" s="242">
        <v>361502.04</v>
      </c>
      <c r="U64" s="237">
        <v>1716224.66</v>
      </c>
      <c r="V64" s="236">
        <v>174567.37</v>
      </c>
      <c r="W64" s="236">
        <v>26476.379999999997</v>
      </c>
      <c r="X64" s="236">
        <v>281963.38</v>
      </c>
      <c r="Y64" s="236">
        <v>196390.03</v>
      </c>
      <c r="Z64" s="236">
        <v>28906.010000000002</v>
      </c>
      <c r="AA64" s="236">
        <v>156257.57000000004</v>
      </c>
      <c r="AB64" s="243">
        <v>9295326.9599999953</v>
      </c>
      <c r="AC64" s="236">
        <v>405967.10000000003</v>
      </c>
      <c r="AD64" s="236">
        <v>0</v>
      </c>
      <c r="AE64" s="236">
        <v>5496.94</v>
      </c>
      <c r="AF64" s="236">
        <v>0</v>
      </c>
      <c r="AG64" s="236">
        <v>1977900.8999999997</v>
      </c>
      <c r="AH64" s="236">
        <v>0</v>
      </c>
      <c r="AI64" s="236">
        <v>0</v>
      </c>
      <c r="AJ64" s="236">
        <v>2693840.7800000003</v>
      </c>
      <c r="AK64" s="236">
        <v>1977.76</v>
      </c>
      <c r="AL64" s="236">
        <v>8.23</v>
      </c>
      <c r="AM64" s="236">
        <v>0</v>
      </c>
      <c r="AN64" s="236">
        <v>0</v>
      </c>
      <c r="AO64" s="236">
        <v>0</v>
      </c>
      <c r="AP64" s="236">
        <v>0</v>
      </c>
      <c r="AQ64" s="236">
        <v>0</v>
      </c>
      <c r="AR64" s="236">
        <v>0</v>
      </c>
      <c r="AS64" s="236">
        <v>0</v>
      </c>
      <c r="AT64" s="236">
        <v>0</v>
      </c>
      <c r="AU64" s="236">
        <v>0</v>
      </c>
      <c r="AV64" s="242">
        <v>16540.78</v>
      </c>
      <c r="AW64" s="242">
        <v>0</v>
      </c>
      <c r="AX64" s="242">
        <v>0</v>
      </c>
      <c r="AY64" s="236">
        <v>1080635.7199999997</v>
      </c>
      <c r="AZ64" s="236">
        <v>0</v>
      </c>
      <c r="BA64" s="242">
        <v>0</v>
      </c>
      <c r="BB64" s="242">
        <v>0</v>
      </c>
      <c r="BC64" s="242">
        <v>1958.02</v>
      </c>
      <c r="BD64" s="242">
        <v>842.29</v>
      </c>
      <c r="BE64" s="236">
        <v>22819.920000000002</v>
      </c>
      <c r="BF64" s="242">
        <v>231325.13</v>
      </c>
      <c r="BG64" s="242">
        <v>0</v>
      </c>
      <c r="BH64" s="242">
        <v>0</v>
      </c>
      <c r="BI64" s="242">
        <v>0</v>
      </c>
      <c r="BJ64" s="242">
        <v>0</v>
      </c>
      <c r="BK64" s="242">
        <v>0</v>
      </c>
      <c r="BL64" s="242">
        <v>17974.63</v>
      </c>
      <c r="BM64" s="242">
        <v>0</v>
      </c>
      <c r="BN64" s="242">
        <v>87909.97</v>
      </c>
      <c r="BO64" s="242">
        <v>0</v>
      </c>
      <c r="BP64" s="242">
        <v>0</v>
      </c>
      <c r="BQ64" s="242">
        <v>0</v>
      </c>
      <c r="BR64" s="242">
        <v>0</v>
      </c>
      <c r="BS64" s="242">
        <v>17</v>
      </c>
      <c r="BT64" s="242">
        <v>0</v>
      </c>
      <c r="BU64" s="242">
        <v>0</v>
      </c>
      <c r="BV64" s="242">
        <v>0</v>
      </c>
      <c r="BW64" s="242">
        <v>30861.45</v>
      </c>
      <c r="BX64" s="242">
        <v>0</v>
      </c>
      <c r="BY64" s="242">
        <v>47692.06</v>
      </c>
      <c r="BZ64" s="242">
        <v>0</v>
      </c>
      <c r="CA64" s="242">
        <v>0</v>
      </c>
      <c r="CB64" s="242">
        <v>0</v>
      </c>
      <c r="CC64" s="242">
        <v>-334424.99</v>
      </c>
      <c r="CD64" s="24" t="s">
        <v>248</v>
      </c>
      <c r="CE64" s="25">
        <f t="shared" si="6"/>
        <v>44114778.18999999</v>
      </c>
      <c r="CF64" s="314">
        <v>0</v>
      </c>
    </row>
    <row r="65" spans="1:84" x14ac:dyDescent="0.25">
      <c r="A65" s="31" t="s">
        <v>266</v>
      </c>
      <c r="B65" s="16"/>
      <c r="C65" s="234">
        <v>408.94</v>
      </c>
      <c r="D65" s="234">
        <v>0</v>
      </c>
      <c r="E65" s="234">
        <v>1264.44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3731.52</v>
      </c>
      <c r="P65" s="236">
        <v>6564.78</v>
      </c>
      <c r="Q65" s="236">
        <v>744.24</v>
      </c>
      <c r="R65" s="236">
        <v>0</v>
      </c>
      <c r="S65" s="242">
        <v>0</v>
      </c>
      <c r="T65" s="242">
        <v>0</v>
      </c>
      <c r="U65" s="237">
        <v>522.49</v>
      </c>
      <c r="V65" s="236">
        <v>842.26</v>
      </c>
      <c r="W65" s="236">
        <v>109.04</v>
      </c>
      <c r="X65" s="236">
        <v>0</v>
      </c>
      <c r="Y65" s="236">
        <v>5607.89</v>
      </c>
      <c r="Z65" s="236">
        <v>711.44</v>
      </c>
      <c r="AA65" s="236">
        <v>196.04</v>
      </c>
      <c r="AB65" s="243">
        <v>3354.58</v>
      </c>
      <c r="AC65" s="236">
        <v>802.64</v>
      </c>
      <c r="AD65" s="236">
        <v>0</v>
      </c>
      <c r="AE65" s="236">
        <v>2996.1</v>
      </c>
      <c r="AF65" s="236">
        <v>0</v>
      </c>
      <c r="AG65" s="236">
        <v>294.06</v>
      </c>
      <c r="AH65" s="236">
        <v>0</v>
      </c>
      <c r="AI65" s="236">
        <v>0</v>
      </c>
      <c r="AJ65" s="236">
        <v>80823.73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0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932.13</v>
      </c>
      <c r="AW65" s="242">
        <v>0</v>
      </c>
      <c r="AX65" s="242">
        <v>0</v>
      </c>
      <c r="AY65" s="236">
        <v>196.04</v>
      </c>
      <c r="AZ65" s="236">
        <v>0</v>
      </c>
      <c r="BA65" s="242">
        <v>0</v>
      </c>
      <c r="BB65" s="242">
        <v>0</v>
      </c>
      <c r="BC65" s="242">
        <v>588.12</v>
      </c>
      <c r="BD65" s="242">
        <v>0</v>
      </c>
      <c r="BE65" s="236">
        <v>1507099.0100000002</v>
      </c>
      <c r="BF65" s="242">
        <v>0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257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212.9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f t="shared" si="6"/>
        <v>1618259.3900000001</v>
      </c>
      <c r="CF65" s="314">
        <v>0</v>
      </c>
    </row>
    <row r="66" spans="1:84" x14ac:dyDescent="0.25">
      <c r="A66" s="31" t="s">
        <v>267</v>
      </c>
      <c r="B66" s="16"/>
      <c r="C66" s="234">
        <v>6489.6</v>
      </c>
      <c r="D66" s="234">
        <v>0</v>
      </c>
      <c r="E66" s="234">
        <v>474629.75</v>
      </c>
      <c r="F66" s="234">
        <v>0</v>
      </c>
      <c r="G66" s="234">
        <v>0</v>
      </c>
      <c r="H66" s="234">
        <v>33068.80999999999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30834.730000000003</v>
      </c>
      <c r="P66" s="236">
        <v>1059754.67</v>
      </c>
      <c r="Q66" s="236">
        <v>26492.59</v>
      </c>
      <c r="R66" s="236">
        <v>0</v>
      </c>
      <c r="S66" s="242">
        <v>6010.05</v>
      </c>
      <c r="T66" s="242">
        <v>99.42</v>
      </c>
      <c r="U66" s="237">
        <v>531487.30999999994</v>
      </c>
      <c r="V66" s="236">
        <v>31788.42</v>
      </c>
      <c r="W66" s="236">
        <v>12925.09</v>
      </c>
      <c r="X66" s="236">
        <v>24599.16</v>
      </c>
      <c r="Y66" s="236">
        <v>789891.96</v>
      </c>
      <c r="Z66" s="236">
        <v>1028039.07</v>
      </c>
      <c r="AA66" s="236">
        <v>362488.22</v>
      </c>
      <c r="AB66" s="243">
        <v>176758.82</v>
      </c>
      <c r="AC66" s="236">
        <v>40744.400000000001</v>
      </c>
      <c r="AD66" s="236">
        <v>1076145.94</v>
      </c>
      <c r="AE66" s="236">
        <v>680.56999999999994</v>
      </c>
      <c r="AF66" s="236">
        <v>0</v>
      </c>
      <c r="AG66" s="236">
        <v>119866.69</v>
      </c>
      <c r="AH66" s="236">
        <v>0</v>
      </c>
      <c r="AI66" s="236">
        <v>0</v>
      </c>
      <c r="AJ66" s="236">
        <v>8175688.6300000008</v>
      </c>
      <c r="AK66" s="236">
        <v>0</v>
      </c>
      <c r="AL66" s="236">
        <v>0</v>
      </c>
      <c r="AM66" s="236">
        <v>0</v>
      </c>
      <c r="AN66" s="236">
        <v>0</v>
      </c>
      <c r="AO66" s="236">
        <v>0</v>
      </c>
      <c r="AP66" s="236">
        <v>0</v>
      </c>
      <c r="AQ66" s="236">
        <v>0</v>
      </c>
      <c r="AR66" s="236">
        <v>106701.85</v>
      </c>
      <c r="AS66" s="236">
        <v>0</v>
      </c>
      <c r="AT66" s="236">
        <v>0</v>
      </c>
      <c r="AU66" s="236">
        <v>0</v>
      </c>
      <c r="AV66" s="242">
        <v>1451205.5700000005</v>
      </c>
      <c r="AW66" s="242">
        <v>0</v>
      </c>
      <c r="AX66" s="242">
        <v>160120.15</v>
      </c>
      <c r="AY66" s="236">
        <v>157261.57999999999</v>
      </c>
      <c r="AZ66" s="236">
        <v>0</v>
      </c>
      <c r="BA66" s="242">
        <v>123555.64</v>
      </c>
      <c r="BB66" s="242">
        <v>0</v>
      </c>
      <c r="BC66" s="242">
        <v>64041.41</v>
      </c>
      <c r="BD66" s="242">
        <v>394773.49</v>
      </c>
      <c r="BE66" s="236">
        <v>3991178.97</v>
      </c>
      <c r="BF66" s="242">
        <v>287110.65999999997</v>
      </c>
      <c r="BG66" s="242">
        <v>378896.46</v>
      </c>
      <c r="BH66" s="242">
        <v>316819.01</v>
      </c>
      <c r="BI66" s="242">
        <v>0</v>
      </c>
      <c r="BJ66" s="242">
        <v>1496.4700000000089</v>
      </c>
      <c r="BK66" s="242">
        <v>15580271.76</v>
      </c>
      <c r="BL66" s="242">
        <v>5543155.2400000002</v>
      </c>
      <c r="BM66" s="242">
        <v>0</v>
      </c>
      <c r="BN66" s="242">
        <v>2466913.8099999996</v>
      </c>
      <c r="BO66" s="242">
        <v>299595.13</v>
      </c>
      <c r="BP66" s="242">
        <v>1699411.78</v>
      </c>
      <c r="BQ66" s="242">
        <v>0</v>
      </c>
      <c r="BR66" s="242">
        <v>1478579.8399999999</v>
      </c>
      <c r="BS66" s="242">
        <v>23516.82</v>
      </c>
      <c r="BT66" s="242">
        <v>6579.0199999999959</v>
      </c>
      <c r="BU66" s="242">
        <v>49361.580000000009</v>
      </c>
      <c r="BV66" s="242">
        <v>33227.730000000003</v>
      </c>
      <c r="BW66" s="242">
        <v>456880.94999999995</v>
      </c>
      <c r="BX66" s="242">
        <v>769848.56</v>
      </c>
      <c r="BY66" s="242">
        <v>156957.6</v>
      </c>
      <c r="BZ66" s="242">
        <v>0</v>
      </c>
      <c r="CA66" s="242">
        <v>218791.48999999996</v>
      </c>
      <c r="CB66" s="242">
        <v>246631.76</v>
      </c>
      <c r="CC66" s="242">
        <v>12015973.380000001</v>
      </c>
      <c r="CD66" s="24" t="s">
        <v>248</v>
      </c>
      <c r="CE66" s="25">
        <f t="shared" si="6"/>
        <v>62487341.610000022</v>
      </c>
      <c r="CF66" s="314">
        <v>0</v>
      </c>
    </row>
    <row r="67" spans="1:84" x14ac:dyDescent="0.25">
      <c r="A67" s="31" t="s">
        <v>16</v>
      </c>
      <c r="B67" s="16"/>
      <c r="C67" s="25">
        <f t="shared" ref="C67:AH67" si="10">ROUND(C51+C52,0)</f>
        <v>393061</v>
      </c>
      <c r="D67" s="25">
        <f t="shared" si="10"/>
        <v>0</v>
      </c>
      <c r="E67" s="25">
        <f t="shared" si="10"/>
        <v>960913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146055</v>
      </c>
      <c r="P67" s="25">
        <f t="shared" si="10"/>
        <v>2270897</v>
      </c>
      <c r="Q67" s="25">
        <f t="shared" si="10"/>
        <v>23241</v>
      </c>
      <c r="R67" s="25">
        <f t="shared" si="10"/>
        <v>0</v>
      </c>
      <c r="S67" s="25">
        <f t="shared" si="10"/>
        <v>105505</v>
      </c>
      <c r="T67" s="25">
        <f t="shared" si="10"/>
        <v>15717</v>
      </c>
      <c r="U67" s="25">
        <f t="shared" si="10"/>
        <v>146803</v>
      </c>
      <c r="V67" s="25">
        <f t="shared" si="10"/>
        <v>59170</v>
      </c>
      <c r="W67" s="25">
        <f t="shared" si="10"/>
        <v>0</v>
      </c>
      <c r="X67" s="25">
        <f t="shared" si="10"/>
        <v>17308</v>
      </c>
      <c r="Y67" s="25">
        <f t="shared" si="10"/>
        <v>745712</v>
      </c>
      <c r="Z67" s="25">
        <f t="shared" si="10"/>
        <v>653037</v>
      </c>
      <c r="AA67" s="25">
        <f t="shared" si="10"/>
        <v>17033</v>
      </c>
      <c r="AB67" s="25">
        <f t="shared" si="10"/>
        <v>122860</v>
      </c>
      <c r="AC67" s="25">
        <f t="shared" si="10"/>
        <v>64347</v>
      </c>
      <c r="AD67" s="25">
        <f t="shared" si="10"/>
        <v>24225</v>
      </c>
      <c r="AE67" s="25">
        <f t="shared" si="10"/>
        <v>181958</v>
      </c>
      <c r="AF67" s="25">
        <f t="shared" si="10"/>
        <v>0</v>
      </c>
      <c r="AG67" s="25">
        <f t="shared" si="10"/>
        <v>268753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2141180</v>
      </c>
      <c r="AK67" s="25">
        <f t="shared" si="11"/>
        <v>60727</v>
      </c>
      <c r="AL67" s="25">
        <f t="shared" si="11"/>
        <v>12705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14780</v>
      </c>
      <c r="AW67" s="25">
        <f t="shared" si="11"/>
        <v>0</v>
      </c>
      <c r="AX67" s="25">
        <f t="shared" si="11"/>
        <v>0</v>
      </c>
      <c r="AY67" s="25">
        <f t="shared" si="11"/>
        <v>36387</v>
      </c>
      <c r="AZ67" s="25">
        <f t="shared" si="11"/>
        <v>105103</v>
      </c>
      <c r="BA67" s="25">
        <f t="shared" si="11"/>
        <v>39754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1567512</v>
      </c>
      <c r="BF67" s="25">
        <f t="shared" si="11"/>
        <v>18688</v>
      </c>
      <c r="BG67" s="25">
        <f t="shared" si="11"/>
        <v>0</v>
      </c>
      <c r="BH67" s="25">
        <f t="shared" si="11"/>
        <v>0</v>
      </c>
      <c r="BI67" s="25">
        <f t="shared" si="11"/>
        <v>8912</v>
      </c>
      <c r="BJ67" s="25">
        <f t="shared" si="11"/>
        <v>0</v>
      </c>
      <c r="BK67" s="25">
        <f t="shared" si="11"/>
        <v>0</v>
      </c>
      <c r="BL67" s="25">
        <f t="shared" si="11"/>
        <v>2132</v>
      </c>
      <c r="BM67" s="25">
        <f t="shared" si="11"/>
        <v>0</v>
      </c>
      <c r="BN67" s="25">
        <f t="shared" si="11"/>
        <v>444585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112156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47322</v>
      </c>
      <c r="BW67" s="25">
        <f t="shared" si="12"/>
        <v>0</v>
      </c>
      <c r="BX67" s="25">
        <f t="shared" si="12"/>
        <v>0</v>
      </c>
      <c r="BY67" s="25">
        <f t="shared" si="12"/>
        <v>45443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329360</v>
      </c>
      <c r="CD67" s="24" t="s">
        <v>248</v>
      </c>
      <c r="CE67" s="25">
        <f t="shared" si="6"/>
        <v>11203341</v>
      </c>
      <c r="CF67" s="314">
        <v>0</v>
      </c>
    </row>
    <row r="68" spans="1:84" x14ac:dyDescent="0.25">
      <c r="A68" s="31" t="s">
        <v>268</v>
      </c>
      <c r="B68" s="25"/>
      <c r="C68" s="234">
        <v>3415.24</v>
      </c>
      <c r="D68" s="234">
        <v>0</v>
      </c>
      <c r="E68" s="234">
        <v>18565.03</v>
      </c>
      <c r="F68" s="234">
        <v>0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5115.0600000000004</v>
      </c>
      <c r="P68" s="236">
        <v>1324227.19</v>
      </c>
      <c r="Q68" s="236">
        <v>1174.45</v>
      </c>
      <c r="R68" s="236">
        <v>0</v>
      </c>
      <c r="S68" s="242">
        <v>-1549.2400000000002</v>
      </c>
      <c r="T68" s="242">
        <v>0</v>
      </c>
      <c r="U68" s="237">
        <v>104885.89</v>
      </c>
      <c r="V68" s="236">
        <v>62906.69</v>
      </c>
      <c r="W68" s="236">
        <v>163.52000000000001</v>
      </c>
      <c r="X68" s="236">
        <v>335.74</v>
      </c>
      <c r="Y68" s="236">
        <v>308588.71000000002</v>
      </c>
      <c r="Z68" s="236">
        <v>2617.4499999999998</v>
      </c>
      <c r="AA68" s="236">
        <v>707.88</v>
      </c>
      <c r="AB68" s="243">
        <v>267786.19</v>
      </c>
      <c r="AC68" s="236">
        <v>4114.49</v>
      </c>
      <c r="AD68" s="236">
        <v>0</v>
      </c>
      <c r="AE68" s="236">
        <v>191221.08</v>
      </c>
      <c r="AF68" s="236">
        <v>0</v>
      </c>
      <c r="AG68" s="236">
        <v>54535.61</v>
      </c>
      <c r="AH68" s="236">
        <v>0</v>
      </c>
      <c r="AI68" s="236">
        <v>0</v>
      </c>
      <c r="AJ68" s="236">
        <v>5673350.9100000001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0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73228.44</v>
      </c>
      <c r="AW68" s="242">
        <v>0</v>
      </c>
      <c r="AX68" s="242">
        <v>0</v>
      </c>
      <c r="AY68" s="236">
        <v>4600.22</v>
      </c>
      <c r="AZ68" s="236">
        <v>0</v>
      </c>
      <c r="BA68" s="242">
        <v>0</v>
      </c>
      <c r="BB68" s="242">
        <v>0</v>
      </c>
      <c r="BC68" s="242">
        <v>0</v>
      </c>
      <c r="BD68" s="242">
        <v>325301.26</v>
      </c>
      <c r="BE68" s="236">
        <v>3301.59</v>
      </c>
      <c r="BF68" s="242">
        <v>1341.39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5900.43</v>
      </c>
      <c r="BM68" s="242">
        <v>0</v>
      </c>
      <c r="BN68" s="242">
        <v>219857.25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11643.76</v>
      </c>
      <c r="BZ68" s="242">
        <v>0</v>
      </c>
      <c r="CA68" s="242">
        <v>0</v>
      </c>
      <c r="CB68" s="242">
        <v>0</v>
      </c>
      <c r="CC68" s="242">
        <v>5890.5999999999767</v>
      </c>
      <c r="CD68" s="24" t="s">
        <v>248</v>
      </c>
      <c r="CE68" s="25">
        <f t="shared" si="6"/>
        <v>8673226.8300000001</v>
      </c>
      <c r="CF68" s="314">
        <v>0</v>
      </c>
    </row>
    <row r="69" spans="1:84" x14ac:dyDescent="0.25">
      <c r="A69" s="31" t="s">
        <v>269</v>
      </c>
      <c r="B69" s="16"/>
      <c r="C69" s="25">
        <f t="shared" ref="C69:AH69" si="13">SUM(C70:C83)</f>
        <v>-10177.990000000002</v>
      </c>
      <c r="D69" s="25">
        <f t="shared" si="13"/>
        <v>0</v>
      </c>
      <c r="E69" s="25">
        <f t="shared" si="13"/>
        <v>450811.67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360478.82000000007</v>
      </c>
      <c r="P69" s="25">
        <f t="shared" si="13"/>
        <v>2334641.6900000004</v>
      </c>
      <c r="Q69" s="25">
        <f t="shared" si="13"/>
        <v>121249.66</v>
      </c>
      <c r="R69" s="25">
        <f t="shared" si="13"/>
        <v>0</v>
      </c>
      <c r="S69" s="25">
        <f t="shared" si="13"/>
        <v>52814.509999999995</v>
      </c>
      <c r="T69" s="25">
        <f t="shared" si="13"/>
        <v>540</v>
      </c>
      <c r="U69" s="25">
        <f t="shared" si="13"/>
        <v>1488290.6900000002</v>
      </c>
      <c r="V69" s="25">
        <f t="shared" si="13"/>
        <v>33677.160000000003</v>
      </c>
      <c r="W69" s="25">
        <f t="shared" si="13"/>
        <v>305346.05</v>
      </c>
      <c r="X69" s="25">
        <f t="shared" si="13"/>
        <v>589785.1</v>
      </c>
      <c r="Y69" s="25">
        <f t="shared" si="13"/>
        <v>171883.93</v>
      </c>
      <c r="Z69" s="25">
        <f t="shared" si="13"/>
        <v>346089.41000000003</v>
      </c>
      <c r="AA69" s="25">
        <f t="shared" si="13"/>
        <v>0</v>
      </c>
      <c r="AB69" s="25">
        <f t="shared" si="13"/>
        <v>2235033.13</v>
      </c>
      <c r="AC69" s="25">
        <f t="shared" si="13"/>
        <v>10834.91</v>
      </c>
      <c r="AD69" s="25">
        <f t="shared" si="13"/>
        <v>0</v>
      </c>
      <c r="AE69" s="25">
        <f t="shared" si="13"/>
        <v>40</v>
      </c>
      <c r="AF69" s="25">
        <f t="shared" si="13"/>
        <v>0</v>
      </c>
      <c r="AG69" s="25">
        <f t="shared" si="13"/>
        <v>178786.12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4622814.9999999981</v>
      </c>
      <c r="AK69" s="25">
        <f t="shared" si="14"/>
        <v>0</v>
      </c>
      <c r="AL69" s="25">
        <f t="shared" si="14"/>
        <v>8349.619999999999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13471.260000000002</v>
      </c>
      <c r="AW69" s="25">
        <f t="shared" si="14"/>
        <v>0</v>
      </c>
      <c r="AX69" s="25">
        <f t="shared" si="14"/>
        <v>0</v>
      </c>
      <c r="AY69" s="25">
        <f t="shared" si="14"/>
        <v>69471.039999999994</v>
      </c>
      <c r="AZ69" s="25">
        <f t="shared" si="14"/>
        <v>0</v>
      </c>
      <c r="BA69" s="25">
        <f t="shared" si="14"/>
        <v>31584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913262.2799999998</v>
      </c>
      <c r="BF69" s="25">
        <f t="shared" si="14"/>
        <v>189846.76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111683</v>
      </c>
      <c r="BL69" s="25">
        <f t="shared" si="14"/>
        <v>3695.66</v>
      </c>
      <c r="BM69" s="25">
        <f t="shared" si="14"/>
        <v>0</v>
      </c>
      <c r="BN69" s="25">
        <f t="shared" si="14"/>
        <v>10241337.08</v>
      </c>
      <c r="BO69" s="25">
        <f t="shared" ref="BO69:CD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-268350.38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4462.5</v>
      </c>
      <c r="BX69" s="25">
        <f t="shared" si="15"/>
        <v>0</v>
      </c>
      <c r="BY69" s="25">
        <f t="shared" si="15"/>
        <v>30896.609999999997</v>
      </c>
      <c r="BZ69" s="25">
        <f t="shared" si="15"/>
        <v>40</v>
      </c>
      <c r="CA69" s="25">
        <f t="shared" si="15"/>
        <v>0</v>
      </c>
      <c r="CB69" s="25">
        <f t="shared" si="15"/>
        <v>0</v>
      </c>
      <c r="CC69" s="25">
        <f t="shared" si="15"/>
        <v>135368.32000000001</v>
      </c>
      <c r="CD69" s="25">
        <f t="shared" si="15"/>
        <v>12722383.700000001</v>
      </c>
      <c r="CE69" s="25">
        <f>SUM(CE70:CE83)</f>
        <v>37500441.310000002</v>
      </c>
      <c r="CF69" s="314">
        <v>0</v>
      </c>
    </row>
    <row r="70" spans="1:84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617932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6">SUM(C70:CD70)</f>
        <v>617932</v>
      </c>
      <c r="CF70" s="314">
        <v>0</v>
      </c>
    </row>
    <row r="71" spans="1:84" x14ac:dyDescent="0.25">
      <c r="A71" s="26" t="s">
        <v>271</v>
      </c>
      <c r="B71" s="27"/>
      <c r="C71" s="244">
        <v>-36383.75</v>
      </c>
      <c r="D71" s="244">
        <v>0</v>
      </c>
      <c r="E71" s="244">
        <v>83557.049999999988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246115.77000000002</v>
      </c>
      <c r="P71" s="244">
        <v>1553658.08</v>
      </c>
      <c r="Q71" s="244">
        <v>110692.02</v>
      </c>
      <c r="R71" s="244">
        <v>0</v>
      </c>
      <c r="S71" s="244">
        <v>0</v>
      </c>
      <c r="T71" s="244">
        <v>0</v>
      </c>
      <c r="U71" s="244">
        <v>0</v>
      </c>
      <c r="V71" s="244">
        <v>17078.05</v>
      </c>
      <c r="W71" s="244">
        <v>283939.20000000001</v>
      </c>
      <c r="X71" s="244">
        <v>589785.1</v>
      </c>
      <c r="Y71" s="244">
        <v>115010.75</v>
      </c>
      <c r="Z71" s="244">
        <v>13612.5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-87699</v>
      </c>
      <c r="AH71" s="244">
        <v>0</v>
      </c>
      <c r="AI71" s="244">
        <v>0</v>
      </c>
      <c r="AJ71" s="244">
        <v>949409.84000000008</v>
      </c>
      <c r="AK71" s="244">
        <v>0</v>
      </c>
      <c r="AL71" s="244">
        <v>8349.619999999999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-39000</v>
      </c>
      <c r="AW71" s="244">
        <v>0</v>
      </c>
      <c r="AX71" s="244">
        <v>0</v>
      </c>
      <c r="AY71" s="244">
        <v>16930</v>
      </c>
      <c r="AZ71" s="244">
        <v>0</v>
      </c>
      <c r="BA71" s="244">
        <v>31584</v>
      </c>
      <c r="BB71" s="244">
        <v>0</v>
      </c>
      <c r="BC71" s="244">
        <v>0</v>
      </c>
      <c r="BD71" s="244">
        <v>0</v>
      </c>
      <c r="BE71" s="244">
        <v>0</v>
      </c>
      <c r="BF71" s="244">
        <v>189737.7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4462.5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-4613.6900000000005</v>
      </c>
      <c r="CD71" s="244">
        <v>139880.78</v>
      </c>
      <c r="CE71" s="25">
        <f t="shared" si="16"/>
        <v>4186106.5200000005</v>
      </c>
      <c r="CF71" s="314">
        <v>0</v>
      </c>
    </row>
    <row r="72" spans="1:84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6"/>
        <v>0</v>
      </c>
      <c r="CF72" s="314">
        <v>0</v>
      </c>
    </row>
    <row r="73" spans="1:84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810767.01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724.08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1678574.0799999998</v>
      </c>
      <c r="CE73" s="25">
        <f t="shared" si="16"/>
        <v>2490065.17</v>
      </c>
      <c r="CF73" s="314">
        <v>0</v>
      </c>
    </row>
    <row r="74" spans="1:84" x14ac:dyDescent="0.25">
      <c r="A74" s="26" t="s">
        <v>274</v>
      </c>
      <c r="B74" s="27"/>
      <c r="C74" s="244">
        <v>0</v>
      </c>
      <c r="D74" s="244">
        <v>0</v>
      </c>
      <c r="E74" s="244">
        <v>238671.14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75187.490000000005</v>
      </c>
      <c r="P74" s="244">
        <v>234660.38</v>
      </c>
      <c r="Q74" s="244">
        <v>3783.63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21406.85</v>
      </c>
      <c r="X74" s="244">
        <v>0</v>
      </c>
      <c r="Y74" s="244">
        <v>34327.26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127232.17</v>
      </c>
      <c r="AH74" s="244">
        <v>0</v>
      </c>
      <c r="AI74" s="244">
        <v>0</v>
      </c>
      <c r="AJ74" s="244">
        <v>133862.22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6"/>
        <v>869131.14</v>
      </c>
      <c r="CF74" s="314">
        <v>0</v>
      </c>
    </row>
    <row r="75" spans="1:84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62440.18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264560.64000000001</v>
      </c>
      <c r="CE75" s="25">
        <f t="shared" si="16"/>
        <v>327000.82</v>
      </c>
      <c r="CF75" s="314">
        <v>0</v>
      </c>
    </row>
    <row r="76" spans="1:84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816471.94000000006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3.64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6"/>
        <v>816475.58000000007</v>
      </c>
      <c r="CF76" s="314">
        <v>0</v>
      </c>
    </row>
    <row r="77" spans="1:84" x14ac:dyDescent="0.25">
      <c r="A77" s="26" t="s">
        <v>277</v>
      </c>
      <c r="B77" s="27"/>
      <c r="C77" s="244">
        <v>10057.42</v>
      </c>
      <c r="D77" s="244">
        <v>0</v>
      </c>
      <c r="E77" s="244">
        <v>10605.05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22694.45</v>
      </c>
      <c r="P77" s="244">
        <v>443243.1</v>
      </c>
      <c r="Q77" s="244">
        <v>249.48</v>
      </c>
      <c r="R77" s="244">
        <v>0</v>
      </c>
      <c r="S77" s="244">
        <v>1466.97</v>
      </c>
      <c r="T77" s="244">
        <v>0</v>
      </c>
      <c r="U77" s="244">
        <v>19026.07</v>
      </c>
      <c r="V77" s="244">
        <v>15812.25</v>
      </c>
      <c r="W77" s="244">
        <v>0</v>
      </c>
      <c r="X77" s="244">
        <v>0</v>
      </c>
      <c r="Y77" s="244">
        <v>7482.16</v>
      </c>
      <c r="Z77" s="244">
        <v>331944.71000000002</v>
      </c>
      <c r="AA77" s="244">
        <v>0</v>
      </c>
      <c r="AB77" s="244">
        <v>78792.509999999995</v>
      </c>
      <c r="AC77" s="244">
        <v>1317.09</v>
      </c>
      <c r="AD77" s="244">
        <v>0</v>
      </c>
      <c r="AE77" s="244">
        <v>0</v>
      </c>
      <c r="AF77" s="244">
        <v>0</v>
      </c>
      <c r="AG77" s="244">
        <v>46969.11</v>
      </c>
      <c r="AH77" s="244">
        <v>0</v>
      </c>
      <c r="AI77" s="244">
        <v>0</v>
      </c>
      <c r="AJ77" s="244">
        <v>40731.410000000003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5700</v>
      </c>
      <c r="AW77" s="244">
        <v>0</v>
      </c>
      <c r="AX77" s="244">
        <v>0</v>
      </c>
      <c r="AY77" s="244">
        <v>52371.93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872219.1399999999</v>
      </c>
      <c r="BF77" s="244">
        <v>109.06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1992.9</v>
      </c>
      <c r="BM77" s="244">
        <v>0</v>
      </c>
      <c r="BN77" s="244">
        <v>20719.699999999997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6545.85</v>
      </c>
      <c r="BZ77" s="244">
        <v>0</v>
      </c>
      <c r="CA77" s="244">
        <v>0</v>
      </c>
      <c r="CB77" s="244">
        <v>0</v>
      </c>
      <c r="CC77" s="244">
        <v>0</v>
      </c>
      <c r="CD77" s="244">
        <v>-15900</v>
      </c>
      <c r="CE77" s="25">
        <f t="shared" si="16"/>
        <v>1974150.3599999999</v>
      </c>
      <c r="CF77" s="314">
        <v>0</v>
      </c>
    </row>
    <row r="78" spans="1:84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1399612.97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7590324.46</v>
      </c>
      <c r="CE78" s="25">
        <f t="shared" si="16"/>
        <v>8989937.4299999997</v>
      </c>
      <c r="CF78" s="314">
        <v>0</v>
      </c>
    </row>
    <row r="79" spans="1:84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28393.61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6"/>
        <v>28393.61</v>
      </c>
      <c r="CF79" s="314">
        <v>0</v>
      </c>
    </row>
    <row r="80" spans="1:84" x14ac:dyDescent="0.25">
      <c r="A80" s="26" t="s">
        <v>280</v>
      </c>
      <c r="B80" s="16"/>
      <c r="C80" s="244">
        <v>7089</v>
      </c>
      <c r="D80" s="244">
        <v>0</v>
      </c>
      <c r="E80" s="244">
        <v>19147.059999999998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8149.96</v>
      </c>
      <c r="P80" s="244">
        <v>6831.92</v>
      </c>
      <c r="Q80" s="244">
        <v>5725</v>
      </c>
      <c r="R80" s="244">
        <v>0</v>
      </c>
      <c r="S80" s="244">
        <v>0</v>
      </c>
      <c r="T80" s="244">
        <v>540</v>
      </c>
      <c r="U80" s="244">
        <v>0</v>
      </c>
      <c r="V80" s="244">
        <v>565</v>
      </c>
      <c r="W80" s="244">
        <v>0</v>
      </c>
      <c r="X80" s="244">
        <v>0</v>
      </c>
      <c r="Y80" s="244">
        <v>1606.61</v>
      </c>
      <c r="Z80" s="244">
        <v>0</v>
      </c>
      <c r="AA80" s="244">
        <v>0</v>
      </c>
      <c r="AB80" s="244">
        <v>2084.94</v>
      </c>
      <c r="AC80" s="244">
        <v>3387.44</v>
      </c>
      <c r="AD80" s="244">
        <v>0</v>
      </c>
      <c r="AE80" s="244">
        <v>0</v>
      </c>
      <c r="AF80" s="244">
        <v>0</v>
      </c>
      <c r="AG80" s="244">
        <v>33796.65</v>
      </c>
      <c r="AH80" s="244">
        <v>0</v>
      </c>
      <c r="AI80" s="244">
        <v>0</v>
      </c>
      <c r="AJ80" s="244">
        <v>115541.86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8558</v>
      </c>
      <c r="AW80" s="244">
        <v>0</v>
      </c>
      <c r="AX80" s="244">
        <v>0</v>
      </c>
      <c r="AY80" s="244">
        <v>150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420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10318.959999999999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f t="shared" si="16"/>
        <v>223912.4</v>
      </c>
      <c r="CF80" s="314">
        <v>0</v>
      </c>
    </row>
    <row r="81" spans="1:84" x14ac:dyDescent="0.2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4477.24</v>
      </c>
      <c r="Q81" s="244">
        <v>0</v>
      </c>
      <c r="R81" s="244">
        <v>0</v>
      </c>
      <c r="S81" s="244">
        <v>0</v>
      </c>
      <c r="T81" s="244">
        <v>0</v>
      </c>
      <c r="U81" s="244">
        <v>1168.0899999999999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594486.56999999995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20228.34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10009263.5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3405631.1500000004</v>
      </c>
      <c r="CE81" s="25">
        <f t="shared" si="16"/>
        <v>14035254.890000001</v>
      </c>
      <c r="CF81" s="314">
        <v>0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6"/>
        <v>0</v>
      </c>
      <c r="CF82" s="314">
        <v>0</v>
      </c>
    </row>
    <row r="83" spans="1:84" x14ac:dyDescent="0.25">
      <c r="A83" s="26" t="s">
        <v>283</v>
      </c>
      <c r="B83" s="16"/>
      <c r="C83" s="234">
        <v>9059.34</v>
      </c>
      <c r="D83" s="234">
        <v>0</v>
      </c>
      <c r="E83" s="236">
        <v>98831.37000000001</v>
      </c>
      <c r="F83" s="236">
        <v>0</v>
      </c>
      <c r="G83" s="234">
        <v>0</v>
      </c>
      <c r="H83" s="234">
        <v>0</v>
      </c>
      <c r="I83" s="236">
        <v>0</v>
      </c>
      <c r="J83" s="236">
        <v>0</v>
      </c>
      <c r="K83" s="236">
        <v>0</v>
      </c>
      <c r="L83" s="236">
        <v>0</v>
      </c>
      <c r="M83" s="234">
        <v>0</v>
      </c>
      <c r="N83" s="234">
        <v>0</v>
      </c>
      <c r="O83" s="234">
        <v>8331.15</v>
      </c>
      <c r="P83" s="236">
        <v>91770.97</v>
      </c>
      <c r="Q83" s="236">
        <v>799.53</v>
      </c>
      <c r="R83" s="237">
        <v>0</v>
      </c>
      <c r="S83" s="236">
        <v>51347.539999999994</v>
      </c>
      <c r="T83" s="234">
        <v>0</v>
      </c>
      <c r="U83" s="236">
        <v>33692.589999999997</v>
      </c>
      <c r="V83" s="236">
        <v>221.85999999999999</v>
      </c>
      <c r="W83" s="234">
        <v>0</v>
      </c>
      <c r="X83" s="236">
        <v>0</v>
      </c>
      <c r="Y83" s="236">
        <v>13457.150000000001</v>
      </c>
      <c r="Z83" s="236">
        <v>532.20000000000005</v>
      </c>
      <c r="AA83" s="236">
        <v>0</v>
      </c>
      <c r="AB83" s="236">
        <v>2154155.6799999997</v>
      </c>
      <c r="AC83" s="236">
        <v>6130.38</v>
      </c>
      <c r="AD83" s="236">
        <v>0</v>
      </c>
      <c r="AE83" s="236">
        <v>40</v>
      </c>
      <c r="AF83" s="236">
        <v>0</v>
      </c>
      <c r="AG83" s="236">
        <v>58487.19</v>
      </c>
      <c r="AH83" s="236">
        <v>0</v>
      </c>
      <c r="AI83" s="236">
        <v>0</v>
      </c>
      <c r="AJ83" s="236">
        <v>487565.68999999948</v>
      </c>
      <c r="AK83" s="236">
        <v>0</v>
      </c>
      <c r="AL83" s="236">
        <v>0</v>
      </c>
      <c r="AM83" s="236">
        <v>0</v>
      </c>
      <c r="AN83" s="236">
        <v>0</v>
      </c>
      <c r="AO83" s="234">
        <v>0</v>
      </c>
      <c r="AP83" s="236">
        <v>0</v>
      </c>
      <c r="AQ83" s="234">
        <v>0</v>
      </c>
      <c r="AR83" s="234">
        <v>0</v>
      </c>
      <c r="AS83" s="234">
        <v>0</v>
      </c>
      <c r="AT83" s="234">
        <v>0</v>
      </c>
      <c r="AU83" s="236">
        <v>0</v>
      </c>
      <c r="AV83" s="236">
        <v>38213.26</v>
      </c>
      <c r="AW83" s="236">
        <v>0</v>
      </c>
      <c r="AX83" s="236">
        <v>0</v>
      </c>
      <c r="AY83" s="236">
        <v>19.11</v>
      </c>
      <c r="AZ83" s="236">
        <v>0</v>
      </c>
      <c r="BA83" s="236">
        <v>0</v>
      </c>
      <c r="BB83" s="236">
        <v>0</v>
      </c>
      <c r="BC83" s="236">
        <v>0</v>
      </c>
      <c r="BD83" s="236">
        <v>0</v>
      </c>
      <c r="BE83" s="236">
        <v>20090.72</v>
      </c>
      <c r="BF83" s="236">
        <v>0</v>
      </c>
      <c r="BG83" s="236">
        <v>0</v>
      </c>
      <c r="BH83" s="237">
        <v>0</v>
      </c>
      <c r="BI83" s="236">
        <v>0</v>
      </c>
      <c r="BJ83" s="236">
        <v>0</v>
      </c>
      <c r="BK83" s="236">
        <v>111683</v>
      </c>
      <c r="BL83" s="236">
        <v>1702.76</v>
      </c>
      <c r="BM83" s="236">
        <v>0</v>
      </c>
      <c r="BN83" s="236">
        <v>210933.87999999998</v>
      </c>
      <c r="BO83" s="236">
        <v>0</v>
      </c>
      <c r="BP83" s="236">
        <v>0</v>
      </c>
      <c r="BQ83" s="236">
        <v>0</v>
      </c>
      <c r="BR83" s="236">
        <v>-268350.38</v>
      </c>
      <c r="BS83" s="236">
        <v>0</v>
      </c>
      <c r="BT83" s="236">
        <v>0</v>
      </c>
      <c r="BU83" s="236">
        <v>0</v>
      </c>
      <c r="BV83" s="236">
        <v>0</v>
      </c>
      <c r="BW83" s="236">
        <v>0</v>
      </c>
      <c r="BX83" s="236">
        <v>0</v>
      </c>
      <c r="BY83" s="236">
        <v>14031.8</v>
      </c>
      <c r="BZ83" s="236">
        <v>40</v>
      </c>
      <c r="CA83" s="236">
        <v>0</v>
      </c>
      <c r="CB83" s="236">
        <v>0</v>
      </c>
      <c r="CC83" s="236">
        <v>139982.01</v>
      </c>
      <c r="CD83" s="244">
        <f>-340819.41+132</f>
        <v>-340687.41</v>
      </c>
      <c r="CE83" s="25">
        <f t="shared" si="16"/>
        <v>2942081.3899999987</v>
      </c>
      <c r="CF83" s="314">
        <v>0</v>
      </c>
    </row>
    <row r="84" spans="1:84" x14ac:dyDescent="0.25">
      <c r="A84" s="31" t="s">
        <v>284</v>
      </c>
      <c r="B84" s="16"/>
      <c r="C84" s="234">
        <v>5000</v>
      </c>
      <c r="D84" s="234">
        <v>0</v>
      </c>
      <c r="E84" s="234">
        <v>6750</v>
      </c>
      <c r="F84" s="234">
        <v>0</v>
      </c>
      <c r="G84" s="234">
        <v>0</v>
      </c>
      <c r="H84" s="234">
        <v>0</v>
      </c>
      <c r="I84" s="234">
        <v>0</v>
      </c>
      <c r="J84" s="234">
        <v>0</v>
      </c>
      <c r="K84" s="234">
        <v>0</v>
      </c>
      <c r="L84" s="234">
        <v>0</v>
      </c>
      <c r="M84" s="234">
        <v>0</v>
      </c>
      <c r="N84" s="234">
        <v>0</v>
      </c>
      <c r="O84" s="234">
        <v>4000</v>
      </c>
      <c r="P84" s="234">
        <v>5000</v>
      </c>
      <c r="Q84" s="234">
        <v>0</v>
      </c>
      <c r="R84" s="234">
        <v>0</v>
      </c>
      <c r="S84" s="234">
        <v>670</v>
      </c>
      <c r="T84" s="234">
        <v>0</v>
      </c>
      <c r="U84" s="234">
        <v>17922.34</v>
      </c>
      <c r="V84" s="234">
        <v>0</v>
      </c>
      <c r="W84" s="234">
        <v>0</v>
      </c>
      <c r="X84" s="234">
        <v>0</v>
      </c>
      <c r="Y84" s="234">
        <v>4863.5</v>
      </c>
      <c r="Z84" s="234">
        <v>0</v>
      </c>
      <c r="AA84" s="234">
        <v>0</v>
      </c>
      <c r="AB84" s="234">
        <v>3369273.4800000004</v>
      </c>
      <c r="AC84" s="234">
        <v>0</v>
      </c>
      <c r="AD84" s="234">
        <v>0</v>
      </c>
      <c r="AE84" s="234">
        <v>0</v>
      </c>
      <c r="AF84" s="234">
        <v>0</v>
      </c>
      <c r="AG84" s="234">
        <v>-3000</v>
      </c>
      <c r="AH84" s="234">
        <v>0</v>
      </c>
      <c r="AI84" s="234">
        <v>0</v>
      </c>
      <c r="AJ84" s="234">
        <v>712879.75</v>
      </c>
      <c r="AK84" s="234">
        <v>0</v>
      </c>
      <c r="AL84" s="234">
        <v>0</v>
      </c>
      <c r="AM84" s="234">
        <v>0</v>
      </c>
      <c r="AN84" s="234">
        <v>0</v>
      </c>
      <c r="AO84" s="234">
        <v>0</v>
      </c>
      <c r="AP84" s="234">
        <v>0</v>
      </c>
      <c r="AQ84" s="234">
        <v>0</v>
      </c>
      <c r="AR84" s="234">
        <v>0</v>
      </c>
      <c r="AS84" s="234">
        <v>0</v>
      </c>
      <c r="AT84" s="234">
        <v>0</v>
      </c>
      <c r="AU84" s="234">
        <v>0</v>
      </c>
      <c r="AV84" s="234">
        <v>2033623.58</v>
      </c>
      <c r="AW84" s="234">
        <v>0</v>
      </c>
      <c r="AX84" s="234">
        <v>0</v>
      </c>
      <c r="AY84" s="234">
        <v>755457.33</v>
      </c>
      <c r="AZ84" s="234">
        <v>0</v>
      </c>
      <c r="BA84" s="234">
        <v>0</v>
      </c>
      <c r="BB84" s="234">
        <v>0</v>
      </c>
      <c r="BC84" s="234">
        <v>0</v>
      </c>
      <c r="BD84" s="234">
        <v>0</v>
      </c>
      <c r="BE84" s="234">
        <v>37181.619999999995</v>
      </c>
      <c r="BF84" s="234">
        <v>0</v>
      </c>
      <c r="BG84" s="234">
        <v>0</v>
      </c>
      <c r="BH84" s="234">
        <v>0</v>
      </c>
      <c r="BI84" s="234">
        <v>9.25</v>
      </c>
      <c r="BJ84" s="234">
        <v>0</v>
      </c>
      <c r="BK84" s="234">
        <v>0</v>
      </c>
      <c r="BL84" s="234">
        <v>0</v>
      </c>
      <c r="BM84" s="234">
        <v>0</v>
      </c>
      <c r="BN84" s="234">
        <v>0</v>
      </c>
      <c r="BO84" s="234">
        <v>0</v>
      </c>
      <c r="BP84" s="234">
        <v>0</v>
      </c>
      <c r="BQ84" s="234">
        <v>0</v>
      </c>
      <c r="BR84" s="234">
        <v>0</v>
      </c>
      <c r="BS84" s="234">
        <v>0</v>
      </c>
      <c r="BT84" s="234">
        <v>0</v>
      </c>
      <c r="BU84" s="234">
        <v>0</v>
      </c>
      <c r="BV84" s="234">
        <v>0</v>
      </c>
      <c r="BW84" s="234">
        <v>0</v>
      </c>
      <c r="BX84" s="234">
        <v>0</v>
      </c>
      <c r="BY84" s="234">
        <v>0</v>
      </c>
      <c r="BZ84" s="234">
        <v>0</v>
      </c>
      <c r="CA84" s="234">
        <v>0</v>
      </c>
      <c r="CB84" s="234">
        <v>0</v>
      </c>
      <c r="CC84" s="234">
        <v>1885161</v>
      </c>
      <c r="CD84" s="244">
        <v>4602570.96</v>
      </c>
      <c r="CE84" s="25">
        <f t="shared" si="16"/>
        <v>13437362.810000002</v>
      </c>
      <c r="CF84" s="314">
        <v>0</v>
      </c>
    </row>
    <row r="85" spans="1:84" x14ac:dyDescent="0.25">
      <c r="A85" s="31" t="s">
        <v>285</v>
      </c>
      <c r="B85" s="25"/>
      <c r="C85" s="25">
        <f t="shared" ref="C85:AH85" si="17">SUM(C61:C69)-C84</f>
        <v>12798989.260000002</v>
      </c>
      <c r="D85" s="25">
        <f t="shared" si="17"/>
        <v>0</v>
      </c>
      <c r="E85" s="25">
        <f t="shared" si="17"/>
        <v>42720321.009999983</v>
      </c>
      <c r="F85" s="25">
        <f t="shared" si="17"/>
        <v>0</v>
      </c>
      <c r="G85" s="25">
        <f t="shared" si="17"/>
        <v>0</v>
      </c>
      <c r="H85" s="25">
        <f t="shared" si="17"/>
        <v>269063.15999999997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12069217.670000002</v>
      </c>
      <c r="P85" s="25">
        <f t="shared" si="17"/>
        <v>51934677.489999995</v>
      </c>
      <c r="Q85" s="25">
        <f t="shared" si="17"/>
        <v>4858438.0000000009</v>
      </c>
      <c r="R85" s="25">
        <f t="shared" si="17"/>
        <v>0</v>
      </c>
      <c r="S85" s="25">
        <f t="shared" si="17"/>
        <v>950485.74000000011</v>
      </c>
      <c r="T85" s="25">
        <f t="shared" si="17"/>
        <v>1660769.03</v>
      </c>
      <c r="U85" s="25">
        <f t="shared" si="17"/>
        <v>7001680.6399999997</v>
      </c>
      <c r="V85" s="25">
        <f t="shared" si="17"/>
        <v>1296588.1699999995</v>
      </c>
      <c r="W85" s="25">
        <f t="shared" si="17"/>
        <v>939185.43000000017</v>
      </c>
      <c r="X85" s="25">
        <f t="shared" si="17"/>
        <v>1970735.81</v>
      </c>
      <c r="Y85" s="25">
        <f t="shared" si="17"/>
        <v>7032696.5299999993</v>
      </c>
      <c r="Z85" s="25">
        <f t="shared" si="17"/>
        <v>3189229.2300000004</v>
      </c>
      <c r="AA85" s="25">
        <f t="shared" si="17"/>
        <v>919214.48</v>
      </c>
      <c r="AB85" s="25">
        <f t="shared" si="17"/>
        <v>13227703.349999994</v>
      </c>
      <c r="AC85" s="25">
        <f t="shared" si="17"/>
        <v>2536713.5300000003</v>
      </c>
      <c r="AD85" s="25">
        <f t="shared" si="17"/>
        <v>1100370.94</v>
      </c>
      <c r="AE85" s="25">
        <f t="shared" si="17"/>
        <v>1451824.06</v>
      </c>
      <c r="AF85" s="25">
        <f t="shared" si="17"/>
        <v>0</v>
      </c>
      <c r="AG85" s="25">
        <f t="shared" si="17"/>
        <v>12674296.640000001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83596522.60999997</v>
      </c>
      <c r="AK85" s="25">
        <f t="shared" si="18"/>
        <v>428503.71</v>
      </c>
      <c r="AL85" s="25">
        <f t="shared" si="18"/>
        <v>122650.87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56553.67</v>
      </c>
      <c r="AQ85" s="25">
        <f t="shared" si="18"/>
        <v>0</v>
      </c>
      <c r="AR85" s="25">
        <f t="shared" si="18"/>
        <v>106701.85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2224789.2100000009</v>
      </c>
      <c r="AW85" s="25">
        <f t="shared" si="18"/>
        <v>0</v>
      </c>
      <c r="AX85" s="25">
        <f t="shared" si="18"/>
        <v>160120.15</v>
      </c>
      <c r="AY85" s="25">
        <f t="shared" si="18"/>
        <v>2926210.9999999995</v>
      </c>
      <c r="AZ85" s="25">
        <f t="shared" si="18"/>
        <v>105103</v>
      </c>
      <c r="BA85" s="25">
        <f t="shared" si="18"/>
        <v>194241.08000000002</v>
      </c>
      <c r="BB85" s="25">
        <f t="shared" si="18"/>
        <v>0</v>
      </c>
      <c r="BC85" s="25">
        <f t="shared" si="18"/>
        <v>441908.15</v>
      </c>
      <c r="BD85" s="25">
        <f t="shared" si="18"/>
        <v>720917.04</v>
      </c>
      <c r="BE85" s="25">
        <f t="shared" si="18"/>
        <v>9841183.3900000006</v>
      </c>
      <c r="BF85" s="25">
        <f t="shared" si="18"/>
        <v>2909591.49</v>
      </c>
      <c r="BG85" s="25">
        <f t="shared" si="18"/>
        <v>378896.46</v>
      </c>
      <c r="BH85" s="25">
        <f t="shared" si="18"/>
        <v>316819.01</v>
      </c>
      <c r="BI85" s="25">
        <f t="shared" si="18"/>
        <v>8902.75</v>
      </c>
      <c r="BJ85" s="25">
        <f t="shared" si="18"/>
        <v>244443.05</v>
      </c>
      <c r="BK85" s="25">
        <f t="shared" si="18"/>
        <v>15691954.76</v>
      </c>
      <c r="BL85" s="25">
        <f t="shared" si="18"/>
        <v>5683272.3600000003</v>
      </c>
      <c r="BM85" s="25">
        <f t="shared" si="18"/>
        <v>145651.91</v>
      </c>
      <c r="BN85" s="25">
        <f t="shared" si="18"/>
        <v>14443718.870000001</v>
      </c>
      <c r="BO85" s="25">
        <f t="shared" ref="BO85:CD85" si="19">SUM(BO61:BO69)-BO84</f>
        <v>403542.61</v>
      </c>
      <c r="BP85" s="25">
        <f t="shared" si="19"/>
        <v>1699411.78</v>
      </c>
      <c r="BQ85" s="25">
        <f t="shared" si="19"/>
        <v>0</v>
      </c>
      <c r="BR85" s="25">
        <f t="shared" si="19"/>
        <v>1322385.46</v>
      </c>
      <c r="BS85" s="25">
        <f t="shared" si="19"/>
        <v>30004.39</v>
      </c>
      <c r="BT85" s="25">
        <f t="shared" si="19"/>
        <v>137681.26999999999</v>
      </c>
      <c r="BU85" s="25">
        <f t="shared" si="19"/>
        <v>49361.580000000009</v>
      </c>
      <c r="BV85" s="25">
        <f t="shared" si="19"/>
        <v>80549.73000000001</v>
      </c>
      <c r="BW85" s="25">
        <f t="shared" si="19"/>
        <v>883638.72</v>
      </c>
      <c r="BX85" s="25">
        <f t="shared" si="19"/>
        <v>2857647.96</v>
      </c>
      <c r="BY85" s="25">
        <f t="shared" si="19"/>
        <v>3956963.7800000003</v>
      </c>
      <c r="BZ85" s="25">
        <f t="shared" si="19"/>
        <v>208174.50999999998</v>
      </c>
      <c r="CA85" s="25">
        <f t="shared" si="19"/>
        <v>1053367.18</v>
      </c>
      <c r="CB85" s="25">
        <f t="shared" si="19"/>
        <v>318985</v>
      </c>
      <c r="CC85" s="25">
        <f t="shared" si="19"/>
        <v>12997519.529999999</v>
      </c>
      <c r="CD85" s="25">
        <f t="shared" si="19"/>
        <v>8119812.7400000012</v>
      </c>
      <c r="CE85" s="25">
        <f t="shared" si="16"/>
        <v>355469902.79999977</v>
      </c>
      <c r="CF85" s="314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  <c r="CF86" s="314">
        <v>0</v>
      </c>
    </row>
    <row r="87" spans="1:84" x14ac:dyDescent="0.25">
      <c r="A87" s="21" t="s">
        <v>287</v>
      </c>
      <c r="B87" s="16"/>
      <c r="C87" s="234">
        <v>37483559.629999995</v>
      </c>
      <c r="D87" s="234">
        <v>0</v>
      </c>
      <c r="E87" s="234">
        <v>146230164.59000003</v>
      </c>
      <c r="F87" s="234">
        <v>0</v>
      </c>
      <c r="G87" s="234">
        <v>0</v>
      </c>
      <c r="H87" s="234">
        <v>0</v>
      </c>
      <c r="I87" s="234">
        <v>0</v>
      </c>
      <c r="J87" s="234">
        <v>0</v>
      </c>
      <c r="K87" s="234">
        <v>0</v>
      </c>
      <c r="L87" s="234">
        <v>0</v>
      </c>
      <c r="M87" s="234">
        <v>0</v>
      </c>
      <c r="N87" s="234">
        <v>0</v>
      </c>
      <c r="O87" s="234">
        <v>66321020.380000003</v>
      </c>
      <c r="P87" s="234">
        <v>185296765.57999998</v>
      </c>
      <c r="Q87" s="234">
        <v>9242997.3599999994</v>
      </c>
      <c r="R87" s="234">
        <v>0</v>
      </c>
      <c r="S87" s="234">
        <v>-782.56</v>
      </c>
      <c r="T87" s="234">
        <v>8184572.1600000001</v>
      </c>
      <c r="U87" s="234">
        <v>56326375.539999999</v>
      </c>
      <c r="V87" s="234">
        <v>15358051.57</v>
      </c>
      <c r="W87" s="234">
        <v>7294488.1200000001</v>
      </c>
      <c r="X87" s="234">
        <v>57626607.169999994</v>
      </c>
      <c r="Y87" s="234">
        <v>14762263.679999996</v>
      </c>
      <c r="Z87" s="234">
        <v>282138.32</v>
      </c>
      <c r="AA87" s="234">
        <v>2138665.9900000002</v>
      </c>
      <c r="AB87" s="234">
        <v>101768270.36999999</v>
      </c>
      <c r="AC87" s="234">
        <v>32535890.250000004</v>
      </c>
      <c r="AD87" s="234">
        <v>4433093.42</v>
      </c>
      <c r="AE87" s="234">
        <v>5018756.7500000009</v>
      </c>
      <c r="AF87" s="234">
        <v>0</v>
      </c>
      <c r="AG87" s="234">
        <v>52653603.459999993</v>
      </c>
      <c r="AH87" s="234">
        <v>0</v>
      </c>
      <c r="AI87" s="234">
        <v>0</v>
      </c>
      <c r="AJ87" s="234">
        <v>115445.70999999999</v>
      </c>
      <c r="AK87" s="234">
        <v>2824504.6199999996</v>
      </c>
      <c r="AL87" s="234">
        <v>1141752.52</v>
      </c>
      <c r="AM87" s="234">
        <v>0</v>
      </c>
      <c r="AN87" s="234">
        <v>0</v>
      </c>
      <c r="AO87" s="234">
        <v>0</v>
      </c>
      <c r="AP87" s="234">
        <v>0</v>
      </c>
      <c r="AQ87" s="234">
        <v>0</v>
      </c>
      <c r="AR87" s="234">
        <v>0</v>
      </c>
      <c r="AS87" s="234">
        <v>0</v>
      </c>
      <c r="AT87" s="234">
        <v>0</v>
      </c>
      <c r="AU87" s="234">
        <v>0</v>
      </c>
      <c r="AV87" s="234">
        <v>771690.83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807809895.46000016</v>
      </c>
      <c r="CF87" s="314">
        <v>0</v>
      </c>
    </row>
    <row r="88" spans="1:84" x14ac:dyDescent="0.25">
      <c r="A88" s="21" t="s">
        <v>288</v>
      </c>
      <c r="B88" s="16"/>
      <c r="C88" s="234">
        <v>172897.98</v>
      </c>
      <c r="D88" s="234">
        <v>0</v>
      </c>
      <c r="E88" s="234">
        <v>12483189.100000001</v>
      </c>
      <c r="F88" s="234">
        <v>0</v>
      </c>
      <c r="G88" s="234">
        <v>0</v>
      </c>
      <c r="H88" s="234">
        <v>0</v>
      </c>
      <c r="I88" s="234">
        <v>0</v>
      </c>
      <c r="J88" s="234">
        <v>0</v>
      </c>
      <c r="K88" s="234">
        <v>0</v>
      </c>
      <c r="L88" s="234">
        <v>0</v>
      </c>
      <c r="M88" s="234">
        <v>0</v>
      </c>
      <c r="N88" s="234">
        <v>0</v>
      </c>
      <c r="O88" s="234">
        <v>2947760.6000000006</v>
      </c>
      <c r="P88" s="234">
        <v>404547251.4600001</v>
      </c>
      <c r="Q88" s="234">
        <v>18938714.91</v>
      </c>
      <c r="R88" s="234">
        <v>0</v>
      </c>
      <c r="S88" s="234">
        <v>0</v>
      </c>
      <c r="T88" s="234">
        <v>413704.54999999993</v>
      </c>
      <c r="U88" s="234">
        <v>43394245.579999998</v>
      </c>
      <c r="V88" s="234">
        <v>8272757.2399999984</v>
      </c>
      <c r="W88" s="234">
        <v>15326665.210000001</v>
      </c>
      <c r="X88" s="234">
        <v>119425945.37000002</v>
      </c>
      <c r="Y88" s="234">
        <v>42637825.380000003</v>
      </c>
      <c r="Z88" s="234">
        <v>30380788.079999998</v>
      </c>
      <c r="AA88" s="234">
        <v>9164743.8000000007</v>
      </c>
      <c r="AB88" s="234">
        <v>92983794.86999999</v>
      </c>
      <c r="AC88" s="234">
        <v>8247042.1400000006</v>
      </c>
      <c r="AD88" s="234">
        <v>116665.21999999999</v>
      </c>
      <c r="AE88" s="234">
        <v>530947.92999999993</v>
      </c>
      <c r="AF88" s="234">
        <v>0</v>
      </c>
      <c r="AG88" s="234">
        <v>152115257.33999997</v>
      </c>
      <c r="AH88" s="234">
        <v>0</v>
      </c>
      <c r="AI88" s="234">
        <v>0</v>
      </c>
      <c r="AJ88" s="234">
        <v>136259496.48000002</v>
      </c>
      <c r="AK88" s="234">
        <v>371893.78999999992</v>
      </c>
      <c r="AL88" s="234">
        <v>19895.11</v>
      </c>
      <c r="AM88" s="234">
        <v>0</v>
      </c>
      <c r="AN88" s="234">
        <v>0</v>
      </c>
      <c r="AO88" s="234">
        <v>0</v>
      </c>
      <c r="AP88" s="234">
        <v>0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-8875.68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1098742606.4599998</v>
      </c>
      <c r="CF88" s="314">
        <v>0</v>
      </c>
    </row>
    <row r="89" spans="1:84" x14ac:dyDescent="0.25">
      <c r="A89" s="21" t="s">
        <v>289</v>
      </c>
      <c r="B89" s="16"/>
      <c r="C89" s="25">
        <f t="shared" ref="C89:AV89" si="21">C87+C88</f>
        <v>37656457.609999992</v>
      </c>
      <c r="D89" s="25">
        <f t="shared" si="21"/>
        <v>0</v>
      </c>
      <c r="E89" s="25">
        <f t="shared" si="21"/>
        <v>158713353.69000003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69268780.980000004</v>
      </c>
      <c r="P89" s="25">
        <f t="shared" si="21"/>
        <v>589844017.04000008</v>
      </c>
      <c r="Q89" s="25">
        <f t="shared" si="21"/>
        <v>28181712.27</v>
      </c>
      <c r="R89" s="25">
        <f t="shared" si="21"/>
        <v>0</v>
      </c>
      <c r="S89" s="25">
        <f t="shared" si="21"/>
        <v>-782.56</v>
      </c>
      <c r="T89" s="25">
        <f t="shared" si="21"/>
        <v>8598276.7100000009</v>
      </c>
      <c r="U89" s="25">
        <f t="shared" si="21"/>
        <v>99720621.120000005</v>
      </c>
      <c r="V89" s="25">
        <f t="shared" si="21"/>
        <v>23630808.809999999</v>
      </c>
      <c r="W89" s="25">
        <f t="shared" si="21"/>
        <v>22621153.330000002</v>
      </c>
      <c r="X89" s="25">
        <f t="shared" si="21"/>
        <v>177052552.54000002</v>
      </c>
      <c r="Y89" s="25">
        <f t="shared" si="21"/>
        <v>57400089.060000002</v>
      </c>
      <c r="Z89" s="25">
        <f t="shared" si="21"/>
        <v>30662926.399999999</v>
      </c>
      <c r="AA89" s="25">
        <f t="shared" si="21"/>
        <v>11303409.790000001</v>
      </c>
      <c r="AB89" s="25">
        <f t="shared" si="21"/>
        <v>194752065.23999998</v>
      </c>
      <c r="AC89" s="25">
        <f t="shared" si="21"/>
        <v>40782932.390000001</v>
      </c>
      <c r="AD89" s="25">
        <f t="shared" si="21"/>
        <v>4549758.6399999997</v>
      </c>
      <c r="AE89" s="25">
        <f t="shared" si="21"/>
        <v>5549704.6800000006</v>
      </c>
      <c r="AF89" s="25">
        <f t="shared" si="21"/>
        <v>0</v>
      </c>
      <c r="AG89" s="25">
        <f t="shared" si="21"/>
        <v>204768860.79999995</v>
      </c>
      <c r="AH89" s="25">
        <f t="shared" si="21"/>
        <v>0</v>
      </c>
      <c r="AI89" s="25">
        <f t="shared" si="21"/>
        <v>0</v>
      </c>
      <c r="AJ89" s="25">
        <f t="shared" si="21"/>
        <v>136374942.19000003</v>
      </c>
      <c r="AK89" s="25">
        <f t="shared" si="21"/>
        <v>3196398.4099999997</v>
      </c>
      <c r="AL89" s="25">
        <f t="shared" si="21"/>
        <v>1161647.6300000001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762815.14999999991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1906552501.9200008</v>
      </c>
      <c r="CF89" s="314">
        <v>0</v>
      </c>
    </row>
    <row r="90" spans="1:84" x14ac:dyDescent="0.25">
      <c r="A90" s="31" t="s">
        <v>290</v>
      </c>
      <c r="B90" s="25"/>
      <c r="C90" s="234">
        <v>11112</v>
      </c>
      <c r="D90" s="234">
        <v>0</v>
      </c>
      <c r="E90" s="234">
        <v>48910.54</v>
      </c>
      <c r="F90" s="234">
        <v>0</v>
      </c>
      <c r="G90" s="234">
        <v>0</v>
      </c>
      <c r="H90" s="234">
        <v>0</v>
      </c>
      <c r="I90" s="234">
        <v>0</v>
      </c>
      <c r="J90" s="234">
        <v>0</v>
      </c>
      <c r="K90" s="234">
        <v>0</v>
      </c>
      <c r="L90" s="234">
        <v>0</v>
      </c>
      <c r="M90" s="234">
        <v>0</v>
      </c>
      <c r="N90" s="234">
        <v>0</v>
      </c>
      <c r="O90" s="234">
        <v>4254</v>
      </c>
      <c r="P90" s="234">
        <v>23570.21</v>
      </c>
      <c r="Q90" s="234">
        <v>1238</v>
      </c>
      <c r="R90" s="234">
        <v>0</v>
      </c>
      <c r="S90" s="234">
        <v>5572</v>
      </c>
      <c r="T90" s="234">
        <v>0</v>
      </c>
      <c r="U90" s="234">
        <v>6711</v>
      </c>
      <c r="V90" s="234">
        <v>0</v>
      </c>
      <c r="W90" s="234">
        <v>0</v>
      </c>
      <c r="X90" s="234">
        <v>787</v>
      </c>
      <c r="Y90" s="234">
        <v>24598.18</v>
      </c>
      <c r="Z90" s="234">
        <v>0</v>
      </c>
      <c r="AA90" s="234">
        <v>788</v>
      </c>
      <c r="AB90" s="234">
        <v>3720</v>
      </c>
      <c r="AC90" s="234">
        <v>1185</v>
      </c>
      <c r="AD90" s="234">
        <v>0</v>
      </c>
      <c r="AE90" s="234">
        <v>9857.14</v>
      </c>
      <c r="AF90" s="234">
        <v>0</v>
      </c>
      <c r="AG90" s="234">
        <v>10167</v>
      </c>
      <c r="AH90" s="234">
        <v>0</v>
      </c>
      <c r="AI90" s="234">
        <v>0</v>
      </c>
      <c r="AJ90" s="234">
        <v>1109</v>
      </c>
      <c r="AK90" s="234">
        <v>3298</v>
      </c>
      <c r="AL90" s="234">
        <v>690</v>
      </c>
      <c r="AM90" s="234">
        <v>0</v>
      </c>
      <c r="AN90" s="234">
        <v>0</v>
      </c>
      <c r="AO90" s="234">
        <v>0</v>
      </c>
      <c r="AP90" s="234">
        <v>0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802.66666666666674</v>
      </c>
      <c r="AW90" s="234">
        <v>0</v>
      </c>
      <c r="AX90" s="234">
        <v>0</v>
      </c>
      <c r="AY90" s="234">
        <v>0</v>
      </c>
      <c r="AZ90" s="234">
        <v>5708</v>
      </c>
      <c r="BA90" s="234">
        <v>2159</v>
      </c>
      <c r="BB90" s="234">
        <v>0</v>
      </c>
      <c r="BC90" s="234">
        <v>0</v>
      </c>
      <c r="BD90" s="234">
        <v>0</v>
      </c>
      <c r="BE90" s="234">
        <v>60387</v>
      </c>
      <c r="BF90" s="234">
        <v>625</v>
      </c>
      <c r="BG90" s="234">
        <v>0</v>
      </c>
      <c r="BH90" s="234">
        <v>0</v>
      </c>
      <c r="BI90" s="234">
        <v>484</v>
      </c>
      <c r="BJ90" s="234">
        <v>0</v>
      </c>
      <c r="BK90" s="234">
        <v>0</v>
      </c>
      <c r="BL90" s="234">
        <v>0</v>
      </c>
      <c r="BM90" s="234">
        <v>0</v>
      </c>
      <c r="BN90" s="234">
        <v>24023.989999999998</v>
      </c>
      <c r="BO90" s="234">
        <v>0</v>
      </c>
      <c r="BP90" s="234">
        <v>0</v>
      </c>
      <c r="BQ90" s="234">
        <v>0</v>
      </c>
      <c r="BR90" s="234">
        <v>6091</v>
      </c>
      <c r="BS90" s="234">
        <v>0</v>
      </c>
      <c r="BT90" s="234">
        <v>0</v>
      </c>
      <c r="BU90" s="234">
        <v>0</v>
      </c>
      <c r="BV90" s="234">
        <v>2570</v>
      </c>
      <c r="BW90" s="234">
        <v>0</v>
      </c>
      <c r="BX90" s="234">
        <v>0</v>
      </c>
      <c r="BY90" s="234">
        <v>1482</v>
      </c>
      <c r="BZ90" s="234">
        <v>0</v>
      </c>
      <c r="CA90" s="234">
        <v>0</v>
      </c>
      <c r="CB90" s="234">
        <v>0</v>
      </c>
      <c r="CC90" s="234">
        <v>0</v>
      </c>
      <c r="CD90" s="223" t="s">
        <v>248</v>
      </c>
      <c r="CE90" s="25">
        <f t="shared" si="20"/>
        <v>261899.72666666665</v>
      </c>
      <c r="CF90" s="25">
        <f>BE59-CE90</f>
        <v>0.27333333334536292</v>
      </c>
    </row>
    <row r="91" spans="1:84" x14ac:dyDescent="0.25">
      <c r="A91" s="21" t="s">
        <v>291</v>
      </c>
      <c r="B91" s="16"/>
      <c r="C91" s="234">
        <v>12350</v>
      </c>
      <c r="D91" s="234">
        <v>0</v>
      </c>
      <c r="E91" s="234">
        <v>55056</v>
      </c>
      <c r="F91" s="234">
        <v>0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5788</v>
      </c>
      <c r="P91" s="234">
        <v>28100</v>
      </c>
      <c r="Q91" s="234">
        <v>0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4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12597</v>
      </c>
      <c r="AH91" s="234">
        <v>0</v>
      </c>
      <c r="AI91" s="234">
        <v>0</v>
      </c>
      <c r="AJ91" s="234">
        <v>188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10103</v>
      </c>
      <c r="AW91" s="234">
        <v>0</v>
      </c>
      <c r="AX91" s="230" t="s">
        <v>248</v>
      </c>
      <c r="AY91" s="230" t="s">
        <v>248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f t="shared" si="20"/>
        <v>124186</v>
      </c>
      <c r="CF91" s="25">
        <f>AY59-CE91</f>
        <v>0</v>
      </c>
    </row>
    <row r="92" spans="1:84" x14ac:dyDescent="0.25">
      <c r="A92" s="21" t="s">
        <v>292</v>
      </c>
      <c r="B92" s="16"/>
      <c r="C92" s="234">
        <v>4073.1562575136686</v>
      </c>
      <c r="D92" s="234">
        <v>0</v>
      </c>
      <c r="E92" s="234">
        <v>17928.390214126404</v>
      </c>
      <c r="F92" s="234">
        <v>0</v>
      </c>
      <c r="G92" s="234">
        <v>0</v>
      </c>
      <c r="H92" s="234">
        <v>0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1559.3238588429758</v>
      </c>
      <c r="P92" s="234">
        <v>7826.3136840387497</v>
      </c>
      <c r="Q92" s="234">
        <v>453.7947666308425</v>
      </c>
      <c r="R92" s="234">
        <v>0</v>
      </c>
      <c r="S92" s="234">
        <v>2042.4430045775885</v>
      </c>
      <c r="T92" s="234">
        <v>0</v>
      </c>
      <c r="U92" s="234">
        <v>1977.8103018237066</v>
      </c>
      <c r="V92" s="234">
        <v>0</v>
      </c>
      <c r="W92" s="234">
        <v>0</v>
      </c>
      <c r="X92" s="234">
        <v>288.4785794333385</v>
      </c>
      <c r="Y92" s="234">
        <v>9016.5794447846984</v>
      </c>
      <c r="Z92" s="234">
        <v>0</v>
      </c>
      <c r="AA92" s="234">
        <v>288.8451341721356</v>
      </c>
      <c r="AB92" s="234">
        <v>1475.9665767204783</v>
      </c>
      <c r="AC92" s="234">
        <v>434.36736547459475</v>
      </c>
      <c r="AD92" s="234">
        <v>0</v>
      </c>
      <c r="AE92" s="234">
        <v>3613.1813779867066</v>
      </c>
      <c r="AF92" s="234">
        <v>0</v>
      </c>
      <c r="AG92" s="234">
        <v>4297.0222331392379</v>
      </c>
      <c r="AH92" s="234">
        <v>0</v>
      </c>
      <c r="AI92" s="234">
        <v>0</v>
      </c>
      <c r="AJ92" s="234">
        <v>215.50220592202177</v>
      </c>
      <c r="AK92" s="234">
        <v>1208.8975285529229</v>
      </c>
      <c r="AL92" s="234">
        <v>252.9227697700172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307.8607202431474</v>
      </c>
      <c r="AW92" s="234">
        <v>0</v>
      </c>
      <c r="AX92" s="230" t="s">
        <v>248</v>
      </c>
      <c r="AY92" s="230" t="s">
        <v>248</v>
      </c>
      <c r="AZ92" s="24" t="s">
        <v>248</v>
      </c>
      <c r="BA92" s="234">
        <v>791.39168106299587</v>
      </c>
      <c r="BB92" s="234">
        <v>0</v>
      </c>
      <c r="BC92" s="23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0</v>
      </c>
      <c r="BI92" s="234">
        <v>177.41249357780916</v>
      </c>
      <c r="BJ92" s="24" t="s">
        <v>248</v>
      </c>
      <c r="BK92" s="234">
        <v>0</v>
      </c>
      <c r="BL92" s="234">
        <v>0</v>
      </c>
      <c r="BM92" s="23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0</v>
      </c>
      <c r="BT92" s="234">
        <v>0</v>
      </c>
      <c r="BU92" s="234">
        <v>0</v>
      </c>
      <c r="BV92" s="234">
        <v>942.0456787086149</v>
      </c>
      <c r="BW92" s="234">
        <v>0</v>
      </c>
      <c r="BX92" s="234">
        <v>0</v>
      </c>
      <c r="BY92" s="234">
        <v>543.23412289734131</v>
      </c>
      <c r="BZ92" s="234">
        <v>0</v>
      </c>
      <c r="CA92" s="234">
        <v>0</v>
      </c>
      <c r="CB92" s="234">
        <v>0</v>
      </c>
      <c r="CC92" s="24" t="s">
        <v>248</v>
      </c>
      <c r="CD92" s="24" t="s">
        <v>248</v>
      </c>
      <c r="CE92" s="25">
        <f t="shared" si="20"/>
        <v>59714.939999999995</v>
      </c>
      <c r="CF92" s="16"/>
    </row>
    <row r="93" spans="1:84" x14ac:dyDescent="0.25">
      <c r="A93" s="21" t="s">
        <v>293</v>
      </c>
      <c r="B93" s="16"/>
      <c r="C93" s="234">
        <v>0</v>
      </c>
      <c r="D93" s="234">
        <v>0</v>
      </c>
      <c r="E93" s="234">
        <v>342574.95</v>
      </c>
      <c r="F93" s="234">
        <v>0</v>
      </c>
      <c r="G93" s="234">
        <v>0</v>
      </c>
      <c r="H93" s="234">
        <v>0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118832.79</v>
      </c>
      <c r="P93" s="234">
        <v>239613.18999999997</v>
      </c>
      <c r="Q93" s="234">
        <v>6687.29</v>
      </c>
      <c r="R93" s="234">
        <v>0</v>
      </c>
      <c r="S93" s="234">
        <v>0</v>
      </c>
      <c r="T93" s="234">
        <v>0</v>
      </c>
      <c r="U93" s="234">
        <v>0</v>
      </c>
      <c r="V93" s="234">
        <v>0</v>
      </c>
      <c r="W93" s="234">
        <v>32236.5</v>
      </c>
      <c r="X93" s="234">
        <v>0</v>
      </c>
      <c r="Y93" s="234">
        <v>52619.68</v>
      </c>
      <c r="Z93" s="234">
        <v>0</v>
      </c>
      <c r="AA93" s="234">
        <v>0</v>
      </c>
      <c r="AB93" s="234">
        <v>0</v>
      </c>
      <c r="AC93" s="234">
        <v>0</v>
      </c>
      <c r="AD93" s="234">
        <v>0</v>
      </c>
      <c r="AE93" s="234">
        <v>0</v>
      </c>
      <c r="AF93" s="234">
        <v>0</v>
      </c>
      <c r="AG93" s="234">
        <v>212765.62</v>
      </c>
      <c r="AH93" s="234">
        <v>0</v>
      </c>
      <c r="AI93" s="234">
        <v>0</v>
      </c>
      <c r="AJ93" s="234">
        <v>25571.06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0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0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f t="shared" si="20"/>
        <v>1030901.0800000001</v>
      </c>
      <c r="CF93" s="25">
        <f>BA59</f>
        <v>0</v>
      </c>
    </row>
    <row r="94" spans="1:84" x14ac:dyDescent="0.25">
      <c r="A94" s="21" t="s">
        <v>294</v>
      </c>
      <c r="B94" s="16"/>
      <c r="C94" s="238">
        <v>45.323201923076923</v>
      </c>
      <c r="D94" s="238">
        <v>0</v>
      </c>
      <c r="E94" s="238">
        <v>146.34071153846153</v>
      </c>
      <c r="F94" s="238">
        <v>0</v>
      </c>
      <c r="G94" s="238">
        <v>0</v>
      </c>
      <c r="H94" s="238">
        <v>0</v>
      </c>
      <c r="I94" s="238">
        <v>0</v>
      </c>
      <c r="J94" s="238">
        <v>0</v>
      </c>
      <c r="K94" s="238">
        <v>0</v>
      </c>
      <c r="L94" s="238">
        <v>0</v>
      </c>
      <c r="M94" s="238">
        <v>0</v>
      </c>
      <c r="N94" s="238">
        <v>0</v>
      </c>
      <c r="O94" s="238">
        <v>38.91075</v>
      </c>
      <c r="P94" s="239">
        <v>54.186326923076926</v>
      </c>
      <c r="Q94" s="239">
        <v>19.541807692307692</v>
      </c>
      <c r="R94" s="239">
        <v>0</v>
      </c>
      <c r="S94" s="240">
        <v>8.2432692307692318E-2</v>
      </c>
      <c r="T94" s="240">
        <v>5.4692500000000006</v>
      </c>
      <c r="U94" s="241">
        <v>0</v>
      </c>
      <c r="V94" s="239">
        <v>1.0035865384615386</v>
      </c>
      <c r="W94" s="239">
        <v>0</v>
      </c>
      <c r="X94" s="239">
        <v>4.2052884615384617E-2</v>
      </c>
      <c r="Y94" s="239">
        <v>4.5336538461538461E-3</v>
      </c>
      <c r="Z94" s="239">
        <v>1.6432548076923079</v>
      </c>
      <c r="AA94" s="239">
        <v>0</v>
      </c>
      <c r="AB94" s="240">
        <v>6.1298076923076922E-3</v>
      </c>
      <c r="AC94" s="239">
        <v>0</v>
      </c>
      <c r="AD94" s="239">
        <v>0</v>
      </c>
      <c r="AE94" s="239">
        <v>0</v>
      </c>
      <c r="AF94" s="239">
        <v>0</v>
      </c>
      <c r="AG94" s="239">
        <v>43.954173076923077</v>
      </c>
      <c r="AH94" s="239">
        <v>0</v>
      </c>
      <c r="AI94" s="239">
        <v>0</v>
      </c>
      <c r="AJ94" s="239">
        <v>44.317076923076918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0</v>
      </c>
      <c r="AQ94" s="239">
        <v>0</v>
      </c>
      <c r="AR94" s="239">
        <v>0</v>
      </c>
      <c r="AS94" s="239">
        <v>0</v>
      </c>
      <c r="AT94" s="239">
        <v>0</v>
      </c>
      <c r="AU94" s="239">
        <v>0</v>
      </c>
      <c r="AV94" s="240">
        <v>22.927240384615384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f t="shared" si="20"/>
        <v>423.75252884615395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5" t="s">
        <v>1363</v>
      </c>
      <c r="D96" s="246" t="s">
        <v>5</v>
      </c>
      <c r="E96" s="247" t="s">
        <v>5</v>
      </c>
      <c r="F96" s="12"/>
    </row>
    <row r="97" spans="1:6" x14ac:dyDescent="0.2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2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25">
      <c r="A99" s="25" t="s">
        <v>303</v>
      </c>
      <c r="B99" s="32" t="s">
        <v>299</v>
      </c>
      <c r="C99" s="249" t="s">
        <v>304</v>
      </c>
      <c r="D99" s="246" t="s">
        <v>5</v>
      </c>
      <c r="E99" s="247" t="s">
        <v>5</v>
      </c>
      <c r="F99" s="12"/>
    </row>
    <row r="100" spans="1:6" x14ac:dyDescent="0.2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2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25">
      <c r="A102" s="25" t="s">
        <v>309</v>
      </c>
      <c r="B102" s="32" t="s">
        <v>299</v>
      </c>
      <c r="C102" s="250">
        <v>98003</v>
      </c>
      <c r="D102" s="246" t="s">
        <v>5</v>
      </c>
      <c r="E102" s="247" t="s">
        <v>5</v>
      </c>
      <c r="F102" s="12"/>
    </row>
    <row r="103" spans="1:6" x14ac:dyDescent="0.2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25">
      <c r="A104" s="25" t="s">
        <v>312</v>
      </c>
      <c r="B104" s="32" t="s">
        <v>299</v>
      </c>
      <c r="C104" s="251" t="s">
        <v>313</v>
      </c>
      <c r="D104" s="246" t="s">
        <v>5</v>
      </c>
      <c r="E104" s="247" t="s">
        <v>5</v>
      </c>
      <c r="F104" s="12"/>
    </row>
    <row r="105" spans="1:6" x14ac:dyDescent="0.25">
      <c r="A105" s="25" t="s">
        <v>314</v>
      </c>
      <c r="B105" s="32" t="s">
        <v>299</v>
      </c>
      <c r="C105" s="251" t="s">
        <v>315</v>
      </c>
      <c r="D105" s="246" t="s">
        <v>5</v>
      </c>
      <c r="E105" s="247" t="s">
        <v>5</v>
      </c>
      <c r="F105" s="12"/>
    </row>
    <row r="106" spans="1:6" x14ac:dyDescent="0.25">
      <c r="A106" s="25" t="s">
        <v>316</v>
      </c>
      <c r="B106" s="32" t="s">
        <v>299</v>
      </c>
      <c r="C106" s="249" t="s">
        <v>317</v>
      </c>
      <c r="D106" s="246" t="s">
        <v>5</v>
      </c>
      <c r="E106" s="247" t="s">
        <v>5</v>
      </c>
      <c r="F106" s="12"/>
    </row>
    <row r="107" spans="1:6" x14ac:dyDescent="0.25">
      <c r="A107" s="25" t="s">
        <v>318</v>
      </c>
      <c r="B107" s="32" t="s">
        <v>299</v>
      </c>
      <c r="C107" s="252" t="s">
        <v>319</v>
      </c>
      <c r="D107" s="246" t="s">
        <v>5</v>
      </c>
      <c r="E107" s="247" t="s">
        <v>5</v>
      </c>
      <c r="F107" s="12"/>
    </row>
    <row r="108" spans="1:6" x14ac:dyDescent="0.25">
      <c r="A108" s="25" t="s">
        <v>320</v>
      </c>
      <c r="B108" s="32" t="s">
        <v>299</v>
      </c>
      <c r="C108" s="252" t="s">
        <v>321</v>
      </c>
      <c r="D108" s="246" t="s">
        <v>5</v>
      </c>
      <c r="E108" s="247" t="s">
        <v>5</v>
      </c>
      <c r="F108" s="12"/>
    </row>
    <row r="109" spans="1:6" x14ac:dyDescent="0.2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25">
      <c r="A110" s="33" t="s">
        <v>324</v>
      </c>
      <c r="B110" s="32" t="s">
        <v>299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53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53">
        <v>0</v>
      </c>
      <c r="D114" s="16"/>
      <c r="E114" s="16"/>
    </row>
    <row r="115" spans="1:5" x14ac:dyDescent="0.25">
      <c r="A115" s="16" t="s">
        <v>328</v>
      </c>
      <c r="B115" s="35" t="s">
        <v>299</v>
      </c>
      <c r="C115" s="253">
        <v>0</v>
      </c>
      <c r="D115" s="16"/>
      <c r="E115" s="16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6" t="s">
        <v>330</v>
      </c>
      <c r="B117" s="35" t="s">
        <v>299</v>
      </c>
      <c r="C117" s="254">
        <v>1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6" t="s">
        <v>332</v>
      </c>
      <c r="B120" s="35" t="s">
        <v>299</v>
      </c>
      <c r="C120" s="253">
        <v>0</v>
      </c>
      <c r="D120" s="16"/>
      <c r="E120" s="16"/>
    </row>
    <row r="121" spans="1:5" x14ac:dyDescent="0.25">
      <c r="A121" s="16" t="s">
        <v>333</v>
      </c>
      <c r="B121" s="35" t="s">
        <v>299</v>
      </c>
      <c r="C121" s="253">
        <v>0</v>
      </c>
      <c r="D121" s="16"/>
      <c r="E121" s="16"/>
    </row>
    <row r="122" spans="1:5" x14ac:dyDescent="0.25">
      <c r="A122" s="16" t="s">
        <v>334</v>
      </c>
      <c r="B122" s="35" t="s">
        <v>299</v>
      </c>
      <c r="C122" s="253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35" t="s">
        <v>299</v>
      </c>
      <c r="C127" s="253">
        <v>9740</v>
      </c>
      <c r="D127" s="256">
        <v>40197</v>
      </c>
      <c r="E127" s="16"/>
    </row>
    <row r="128" spans="1:5" x14ac:dyDescent="0.25">
      <c r="A128" s="16" t="s">
        <v>339</v>
      </c>
      <c r="B128" s="35" t="s">
        <v>299</v>
      </c>
      <c r="C128" s="253">
        <v>0</v>
      </c>
      <c r="D128" s="256">
        <v>0</v>
      </c>
      <c r="E128" s="16"/>
    </row>
    <row r="129" spans="1:5" x14ac:dyDescent="0.25">
      <c r="A129" s="16" t="s">
        <v>340</v>
      </c>
      <c r="B129" s="35" t="s">
        <v>299</v>
      </c>
      <c r="C129" s="253">
        <v>0</v>
      </c>
      <c r="D129" s="256">
        <v>0</v>
      </c>
      <c r="E129" s="16"/>
    </row>
    <row r="130" spans="1:5" x14ac:dyDescent="0.25">
      <c r="A130" s="16" t="s">
        <v>341</v>
      </c>
      <c r="B130" s="35" t="s">
        <v>299</v>
      </c>
      <c r="C130" s="253">
        <v>1357</v>
      </c>
      <c r="D130" s="256">
        <v>1936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5" t="s">
        <v>299</v>
      </c>
      <c r="C132" s="253">
        <v>14</v>
      </c>
      <c r="D132" s="16"/>
      <c r="E132" s="16"/>
    </row>
    <row r="133" spans="1:5" x14ac:dyDescent="0.25">
      <c r="A133" s="16" t="s">
        <v>344</v>
      </c>
      <c r="B133" s="35" t="s">
        <v>299</v>
      </c>
      <c r="C133" s="253">
        <v>16</v>
      </c>
      <c r="D133" s="16"/>
      <c r="E133" s="16"/>
    </row>
    <row r="134" spans="1:5" x14ac:dyDescent="0.25">
      <c r="A134" s="16" t="s">
        <v>345</v>
      </c>
      <c r="B134" s="35" t="s">
        <v>299</v>
      </c>
      <c r="C134" s="253">
        <v>72</v>
      </c>
      <c r="D134" s="16"/>
      <c r="E134" s="16"/>
    </row>
    <row r="135" spans="1:5" x14ac:dyDescent="0.25">
      <c r="A135" s="16" t="s">
        <v>346</v>
      </c>
      <c r="B135" s="35" t="s">
        <v>299</v>
      </c>
      <c r="C135" s="253">
        <v>0</v>
      </c>
      <c r="D135" s="16"/>
      <c r="E135" s="16"/>
    </row>
    <row r="136" spans="1:5" x14ac:dyDescent="0.25">
      <c r="A136" s="16" t="s">
        <v>347</v>
      </c>
      <c r="B136" s="35" t="s">
        <v>299</v>
      </c>
      <c r="C136" s="253">
        <v>16</v>
      </c>
      <c r="D136" s="16"/>
      <c r="E136" s="16"/>
    </row>
    <row r="137" spans="1:5" x14ac:dyDescent="0.25">
      <c r="A137" s="16" t="s">
        <v>348</v>
      </c>
      <c r="B137" s="35" t="s">
        <v>299</v>
      </c>
      <c r="C137" s="253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3">
        <v>0</v>
      </c>
      <c r="D138" s="16"/>
      <c r="E138" s="16"/>
    </row>
    <row r="139" spans="1:5" x14ac:dyDescent="0.25">
      <c r="A139" s="16" t="s">
        <v>349</v>
      </c>
      <c r="B139" s="35" t="s">
        <v>299</v>
      </c>
      <c r="C139" s="253">
        <v>0</v>
      </c>
      <c r="D139" s="16"/>
      <c r="E139" s="16"/>
    </row>
    <row r="140" spans="1:5" x14ac:dyDescent="0.25">
      <c r="A140" s="16" t="s">
        <v>350</v>
      </c>
      <c r="B140" s="35"/>
      <c r="C140" s="253">
        <v>0</v>
      </c>
      <c r="D140" s="16"/>
      <c r="E140" s="16"/>
    </row>
    <row r="141" spans="1:5" x14ac:dyDescent="0.25">
      <c r="A141" s="16" t="s">
        <v>340</v>
      </c>
      <c r="B141" s="35" t="s">
        <v>299</v>
      </c>
      <c r="C141" s="253">
        <v>0</v>
      </c>
      <c r="D141" s="16"/>
      <c r="E141" s="16"/>
    </row>
    <row r="142" spans="1:5" x14ac:dyDescent="0.25">
      <c r="A142" s="16" t="s">
        <v>351</v>
      </c>
      <c r="B142" s="35" t="s">
        <v>299</v>
      </c>
      <c r="C142" s="253">
        <v>6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f>SUM(C132:C142)</f>
        <v>124</v>
      </c>
    </row>
    <row r="144" spans="1:5" x14ac:dyDescent="0.25">
      <c r="A144" s="16" t="s">
        <v>353</v>
      </c>
      <c r="B144" s="35" t="s">
        <v>299</v>
      </c>
      <c r="C144" s="253">
        <v>124</v>
      </c>
      <c r="D144" s="16"/>
      <c r="E144" s="16"/>
    </row>
    <row r="145" spans="1:6" x14ac:dyDescent="0.25">
      <c r="A145" s="16" t="s">
        <v>354</v>
      </c>
      <c r="B145" s="35" t="s">
        <v>299</v>
      </c>
      <c r="C145" s="253">
        <v>18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5" t="s">
        <v>299</v>
      </c>
      <c r="C147" s="253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6" t="s">
        <v>337</v>
      </c>
      <c r="B154" s="256">
        <v>4476</v>
      </c>
      <c r="C154" s="256">
        <v>2714</v>
      </c>
      <c r="D154" s="256">
        <v>2550</v>
      </c>
      <c r="E154" s="25">
        <f>SUM(B154:D154)</f>
        <v>9740</v>
      </c>
    </row>
    <row r="155" spans="1:6" x14ac:dyDescent="0.25">
      <c r="A155" s="16" t="s">
        <v>242</v>
      </c>
      <c r="B155" s="256">
        <v>23377</v>
      </c>
      <c r="C155" s="256">
        <v>8883</v>
      </c>
      <c r="D155" s="256">
        <v>7937</v>
      </c>
      <c r="E155" s="25">
        <f>SUM(B155:D155)</f>
        <v>40197</v>
      </c>
    </row>
    <row r="156" spans="1:6" x14ac:dyDescent="0.25">
      <c r="A156" s="16" t="s">
        <v>360</v>
      </c>
      <c r="B156" s="256">
        <v>0</v>
      </c>
      <c r="C156" s="256">
        <v>0</v>
      </c>
      <c r="D156" s="256">
        <v>0</v>
      </c>
      <c r="E156" s="25">
        <f>SUM(B156:D156)</f>
        <v>0</v>
      </c>
    </row>
    <row r="157" spans="1:6" x14ac:dyDescent="0.25">
      <c r="A157" s="16" t="s">
        <v>287</v>
      </c>
      <c r="B157" s="256">
        <v>410054631.93000001</v>
      </c>
      <c r="C157" s="256">
        <v>183264445.65000001</v>
      </c>
      <c r="D157" s="256">
        <v>214490817.88000005</v>
      </c>
      <c r="E157" s="25">
        <f>SUM(B157:D157)</f>
        <v>807809895.46000004</v>
      </c>
      <c r="F157" s="14"/>
    </row>
    <row r="158" spans="1:6" x14ac:dyDescent="0.25">
      <c r="A158" s="16" t="s">
        <v>288</v>
      </c>
      <c r="B158" s="256">
        <v>405660724.32000005</v>
      </c>
      <c r="C158" s="256">
        <v>229375795.41</v>
      </c>
      <c r="D158" s="256">
        <v>463706086.73000002</v>
      </c>
      <c r="E158" s="25">
        <f>SUM(B158:D158)</f>
        <v>1098742606.46</v>
      </c>
      <c r="F158" s="14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6" t="s">
        <v>337</v>
      </c>
      <c r="B160" s="256">
        <v>0</v>
      </c>
      <c r="C160" s="256">
        <v>0</v>
      </c>
      <c r="D160" s="256">
        <v>0</v>
      </c>
      <c r="E160" s="25">
        <f>SUM(B160:D160)</f>
        <v>0</v>
      </c>
    </row>
    <row r="161" spans="1:5" x14ac:dyDescent="0.25">
      <c r="A161" s="16" t="s">
        <v>242</v>
      </c>
      <c r="B161" s="256">
        <v>0</v>
      </c>
      <c r="C161" s="256">
        <v>0</v>
      </c>
      <c r="D161" s="256">
        <v>0</v>
      </c>
      <c r="E161" s="25">
        <f>SUM(B161:D161)</f>
        <v>0</v>
      </c>
    </row>
    <row r="162" spans="1:5" x14ac:dyDescent="0.25">
      <c r="A162" s="16" t="s">
        <v>360</v>
      </c>
      <c r="B162" s="256">
        <v>0</v>
      </c>
      <c r="C162" s="256">
        <v>0</v>
      </c>
      <c r="D162" s="256">
        <v>0</v>
      </c>
      <c r="E162" s="25">
        <f>SUM(B162:D162)</f>
        <v>0</v>
      </c>
    </row>
    <row r="163" spans="1:5" x14ac:dyDescent="0.25">
      <c r="A163" s="16" t="s">
        <v>287</v>
      </c>
      <c r="B163" s="256">
        <v>0</v>
      </c>
      <c r="C163" s="256">
        <v>0</v>
      </c>
      <c r="D163" s="256">
        <v>0</v>
      </c>
      <c r="E163" s="25">
        <f>SUM(B163:D163)</f>
        <v>0</v>
      </c>
    </row>
    <row r="164" spans="1:5" x14ac:dyDescent="0.25">
      <c r="A164" s="16" t="s">
        <v>288</v>
      </c>
      <c r="B164" s="256">
        <v>0</v>
      </c>
      <c r="C164" s="256">
        <v>0</v>
      </c>
      <c r="D164" s="256">
        <v>0</v>
      </c>
      <c r="E164" s="25">
        <f>SUM(B164:D164)</f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6" t="s">
        <v>337</v>
      </c>
      <c r="B166" s="256">
        <v>0</v>
      </c>
      <c r="C166" s="256">
        <v>0</v>
      </c>
      <c r="D166" s="256">
        <v>0</v>
      </c>
      <c r="E166" s="25">
        <f>SUM(B166:D166)</f>
        <v>0</v>
      </c>
    </row>
    <row r="167" spans="1:5" x14ac:dyDescent="0.25">
      <c r="A167" s="16" t="s">
        <v>242</v>
      </c>
      <c r="B167" s="256">
        <v>0</v>
      </c>
      <c r="C167" s="256">
        <v>0</v>
      </c>
      <c r="D167" s="256">
        <v>0</v>
      </c>
      <c r="E167" s="25">
        <f>SUM(B167:D167)</f>
        <v>0</v>
      </c>
    </row>
    <row r="168" spans="1:5" x14ac:dyDescent="0.25">
      <c r="A168" s="16" t="s">
        <v>360</v>
      </c>
      <c r="B168" s="256">
        <v>0</v>
      </c>
      <c r="C168" s="256">
        <v>0</v>
      </c>
      <c r="D168" s="256">
        <v>0</v>
      </c>
      <c r="E168" s="25">
        <f>SUM(B168:D168)</f>
        <v>0</v>
      </c>
    </row>
    <row r="169" spans="1:5" x14ac:dyDescent="0.25">
      <c r="A169" s="16" t="s">
        <v>287</v>
      </c>
      <c r="B169" s="256">
        <v>0</v>
      </c>
      <c r="C169" s="256">
        <v>0</v>
      </c>
      <c r="D169" s="256">
        <v>0</v>
      </c>
      <c r="E169" s="25">
        <f>SUM(B169:D169)</f>
        <v>0</v>
      </c>
    </row>
    <row r="170" spans="1:5" x14ac:dyDescent="0.25">
      <c r="A170" s="16" t="s">
        <v>288</v>
      </c>
      <c r="B170" s="256">
        <v>0</v>
      </c>
      <c r="C170" s="256">
        <v>0</v>
      </c>
      <c r="D170" s="256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25">
      <c r="A173" s="20" t="s">
        <v>366</v>
      </c>
      <c r="B173" s="256">
        <v>0</v>
      </c>
      <c r="C173" s="256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6" t="s">
        <v>369</v>
      </c>
      <c r="B181" s="35" t="s">
        <v>299</v>
      </c>
      <c r="C181" s="253">
        <v>9044096.2100000009</v>
      </c>
      <c r="D181" s="16"/>
      <c r="E181" s="16"/>
    </row>
    <row r="182" spans="1:5" x14ac:dyDescent="0.25">
      <c r="A182" s="16" t="s">
        <v>370</v>
      </c>
      <c r="B182" s="35" t="s">
        <v>299</v>
      </c>
      <c r="C182" s="253">
        <v>259221.27440982091</v>
      </c>
      <c r="D182" s="16"/>
      <c r="E182" s="16"/>
    </row>
    <row r="183" spans="1:5" x14ac:dyDescent="0.25">
      <c r="A183" s="20" t="s">
        <v>371</v>
      </c>
      <c r="B183" s="35" t="s">
        <v>299</v>
      </c>
      <c r="C183" s="253">
        <v>725310.64734099119</v>
      </c>
      <c r="D183" s="16"/>
      <c r="E183" s="16"/>
    </row>
    <row r="184" spans="1:5" x14ac:dyDescent="0.25">
      <c r="A184" s="16" t="s">
        <v>372</v>
      </c>
      <c r="B184" s="35" t="s">
        <v>299</v>
      </c>
      <c r="C184" s="253">
        <v>13532870.700259296</v>
      </c>
      <c r="D184" s="16"/>
      <c r="E184" s="16"/>
    </row>
    <row r="185" spans="1:5" x14ac:dyDescent="0.25">
      <c r="A185" s="16" t="s">
        <v>373</v>
      </c>
      <c r="B185" s="35" t="s">
        <v>299</v>
      </c>
      <c r="C185" s="253">
        <v>269771.83965163515</v>
      </c>
      <c r="D185" s="16"/>
      <c r="E185" s="16"/>
    </row>
    <row r="186" spans="1:5" x14ac:dyDescent="0.25">
      <c r="A186" s="16" t="s">
        <v>374</v>
      </c>
      <c r="B186" s="35" t="s">
        <v>299</v>
      </c>
      <c r="C186" s="253">
        <v>6278203.453171772</v>
      </c>
      <c r="D186" s="16"/>
      <c r="E186" s="16"/>
    </row>
    <row r="187" spans="1:5" x14ac:dyDescent="0.25">
      <c r="A187" s="16" t="s">
        <v>375</v>
      </c>
      <c r="B187" s="35" t="s">
        <v>299</v>
      </c>
      <c r="C187" s="253">
        <v>0</v>
      </c>
      <c r="D187" s="16"/>
      <c r="E187" s="16"/>
    </row>
    <row r="188" spans="1:5" x14ac:dyDescent="0.25">
      <c r="A188" s="16" t="s">
        <v>375</v>
      </c>
      <c r="B188" s="35" t="s">
        <v>299</v>
      </c>
      <c r="C188" s="253">
        <v>3787289.4651664868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33896763.590000004</v>
      </c>
      <c r="E189" s="16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6" t="s">
        <v>377</v>
      </c>
      <c r="B191" s="35" t="s">
        <v>299</v>
      </c>
      <c r="C191" s="253">
        <v>7808563.46</v>
      </c>
      <c r="D191" s="16"/>
      <c r="E191" s="16"/>
    </row>
    <row r="192" spans="1:5" x14ac:dyDescent="0.25">
      <c r="A192" s="16" t="s">
        <v>378</v>
      </c>
      <c r="B192" s="35" t="s">
        <v>299</v>
      </c>
      <c r="C192" s="253">
        <v>864663.37000000011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8673226.8300000001</v>
      </c>
      <c r="E193" s="16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6" t="s">
        <v>380</v>
      </c>
      <c r="B195" s="35" t="s">
        <v>299</v>
      </c>
      <c r="C195" s="253">
        <v>2490065.17</v>
      </c>
      <c r="D195" s="16"/>
      <c r="E195" s="16"/>
    </row>
    <row r="196" spans="1:5" x14ac:dyDescent="0.25">
      <c r="A196" s="16" t="s">
        <v>381</v>
      </c>
      <c r="B196" s="35" t="s">
        <v>299</v>
      </c>
      <c r="C196" s="253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2490065.17</v>
      </c>
      <c r="E197" s="16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6" t="s">
        <v>383</v>
      </c>
      <c r="B199" s="35" t="s">
        <v>299</v>
      </c>
      <c r="C199" s="253">
        <v>90760.33</v>
      </c>
      <c r="D199" s="16"/>
      <c r="E199" s="16"/>
    </row>
    <row r="200" spans="1:5" x14ac:dyDescent="0.25">
      <c r="A200" s="16" t="s">
        <v>384</v>
      </c>
      <c r="B200" s="35" t="s">
        <v>299</v>
      </c>
      <c r="C200" s="253">
        <v>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3">
        <f>-C199</f>
        <v>-90760.33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0</v>
      </c>
      <c r="E202" s="16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6" t="s">
        <v>386</v>
      </c>
      <c r="B204" s="35" t="s">
        <v>299</v>
      </c>
      <c r="C204" s="253">
        <v>0</v>
      </c>
      <c r="D204" s="16"/>
      <c r="E204" s="16"/>
    </row>
    <row r="205" spans="1:5" x14ac:dyDescent="0.25">
      <c r="A205" s="16" t="s">
        <v>387</v>
      </c>
      <c r="B205" s="35" t="s">
        <v>299</v>
      </c>
      <c r="C205" s="253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6">
        <v>7206096.9900000002</v>
      </c>
      <c r="C211" s="253">
        <v>0</v>
      </c>
      <c r="D211" s="256">
        <v>0</v>
      </c>
      <c r="E211" s="25">
        <f t="shared" ref="E211:E219" si="22">SUM(B211:C211)-D211</f>
        <v>7206096.9900000002</v>
      </c>
    </row>
    <row r="212" spans="1:5" x14ac:dyDescent="0.25">
      <c r="A212" s="16" t="s">
        <v>395</v>
      </c>
      <c r="B212" s="256">
        <v>2956304.72</v>
      </c>
      <c r="C212" s="253">
        <v>148874</v>
      </c>
      <c r="D212" s="256">
        <v>0</v>
      </c>
      <c r="E212" s="25">
        <f t="shared" si="22"/>
        <v>3105178.72</v>
      </c>
    </row>
    <row r="213" spans="1:5" x14ac:dyDescent="0.25">
      <c r="A213" s="16" t="s">
        <v>396</v>
      </c>
      <c r="B213" s="256">
        <v>55434843.789999999</v>
      </c>
      <c r="C213" s="253">
        <v>0</v>
      </c>
      <c r="D213" s="256">
        <v>0</v>
      </c>
      <c r="E213" s="25">
        <f t="shared" si="22"/>
        <v>55434843.789999999</v>
      </c>
    </row>
    <row r="214" spans="1:5" x14ac:dyDescent="0.25">
      <c r="A214" s="16" t="s">
        <v>397</v>
      </c>
      <c r="B214" s="256">
        <v>9956436.0500000007</v>
      </c>
      <c r="C214" s="253">
        <v>54101</v>
      </c>
      <c r="D214" s="256">
        <v>0</v>
      </c>
      <c r="E214" s="25">
        <f t="shared" si="22"/>
        <v>10010537.050000001</v>
      </c>
    </row>
    <row r="215" spans="1:5" x14ac:dyDescent="0.25">
      <c r="A215" s="16" t="s">
        <v>398</v>
      </c>
      <c r="B215" s="256">
        <v>23255608.170000002</v>
      </c>
      <c r="C215" s="253">
        <v>415925</v>
      </c>
      <c r="D215" s="256">
        <v>1657</v>
      </c>
      <c r="E215" s="25">
        <f t="shared" si="22"/>
        <v>23669876.170000002</v>
      </c>
    </row>
    <row r="216" spans="1:5" x14ac:dyDescent="0.25">
      <c r="A216" s="16" t="s">
        <v>399</v>
      </c>
      <c r="B216" s="256">
        <v>117104325.96000002</v>
      </c>
      <c r="C216" s="253">
        <v>3406597.29</v>
      </c>
      <c r="D216" s="256">
        <v>190976.63</v>
      </c>
      <c r="E216" s="25">
        <f t="shared" si="22"/>
        <v>120319946.62000003</v>
      </c>
    </row>
    <row r="217" spans="1:5" x14ac:dyDescent="0.25">
      <c r="A217" s="16" t="s">
        <v>400</v>
      </c>
      <c r="B217" s="256">
        <v>0</v>
      </c>
      <c r="C217" s="253">
        <v>0</v>
      </c>
      <c r="D217" s="256">
        <v>0</v>
      </c>
      <c r="E217" s="25">
        <f t="shared" si="22"/>
        <v>0</v>
      </c>
    </row>
    <row r="218" spans="1:5" x14ac:dyDescent="0.25">
      <c r="A218" s="16" t="s">
        <v>401</v>
      </c>
      <c r="B218" s="256">
        <v>18482746.98</v>
      </c>
      <c r="C218" s="253">
        <v>-32466</v>
      </c>
      <c r="D218" s="256">
        <v>159210</v>
      </c>
      <c r="E218" s="25">
        <f t="shared" si="22"/>
        <v>18291070.98</v>
      </c>
    </row>
    <row r="219" spans="1:5" x14ac:dyDescent="0.25">
      <c r="A219" s="16" t="s">
        <v>402</v>
      </c>
      <c r="B219" s="256">
        <v>8580779.9300000016</v>
      </c>
      <c r="C219" s="253">
        <v>12015664</v>
      </c>
      <c r="D219" s="256">
        <v>0</v>
      </c>
      <c r="E219" s="25">
        <f t="shared" si="22"/>
        <v>20596443.93</v>
      </c>
    </row>
    <row r="220" spans="1:5" x14ac:dyDescent="0.25">
      <c r="A220" s="16" t="s">
        <v>230</v>
      </c>
      <c r="B220" s="25">
        <f>SUM(B211:B219)</f>
        <v>242977142.59</v>
      </c>
      <c r="C220" s="224">
        <f>SUM(C211:C219)</f>
        <v>16008695.289999999</v>
      </c>
      <c r="D220" s="25">
        <f>SUM(D211:D219)</f>
        <v>351843.63</v>
      </c>
      <c r="E220" s="25">
        <f>SUM(E211:E219)</f>
        <v>258633994.25000003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2"/>
      <c r="C224" s="41"/>
      <c r="D224" s="42"/>
      <c r="E224" s="16"/>
    </row>
    <row r="225" spans="1:6" x14ac:dyDescent="0.25">
      <c r="A225" s="16" t="s">
        <v>395</v>
      </c>
      <c r="B225" s="256">
        <v>2599783.41</v>
      </c>
      <c r="C225" s="253">
        <v>162008.28</v>
      </c>
      <c r="D225" s="256">
        <v>0</v>
      </c>
      <c r="E225" s="25">
        <f t="shared" ref="E225:E232" si="23">SUM(B225:C225)-D225</f>
        <v>2761791.69</v>
      </c>
    </row>
    <row r="226" spans="1:6" x14ac:dyDescent="0.25">
      <c r="A226" s="16" t="s">
        <v>396</v>
      </c>
      <c r="B226" s="256">
        <v>26343166.150000002</v>
      </c>
      <c r="C226" s="253">
        <v>1395859.11</v>
      </c>
      <c r="D226" s="256">
        <v>0</v>
      </c>
      <c r="E226" s="25">
        <f t="shared" si="23"/>
        <v>27739025.260000002</v>
      </c>
    </row>
    <row r="227" spans="1:6" x14ac:dyDescent="0.25">
      <c r="A227" s="16" t="s">
        <v>397</v>
      </c>
      <c r="B227" s="256">
        <v>5010048.5599999996</v>
      </c>
      <c r="C227" s="253">
        <v>861765.14</v>
      </c>
      <c r="D227" s="256">
        <v>556.54</v>
      </c>
      <c r="E227" s="25">
        <f t="shared" si="23"/>
        <v>5871257.1599999992</v>
      </c>
    </row>
    <row r="228" spans="1:6" x14ac:dyDescent="0.25">
      <c r="A228" s="16" t="s">
        <v>398</v>
      </c>
      <c r="B228" s="256">
        <v>18975525.359999999</v>
      </c>
      <c r="C228" s="253">
        <v>658376.57999999996</v>
      </c>
      <c r="D228" s="256">
        <v>2238.96</v>
      </c>
      <c r="E228" s="25">
        <f t="shared" si="23"/>
        <v>19631662.979999997</v>
      </c>
    </row>
    <row r="229" spans="1:6" x14ac:dyDescent="0.25">
      <c r="A229" s="16" t="s">
        <v>399</v>
      </c>
      <c r="B229" s="256">
        <v>104645623.70999999</v>
      </c>
      <c r="C229" s="253">
        <v>7403309.4199999999</v>
      </c>
      <c r="D229" s="256">
        <v>2880531.42</v>
      </c>
      <c r="E229" s="25">
        <f t="shared" si="23"/>
        <v>109168401.70999999</v>
      </c>
    </row>
    <row r="230" spans="1:6" x14ac:dyDescent="0.25">
      <c r="A230" s="16" t="s">
        <v>400</v>
      </c>
      <c r="B230" s="256">
        <v>0</v>
      </c>
      <c r="C230" s="253">
        <v>0</v>
      </c>
      <c r="D230" s="256">
        <v>0</v>
      </c>
      <c r="E230" s="25">
        <f t="shared" si="23"/>
        <v>0</v>
      </c>
    </row>
    <row r="231" spans="1:6" x14ac:dyDescent="0.25">
      <c r="A231" s="16" t="s">
        <v>401</v>
      </c>
      <c r="B231" s="256">
        <v>15043539.380000001</v>
      </c>
      <c r="C231" s="253">
        <v>722027.04</v>
      </c>
      <c r="D231" s="256">
        <v>174969.83</v>
      </c>
      <c r="E231" s="25">
        <f t="shared" si="23"/>
        <v>15590596.590000002</v>
      </c>
    </row>
    <row r="232" spans="1:6" x14ac:dyDescent="0.25">
      <c r="A232" s="16" t="s">
        <v>402</v>
      </c>
      <c r="B232" s="256">
        <v>0</v>
      </c>
      <c r="C232" s="253">
        <v>0</v>
      </c>
      <c r="D232" s="256">
        <v>0</v>
      </c>
      <c r="E232" s="25">
        <f t="shared" si="23"/>
        <v>0</v>
      </c>
    </row>
    <row r="233" spans="1:6" x14ac:dyDescent="0.25">
      <c r="A233" s="16" t="s">
        <v>230</v>
      </c>
      <c r="B233" s="25">
        <f>SUM(B224:B232)</f>
        <v>172617686.56999999</v>
      </c>
      <c r="C233" s="224">
        <f>SUM(C224:C232)</f>
        <v>11203345.57</v>
      </c>
      <c r="D233" s="25">
        <f>SUM(D224:D232)</f>
        <v>3058296.75</v>
      </c>
      <c r="E233" s="25">
        <f>SUM(E224:E232)</f>
        <v>180762735.38999999</v>
      </c>
    </row>
    <row r="234" spans="1:6" x14ac:dyDescent="0.25">
      <c r="A234" s="16"/>
      <c r="B234" s="16"/>
      <c r="C234" s="22"/>
      <c r="D234" s="16"/>
      <c r="E234" s="16"/>
      <c r="F234" s="11">
        <f>E220-E233</f>
        <v>77871258.860000044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26" t="s">
        <v>405</v>
      </c>
      <c r="C236" s="326"/>
      <c r="D236" s="30"/>
      <c r="E236" s="30"/>
    </row>
    <row r="237" spans="1:6" x14ac:dyDescent="0.25">
      <c r="A237" s="43" t="s">
        <v>405</v>
      </c>
      <c r="B237" s="30"/>
      <c r="C237" s="253">
        <v>14771345.42</v>
      </c>
      <c r="D237" s="32">
        <f>C237</f>
        <v>14771345.42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6" t="s">
        <v>407</v>
      </c>
      <c r="B239" s="35" t="s">
        <v>299</v>
      </c>
      <c r="C239" s="253">
        <v>699087853.29999983</v>
      </c>
      <c r="D239" s="16"/>
      <c r="E239" s="16"/>
    </row>
    <row r="240" spans="1:6" x14ac:dyDescent="0.25">
      <c r="A240" s="16" t="s">
        <v>408</v>
      </c>
      <c r="B240" s="35" t="s">
        <v>299</v>
      </c>
      <c r="C240" s="253">
        <v>351236928.42000002</v>
      </c>
      <c r="D240" s="16"/>
      <c r="E240" s="16"/>
    </row>
    <row r="241" spans="1:5" x14ac:dyDescent="0.25">
      <c r="A241" s="16" t="s">
        <v>409</v>
      </c>
      <c r="B241" s="35" t="s">
        <v>299</v>
      </c>
      <c r="C241" s="253">
        <v>0</v>
      </c>
      <c r="D241" s="16"/>
      <c r="E241" s="16"/>
    </row>
    <row r="242" spans="1:5" x14ac:dyDescent="0.25">
      <c r="A242" s="16" t="s">
        <v>410</v>
      </c>
      <c r="B242" s="35" t="s">
        <v>299</v>
      </c>
      <c r="C242" s="253">
        <v>55749378.789999999</v>
      </c>
      <c r="D242" s="16"/>
      <c r="E242" s="16"/>
    </row>
    <row r="243" spans="1:5" x14ac:dyDescent="0.25">
      <c r="A243" s="16" t="s">
        <v>411</v>
      </c>
      <c r="B243" s="35" t="s">
        <v>299</v>
      </c>
      <c r="C243" s="253">
        <v>331598924.78999996</v>
      </c>
      <c r="D243" s="16"/>
      <c r="E243" s="16"/>
    </row>
    <row r="244" spans="1:5" x14ac:dyDescent="0.25">
      <c r="A244" s="16" t="s">
        <v>412</v>
      </c>
      <c r="B244" s="35" t="s">
        <v>299</v>
      </c>
      <c r="C244" s="253">
        <v>33588359.670000002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f>SUM(C239:C244)</f>
        <v>1471261444.9699998</v>
      </c>
      <c r="E245" s="16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299</v>
      </c>
      <c r="C247" s="253">
        <v>9662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416</v>
      </c>
      <c r="B249" s="35" t="s">
        <v>299</v>
      </c>
      <c r="C249" s="253">
        <v>14853776.07</v>
      </c>
      <c r="D249" s="16"/>
      <c r="E249" s="16"/>
    </row>
    <row r="250" spans="1:5" x14ac:dyDescent="0.25">
      <c r="A250" s="21" t="s">
        <v>417</v>
      </c>
      <c r="B250" s="35" t="s">
        <v>299</v>
      </c>
      <c r="C250" s="253">
        <v>26035081.580000002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f>SUM(C249:C251)</f>
        <v>40888857.650000006</v>
      </c>
      <c r="E252" s="16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6" t="s">
        <v>420</v>
      </c>
      <c r="B254" s="35" t="s">
        <v>299</v>
      </c>
      <c r="C254" s="253">
        <v>15258553.740000002</v>
      </c>
      <c r="D254" s="16"/>
      <c r="E254" s="16"/>
    </row>
    <row r="255" spans="1:5" x14ac:dyDescent="0.25">
      <c r="A255" s="16" t="s">
        <v>419</v>
      </c>
      <c r="B255" s="35" t="s">
        <v>299</v>
      </c>
      <c r="C255" s="253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f>SUM(C254:C255)</f>
        <v>15258553.740000002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f>D237+D245+D252+D256</f>
        <v>1542180201.78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6" t="s">
        <v>425</v>
      </c>
      <c r="B266" s="35" t="s">
        <v>299</v>
      </c>
      <c r="C266" s="253">
        <v>216420.44</v>
      </c>
      <c r="D266" s="16"/>
      <c r="E266" s="16"/>
    </row>
    <row r="267" spans="1:5" x14ac:dyDescent="0.25">
      <c r="A267" s="16" t="s">
        <v>426</v>
      </c>
      <c r="B267" s="35" t="s">
        <v>299</v>
      </c>
      <c r="C267" s="253">
        <v>0</v>
      </c>
      <c r="D267" s="16"/>
      <c r="E267" s="16"/>
    </row>
    <row r="268" spans="1:5" x14ac:dyDescent="0.25">
      <c r="A268" s="16" t="s">
        <v>427</v>
      </c>
      <c r="B268" s="35" t="s">
        <v>299</v>
      </c>
      <c r="C268" s="253">
        <v>149876494.90000001</v>
      </c>
      <c r="D268" s="16"/>
      <c r="E268" s="16"/>
    </row>
    <row r="269" spans="1:5" x14ac:dyDescent="0.25">
      <c r="A269" s="16" t="s">
        <v>428</v>
      </c>
      <c r="B269" s="35" t="s">
        <v>299</v>
      </c>
      <c r="C269" s="253">
        <v>91623945.75999999</v>
      </c>
      <c r="D269" s="16"/>
      <c r="E269" s="16"/>
    </row>
    <row r="270" spans="1:5" x14ac:dyDescent="0.25">
      <c r="A270" s="16" t="s">
        <v>429</v>
      </c>
      <c r="B270" s="35" t="s">
        <v>299</v>
      </c>
      <c r="C270" s="253">
        <v>0</v>
      </c>
      <c r="D270" s="16"/>
      <c r="E270" s="16"/>
    </row>
    <row r="271" spans="1:5" x14ac:dyDescent="0.25">
      <c r="A271" s="16" t="s">
        <v>430</v>
      </c>
      <c r="B271" s="35" t="s">
        <v>299</v>
      </c>
      <c r="C271" s="253">
        <v>18230309.890000001</v>
      </c>
      <c r="D271" s="16"/>
      <c r="E271" s="16"/>
    </row>
    <row r="272" spans="1:5" x14ac:dyDescent="0.25">
      <c r="A272" s="16" t="s">
        <v>431</v>
      </c>
      <c r="B272" s="35" t="s">
        <v>299</v>
      </c>
      <c r="C272" s="253">
        <v>0</v>
      </c>
      <c r="D272" s="16"/>
      <c r="E272" s="16"/>
    </row>
    <row r="273" spans="1:5" x14ac:dyDescent="0.25">
      <c r="A273" s="16" t="s">
        <v>432</v>
      </c>
      <c r="B273" s="35" t="s">
        <v>299</v>
      </c>
      <c r="C273" s="253">
        <v>7354046.8799999999</v>
      </c>
      <c r="D273" s="16"/>
      <c r="E273" s="16"/>
    </row>
    <row r="274" spans="1:5" x14ac:dyDescent="0.25">
      <c r="A274" s="16" t="s">
        <v>433</v>
      </c>
      <c r="B274" s="35" t="s">
        <v>299</v>
      </c>
      <c r="C274" s="253">
        <v>698490.91999999993</v>
      </c>
      <c r="D274" s="16"/>
      <c r="E274" s="16"/>
    </row>
    <row r="275" spans="1:5" x14ac:dyDescent="0.25">
      <c r="A275" s="16" t="s">
        <v>434</v>
      </c>
      <c r="B275" s="35" t="s">
        <v>299</v>
      </c>
      <c r="C275" s="253">
        <v>0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f>SUM(C266:C268)-C269+SUM(C270:C275)</f>
        <v>84751817.270000011</v>
      </c>
      <c r="E276" s="16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6" t="s">
        <v>425</v>
      </c>
      <c r="B278" s="35" t="s">
        <v>299</v>
      </c>
      <c r="C278" s="253">
        <v>0</v>
      </c>
      <c r="D278" s="16"/>
      <c r="E278" s="16"/>
    </row>
    <row r="279" spans="1:5" x14ac:dyDescent="0.25">
      <c r="A279" s="16" t="s">
        <v>426</v>
      </c>
      <c r="B279" s="35" t="s">
        <v>299</v>
      </c>
      <c r="C279" s="253">
        <v>0</v>
      </c>
      <c r="D279" s="16"/>
      <c r="E279" s="16"/>
    </row>
    <row r="280" spans="1:5" x14ac:dyDescent="0.25">
      <c r="A280" s="16" t="s">
        <v>437</v>
      </c>
      <c r="B280" s="35" t="s">
        <v>299</v>
      </c>
      <c r="C280" s="253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6" t="s">
        <v>394</v>
      </c>
      <c r="B283" s="35" t="s">
        <v>299</v>
      </c>
      <c r="C283" s="253">
        <v>7206096.9900000002</v>
      </c>
      <c r="D283" s="16"/>
      <c r="E283" s="16"/>
    </row>
    <row r="284" spans="1:5" x14ac:dyDescent="0.25">
      <c r="A284" s="16" t="s">
        <v>395</v>
      </c>
      <c r="B284" s="35" t="s">
        <v>299</v>
      </c>
      <c r="C284" s="253">
        <v>3105178.72</v>
      </c>
      <c r="D284" s="16"/>
      <c r="E284" s="16"/>
    </row>
    <row r="285" spans="1:5" x14ac:dyDescent="0.25">
      <c r="A285" s="16" t="s">
        <v>396</v>
      </c>
      <c r="B285" s="35" t="s">
        <v>299</v>
      </c>
      <c r="C285" s="253">
        <v>55434843.789999999</v>
      </c>
      <c r="D285" s="16"/>
      <c r="E285" s="16"/>
    </row>
    <row r="286" spans="1:5" x14ac:dyDescent="0.25">
      <c r="A286" s="16" t="s">
        <v>440</v>
      </c>
      <c r="B286" s="35" t="s">
        <v>299</v>
      </c>
      <c r="C286" s="253">
        <v>10010536.949999999</v>
      </c>
      <c r="D286" s="16"/>
      <c r="E286" s="16"/>
    </row>
    <row r="287" spans="1:5" x14ac:dyDescent="0.25">
      <c r="A287" s="16" t="s">
        <v>441</v>
      </c>
      <c r="B287" s="35" t="s">
        <v>299</v>
      </c>
      <c r="C287" s="253">
        <v>23669875</v>
      </c>
      <c r="D287" s="16"/>
      <c r="E287" s="16"/>
    </row>
    <row r="288" spans="1:5" x14ac:dyDescent="0.25">
      <c r="A288" s="16" t="s">
        <v>442</v>
      </c>
      <c r="B288" s="35" t="s">
        <v>299</v>
      </c>
      <c r="C288" s="253">
        <v>120319948.45</v>
      </c>
      <c r="D288" s="16"/>
      <c r="E288" s="16"/>
    </row>
    <row r="289" spans="1:5" x14ac:dyDescent="0.25">
      <c r="A289" s="16" t="s">
        <v>401</v>
      </c>
      <c r="B289" s="35" t="s">
        <v>299</v>
      </c>
      <c r="C289" s="253">
        <v>18291071.02</v>
      </c>
      <c r="D289" s="16"/>
      <c r="E289" s="16"/>
    </row>
    <row r="290" spans="1:5" x14ac:dyDescent="0.25">
      <c r="A290" s="16" t="s">
        <v>402</v>
      </c>
      <c r="B290" s="35" t="s">
        <v>299</v>
      </c>
      <c r="C290" s="253">
        <v>20596443.400000002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f>SUM(C283:C290)</f>
        <v>258633994.32000002</v>
      </c>
      <c r="E291" s="16"/>
    </row>
    <row r="292" spans="1:5" x14ac:dyDescent="0.25">
      <c r="A292" s="16" t="s">
        <v>444</v>
      </c>
      <c r="B292" s="35" t="s">
        <v>299</v>
      </c>
      <c r="C292" s="253">
        <v>180762735.72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f>D291-C292</f>
        <v>77871258.600000024</v>
      </c>
      <c r="E293" s="16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2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25">
      <c r="A297" s="16" t="s">
        <v>449</v>
      </c>
      <c r="B297" s="35" t="s">
        <v>299</v>
      </c>
      <c r="C297" s="253">
        <v>4760214.3100000005</v>
      </c>
      <c r="D297" s="16"/>
      <c r="E297" s="16"/>
    </row>
    <row r="298" spans="1:5" x14ac:dyDescent="0.25">
      <c r="A298" s="16" t="s">
        <v>437</v>
      </c>
      <c r="B298" s="35" t="s">
        <v>299</v>
      </c>
      <c r="C298" s="253">
        <v>21804873.710000001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f>C295-C296+C297+C298</f>
        <v>26565088.020000003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6" t="s">
        <v>452</v>
      </c>
      <c r="B302" s="35" t="s">
        <v>299</v>
      </c>
      <c r="C302" s="253">
        <v>10791888.58</v>
      </c>
      <c r="D302" s="16"/>
      <c r="E302" s="16"/>
    </row>
    <row r="303" spans="1:5" x14ac:dyDescent="0.25">
      <c r="A303" s="16" t="s">
        <v>453</v>
      </c>
      <c r="B303" s="35" t="s">
        <v>299</v>
      </c>
      <c r="C303" s="253">
        <v>0</v>
      </c>
      <c r="D303" s="16"/>
      <c r="E303" s="16"/>
    </row>
    <row r="304" spans="1:5" x14ac:dyDescent="0.25">
      <c r="A304" s="16" t="s">
        <v>454</v>
      </c>
      <c r="B304" s="35" t="s">
        <v>299</v>
      </c>
      <c r="C304" s="253">
        <v>0</v>
      </c>
      <c r="D304" s="16"/>
      <c r="E304" s="16"/>
    </row>
    <row r="305" spans="1:6" x14ac:dyDescent="0.25">
      <c r="A305" s="16" t="s">
        <v>455</v>
      </c>
      <c r="B305" s="35" t="s">
        <v>299</v>
      </c>
      <c r="C305" s="253">
        <v>3928028.2700000005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f>SUM(C302:C305)</f>
        <v>14719916.850000001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f>D276+D281+D293+D299+D306</f>
        <v>203908080.74000004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203908080.74000004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6" t="s">
        <v>460</v>
      </c>
      <c r="B314" s="35" t="s">
        <v>299</v>
      </c>
      <c r="C314" s="253">
        <v>0</v>
      </c>
      <c r="D314" s="16"/>
      <c r="E314" s="16"/>
    </row>
    <row r="315" spans="1:6" x14ac:dyDescent="0.25">
      <c r="A315" s="16" t="s">
        <v>461</v>
      </c>
      <c r="B315" s="35" t="s">
        <v>299</v>
      </c>
      <c r="C315" s="253">
        <v>6910333.0100000007</v>
      </c>
      <c r="D315" s="16"/>
      <c r="E315" s="16"/>
    </row>
    <row r="316" spans="1:6" x14ac:dyDescent="0.25">
      <c r="A316" s="16" t="s">
        <v>462</v>
      </c>
      <c r="B316" s="35" t="s">
        <v>299</v>
      </c>
      <c r="C316" s="253">
        <v>13905751.51</v>
      </c>
      <c r="D316" s="16"/>
      <c r="E316" s="16"/>
    </row>
    <row r="317" spans="1:6" x14ac:dyDescent="0.25">
      <c r="A317" s="16" t="s">
        <v>463</v>
      </c>
      <c r="B317" s="35" t="s">
        <v>299</v>
      </c>
      <c r="C317" s="253">
        <v>16904649.25</v>
      </c>
      <c r="D317" s="16"/>
      <c r="E317" s="16"/>
    </row>
    <row r="318" spans="1:6" x14ac:dyDescent="0.25">
      <c r="A318" s="16" t="s">
        <v>464</v>
      </c>
      <c r="B318" s="35" t="s">
        <v>299</v>
      </c>
      <c r="C318" s="253">
        <v>0</v>
      </c>
      <c r="D318" s="16"/>
      <c r="E318" s="16"/>
    </row>
    <row r="319" spans="1:6" x14ac:dyDescent="0.25">
      <c r="A319" s="16" t="s">
        <v>465</v>
      </c>
      <c r="B319" s="35" t="s">
        <v>299</v>
      </c>
      <c r="C319" s="253">
        <v>4176144.75</v>
      </c>
      <c r="D319" s="16"/>
      <c r="E319" s="16"/>
    </row>
    <row r="320" spans="1:6" x14ac:dyDescent="0.25">
      <c r="A320" s="16" t="s">
        <v>466</v>
      </c>
      <c r="B320" s="35" t="s">
        <v>299</v>
      </c>
      <c r="C320" s="253">
        <v>0</v>
      </c>
      <c r="D320" s="16"/>
      <c r="E320" s="16"/>
    </row>
    <row r="321" spans="1:5" x14ac:dyDescent="0.25">
      <c r="A321" s="16" t="s">
        <v>467</v>
      </c>
      <c r="B321" s="35" t="s">
        <v>299</v>
      </c>
      <c r="C321" s="253">
        <v>0</v>
      </c>
      <c r="D321" s="16"/>
      <c r="E321" s="16"/>
    </row>
    <row r="322" spans="1:5" x14ac:dyDescent="0.25">
      <c r="A322" s="16" t="s">
        <v>468</v>
      </c>
      <c r="B322" s="35" t="s">
        <v>299</v>
      </c>
      <c r="C322" s="253">
        <v>0</v>
      </c>
      <c r="D322" s="16"/>
      <c r="E322" s="16"/>
    </row>
    <row r="323" spans="1:5" x14ac:dyDescent="0.25">
      <c r="A323" s="16" t="s">
        <v>469</v>
      </c>
      <c r="B323" s="35" t="s">
        <v>299</v>
      </c>
      <c r="C323" s="253">
        <v>470157.86000000004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f>SUM(C314:C323)</f>
        <v>42367036.379999995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299</v>
      </c>
      <c r="C326" s="253">
        <v>0</v>
      </c>
      <c r="D326" s="16"/>
      <c r="E326" s="16"/>
    </row>
    <row r="327" spans="1:5" x14ac:dyDescent="0.25">
      <c r="A327" s="16" t="s">
        <v>473</v>
      </c>
      <c r="B327" s="35" t="s">
        <v>299</v>
      </c>
      <c r="C327" s="253">
        <v>0</v>
      </c>
      <c r="D327" s="16"/>
      <c r="E327" s="16"/>
    </row>
    <row r="328" spans="1:5" x14ac:dyDescent="0.25">
      <c r="A328" s="16" t="s">
        <v>474</v>
      </c>
      <c r="B328" s="35" t="s">
        <v>299</v>
      </c>
      <c r="C328" s="253">
        <v>20910105.139999997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f>SUM(C326:C328)</f>
        <v>20910105.139999997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299</v>
      </c>
      <c r="C331" s="253">
        <v>0</v>
      </c>
      <c r="D331" s="16"/>
      <c r="E331" s="16"/>
    </row>
    <row r="332" spans="1:5" x14ac:dyDescent="0.25">
      <c r="A332" s="16" t="s">
        <v>478</v>
      </c>
      <c r="B332" s="35" t="s">
        <v>299</v>
      </c>
      <c r="C332" s="253">
        <v>0</v>
      </c>
      <c r="D332" s="16"/>
      <c r="E332" s="16"/>
    </row>
    <row r="333" spans="1:5" x14ac:dyDescent="0.25">
      <c r="A333" s="16" t="s">
        <v>479</v>
      </c>
      <c r="B333" s="35" t="s">
        <v>299</v>
      </c>
      <c r="C333" s="253">
        <v>0</v>
      </c>
      <c r="D333" s="16"/>
      <c r="E333" s="16"/>
    </row>
    <row r="334" spans="1:5" x14ac:dyDescent="0.25">
      <c r="A334" s="21" t="s">
        <v>480</v>
      </c>
      <c r="B334" s="35" t="s">
        <v>299</v>
      </c>
      <c r="C334" s="253">
        <v>1558376.2200000002</v>
      </c>
      <c r="D334" s="16"/>
      <c r="E334" s="16"/>
    </row>
    <row r="335" spans="1:5" x14ac:dyDescent="0.25">
      <c r="A335" s="16" t="s">
        <v>481</v>
      </c>
      <c r="B335" s="35" t="s">
        <v>299</v>
      </c>
      <c r="C335" s="253">
        <v>0</v>
      </c>
      <c r="D335" s="16"/>
      <c r="E335" s="16"/>
    </row>
    <row r="336" spans="1:5" x14ac:dyDescent="0.25">
      <c r="A336" s="21" t="s">
        <v>482</v>
      </c>
      <c r="B336" s="35" t="s">
        <v>299</v>
      </c>
      <c r="C336" s="253">
        <v>0</v>
      </c>
      <c r="D336" s="16"/>
      <c r="E336" s="16"/>
    </row>
    <row r="337" spans="1:5" x14ac:dyDescent="0.25">
      <c r="A337" s="21" t="s">
        <v>483</v>
      </c>
      <c r="B337" s="35" t="s">
        <v>299</v>
      </c>
      <c r="C337" s="275">
        <v>0</v>
      </c>
      <c r="D337" s="16"/>
      <c r="E337" s="16"/>
    </row>
    <row r="338" spans="1:5" x14ac:dyDescent="0.25">
      <c r="A338" s="16" t="s">
        <v>484</v>
      </c>
      <c r="B338" s="35" t="s">
        <v>299</v>
      </c>
      <c r="C338" s="253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1558376.2200000002</v>
      </c>
      <c r="E339" s="16"/>
    </row>
    <row r="340" spans="1:5" x14ac:dyDescent="0.25">
      <c r="A340" s="16" t="s">
        <v>485</v>
      </c>
      <c r="B340" s="16"/>
      <c r="C340" s="22"/>
      <c r="D340" s="25">
        <f>C323</f>
        <v>470157.86000000004</v>
      </c>
      <c r="E340" s="16"/>
    </row>
    <row r="341" spans="1:5" x14ac:dyDescent="0.25">
      <c r="A341" s="16" t="s">
        <v>486</v>
      </c>
      <c r="B341" s="16"/>
      <c r="C341" s="22"/>
      <c r="D341" s="25">
        <f>D339-D340</f>
        <v>1088218.3600000001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299</v>
      </c>
      <c r="C343" s="257">
        <v>139542720.83999997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2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2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2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2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f>D324+D329+D341+C343+C347+C348</f>
        <v>203908080.71999997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f>D308</f>
        <v>203908080.74000004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299</v>
      </c>
      <c r="C358" s="255">
        <v>807809895.46000004</v>
      </c>
      <c r="D358" s="16"/>
      <c r="E358" s="16"/>
    </row>
    <row r="359" spans="1:5" x14ac:dyDescent="0.25">
      <c r="A359" s="16" t="s">
        <v>498</v>
      </c>
      <c r="B359" s="35" t="s">
        <v>299</v>
      </c>
      <c r="C359" s="255">
        <v>1098742606.46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f>SUM(C358:C359)</f>
        <v>1906552501.9200001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405</v>
      </c>
      <c r="B362" s="34"/>
      <c r="C362" s="253">
        <v>14771345.42</v>
      </c>
      <c r="D362" s="16"/>
      <c r="E362" s="34"/>
    </row>
    <row r="363" spans="1:5" x14ac:dyDescent="0.25">
      <c r="A363" s="16" t="s">
        <v>501</v>
      </c>
      <c r="B363" s="35" t="s">
        <v>299</v>
      </c>
      <c r="C363" s="253">
        <v>1471261444.97</v>
      </c>
      <c r="D363" s="16"/>
      <c r="E363" s="16"/>
    </row>
    <row r="364" spans="1:5" x14ac:dyDescent="0.25">
      <c r="A364" s="16" t="s">
        <v>502</v>
      </c>
      <c r="B364" s="35" t="s">
        <v>299</v>
      </c>
      <c r="C364" s="253">
        <v>40888857.649999999</v>
      </c>
      <c r="D364" s="16"/>
      <c r="E364" s="16"/>
    </row>
    <row r="365" spans="1:5" x14ac:dyDescent="0.25">
      <c r="A365" s="16" t="s">
        <v>503</v>
      </c>
      <c r="B365" s="35" t="s">
        <v>299</v>
      </c>
      <c r="C365" s="253">
        <v>15258553.740000002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f>SUM(C362:C365)</f>
        <v>1542180201.7800002</v>
      </c>
      <c r="E366" s="16"/>
    </row>
    <row r="367" spans="1:5" x14ac:dyDescent="0.25">
      <c r="A367" s="16" t="s">
        <v>504</v>
      </c>
      <c r="B367" s="16"/>
      <c r="C367" s="22"/>
      <c r="D367" s="25">
        <f>D360-D366</f>
        <v>364372300.13999987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299</v>
      </c>
      <c r="C370" s="253">
        <v>1142.74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53">
        <v>2278805.8899999997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53">
        <v>1234298.03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53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53">
        <v>3250365.6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53">
        <v>0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53">
        <v>3022584.4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53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53">
        <v>141458.54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53">
        <v>755491.61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8">
        <v>2753216.0000000005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518</v>
      </c>
      <c r="B381" s="35"/>
      <c r="C381" s="35"/>
      <c r="D381" s="25">
        <f>SUM(C370:C380)</f>
        <v>13437362.809999999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53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f>D381+C382</f>
        <v>13437362.809999999</v>
      </c>
      <c r="E383" s="16"/>
    </row>
    <row r="384" spans="1:6" x14ac:dyDescent="0.25">
      <c r="A384" s="16" t="s">
        <v>521</v>
      </c>
      <c r="B384" s="16"/>
      <c r="C384" s="22"/>
      <c r="D384" s="25">
        <f>D367+D383</f>
        <v>377809662.94999987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299</v>
      </c>
      <c r="C389" s="253">
        <v>149910409.88999999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3">
        <v>33896763.590000004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3">
        <v>19502699.390000004</v>
      </c>
      <c r="D391" s="16"/>
      <c r="E391" s="16"/>
    </row>
    <row r="392" spans="1:5" x14ac:dyDescent="0.25">
      <c r="A392" s="16" t="s">
        <v>524</v>
      </c>
      <c r="B392" s="35" t="s">
        <v>299</v>
      </c>
      <c r="C392" s="253">
        <v>44114778.189999998</v>
      </c>
      <c r="D392" s="16"/>
      <c r="E392" s="16"/>
    </row>
    <row r="393" spans="1:5" x14ac:dyDescent="0.25">
      <c r="A393" s="16" t="s">
        <v>525</v>
      </c>
      <c r="B393" s="35" t="s">
        <v>299</v>
      </c>
      <c r="C393" s="253">
        <v>1618259.39</v>
      </c>
      <c r="D393" s="16"/>
      <c r="E393" s="16"/>
    </row>
    <row r="394" spans="1:5" x14ac:dyDescent="0.25">
      <c r="A394" s="16" t="s">
        <v>526</v>
      </c>
      <c r="B394" s="35" t="s">
        <v>299</v>
      </c>
      <c r="C394" s="253">
        <v>62487341.609999992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3">
        <v>11203345.57</v>
      </c>
      <c r="D395" s="16"/>
      <c r="E395" s="16"/>
    </row>
    <row r="396" spans="1:5" x14ac:dyDescent="0.25">
      <c r="A396" s="16" t="s">
        <v>527</v>
      </c>
      <c r="B396" s="35" t="s">
        <v>299</v>
      </c>
      <c r="C396" s="253">
        <v>8673226.8300000001</v>
      </c>
      <c r="D396" s="16"/>
      <c r="E396" s="16"/>
    </row>
    <row r="397" spans="1:5" x14ac:dyDescent="0.25">
      <c r="A397" s="16" t="s">
        <v>528</v>
      </c>
      <c r="B397" s="35" t="s">
        <v>299</v>
      </c>
      <c r="C397" s="253">
        <v>0</v>
      </c>
      <c r="D397" s="16"/>
      <c r="E397" s="16"/>
    </row>
    <row r="398" spans="1:5" x14ac:dyDescent="0.25">
      <c r="A398" s="16" t="s">
        <v>529</v>
      </c>
      <c r="B398" s="35" t="s">
        <v>299</v>
      </c>
      <c r="C398" s="253">
        <v>0</v>
      </c>
      <c r="D398" s="16"/>
      <c r="E398" s="16"/>
    </row>
    <row r="399" spans="1:5" x14ac:dyDescent="0.25">
      <c r="A399" s="16" t="s">
        <v>530</v>
      </c>
      <c r="B399" s="35" t="s">
        <v>299</v>
      </c>
      <c r="C399" s="253">
        <v>0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3">
        <v>617932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3">
        <v>4186106.52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3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3">
        <v>2490065.17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3">
        <v>869131.14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3">
        <v>327000.82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3">
        <v>816475.58000000007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3">
        <v>1974150.36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3">
        <v>8989937.4299999997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3">
        <v>28393.61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3">
        <v>223912.4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3">
        <v>14035254.890000001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3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8">
        <v>2942081.6900000572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f>SUM(C401:C414)</f>
        <v>37500441.610000052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f>SUM(C389:C399,D415)</f>
        <v>368907266.07000005</v>
      </c>
      <c r="E416" s="25"/>
    </row>
    <row r="417" spans="1:13" x14ac:dyDescent="0.25">
      <c r="A417" s="25" t="s">
        <v>535</v>
      </c>
      <c r="B417" s="16"/>
      <c r="C417" s="22"/>
      <c r="D417" s="25">
        <f>D384-D416</f>
        <v>8902396.8799998164</v>
      </c>
      <c r="E417" s="25"/>
    </row>
    <row r="418" spans="1:13" x14ac:dyDescent="0.25">
      <c r="A418" s="25" t="s">
        <v>536</v>
      </c>
      <c r="B418" s="16"/>
      <c r="C418" s="258">
        <v>51648.6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53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f>SUM(C418:C419)</f>
        <v>51648.6</v>
      </c>
      <c r="E420" s="25"/>
      <c r="F420" s="11">
        <f>D420-C399</f>
        <v>51648.6</v>
      </c>
    </row>
    <row r="421" spans="1:13" x14ac:dyDescent="0.25">
      <c r="A421" s="25" t="s">
        <v>539</v>
      </c>
      <c r="B421" s="16"/>
      <c r="C421" s="22"/>
      <c r="D421" s="25">
        <f>D417+D420</f>
        <v>8954045.479999816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53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299</v>
      </c>
      <c r="C423" s="253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f>D421+C422-C423</f>
        <v>8954045.479999816</v>
      </c>
      <c r="E424" s="16"/>
    </row>
    <row r="426" spans="1:13" ht="29.25" customHeight="1" x14ac:dyDescent="0.25">
      <c r="A426" s="327" t="s">
        <v>1379</v>
      </c>
      <c r="B426" s="327"/>
      <c r="C426" s="327"/>
      <c r="D426" s="327"/>
      <c r="E426" s="32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201512.72666666665</v>
      </c>
      <c r="E612" s="218">
        <f>SUM(C624:D647)+SUM(C668:D713)</f>
        <v>323085529.84543735</v>
      </c>
      <c r="F612" s="218">
        <f>CE64-(AX64+BD64+BE64+BG64+BJ64+BN64+BP64+BQ64+CB64+CC64+CD64)</f>
        <v>44337630.999999993</v>
      </c>
      <c r="G612" s="216">
        <f>CE91-(AX91+AY91+BD91+BE91+BG91+BJ91+BN91+BP91+BQ91+CB91+CC91+CD91)</f>
        <v>124186</v>
      </c>
      <c r="H612" s="221">
        <f>CE60-(AX60+AY60+AZ60+BD60+BE60+BG60+BJ60+BN60+BO60+BP60+BQ60+BR60+CB60+CC60+CD60)</f>
        <v>1151.0621298076919</v>
      </c>
      <c r="I612" s="216">
        <f>CE92-(AX92+AY92+AZ92+BD92+BE92+BF92+BG92+BJ92+BN92+BO92+BP92+BQ92+BR92+CB92+CC92+CD92)</f>
        <v>59714.939999999995</v>
      </c>
      <c r="J612" s="216">
        <f>CE93-(AX93+AY93+AZ93+BA93+BD93+BE93+BF93+BG93+BJ93+BN93+BO93+BP93+BQ93+BR93+CB93+CC93+CD93)</f>
        <v>1030901.0800000001</v>
      </c>
      <c r="K612" s="216">
        <f>CE89-(AW89+AX89+AY89+AZ89+BA89+BB89+BC89+BD89+BE89+BF89+BG89+BH89+BI89+BJ89+BK89+BL89+BM89+BN89+BO89+BP89+BQ89+BR89+BS89+BT89+BU89+BV89+BW89+BX89+CB89+CC89+CD89)</f>
        <v>1906552501.9200008</v>
      </c>
      <c r="L612" s="222">
        <f>CE94-(AW94+AX94+AY94+AZ94+BA94+BB94+BC94+BD94+BE94+BF94+BG94+BH94+BI94+BJ94+BK94+BL94+BM94+BN94+BO94+BP94+BQ94+BR94+BS94+BT94+BU94+BV94+BW94+BX94+BY94+BZ94+CA94+CB94+CC94+CD94)</f>
        <v>423.75252884615395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9841183.3900000006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8119812.7400000012</v>
      </c>
      <c r="D615" s="216">
        <f>SUM(C614:C615)</f>
        <v>17960996.130000003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>
        <f>AX85</f>
        <v>160120.15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244443.05</v>
      </c>
      <c r="D617" s="216">
        <f>(D615/D612)*BJ90</f>
        <v>0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378896.46</v>
      </c>
      <c r="D618" s="216">
        <f>(D615/D612)*BG90</f>
        <v>0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14443718.870000001</v>
      </c>
      <c r="D619" s="216">
        <f>(D615/D612)*BN90</f>
        <v>2141278.1145625515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12997519.529999999</v>
      </c>
      <c r="D620" s="216">
        <f>(D615/D612)*CC90</f>
        <v>0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1699411.78</v>
      </c>
      <c r="D621" s="216">
        <f>(D615/D612)*BP90</f>
        <v>0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318985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>
        <f>BQ85</f>
        <v>0</v>
      </c>
      <c r="D623" s="216">
        <f>(D615/D612)*BQ90</f>
        <v>0</v>
      </c>
      <c r="E623" s="218">
        <f>SUM(C616:D623)</f>
        <v>32384372.954562552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720917.04</v>
      </c>
      <c r="D624" s="216">
        <f>(D615/D612)*BD90</f>
        <v>0</v>
      </c>
      <c r="E624" s="218">
        <f>(E623/E612)*SUM(C624:D624)</f>
        <v>72260.884923655118</v>
      </c>
      <c r="F624" s="218">
        <f>SUM(C624:E624)</f>
        <v>793177.92492365511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2926210.9999999995</v>
      </c>
      <c r="D625" s="216">
        <f>(D615/D612)*AY90</f>
        <v>0</v>
      </c>
      <c r="E625" s="218">
        <f>(E623/E612)*SUM(C625:D625)</f>
        <v>293307.80741891428</v>
      </c>
      <c r="F625" s="218">
        <f>(F624/F612)*AY64</f>
        <v>19332.02966996545</v>
      </c>
      <c r="G625" s="216">
        <f>SUM(C625:F625)</f>
        <v>3238850.8370888792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1322385.46</v>
      </c>
      <c r="D626" s="216">
        <f>(D615/D612)*BR90</f>
        <v>542895.87182647432</v>
      </c>
      <c r="E626" s="218">
        <f>(E623/E612)*SUM(C626:D626)</f>
        <v>186965.86734772564</v>
      </c>
      <c r="F626" s="218">
        <f>(F624/F612)*BR64</f>
        <v>0</v>
      </c>
      <c r="G626" s="216">
        <f>(G625/G612)*BR91</f>
        <v>0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403542.61</v>
      </c>
      <c r="D627" s="216">
        <f>(D615/D612)*BO90</f>
        <v>0</v>
      </c>
      <c r="E627" s="218">
        <f>(E623/E612)*SUM(C627:D627)</f>
        <v>40448.962203752926</v>
      </c>
      <c r="F627" s="218">
        <f>(F624/F612)*BO64</f>
        <v>0</v>
      </c>
      <c r="G627" s="216">
        <f>(G625/G612)*BO91</f>
        <v>0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105103</v>
      </c>
      <c r="D628" s="216">
        <f>(D615/D612)*AZ90</f>
        <v>508758.76479814737</v>
      </c>
      <c r="E628" s="218">
        <f>(E623/E612)*SUM(C628:D628)</f>
        <v>61530.234248743473</v>
      </c>
      <c r="F628" s="218">
        <f>(F624/F612)*AZ64</f>
        <v>0</v>
      </c>
      <c r="G628" s="216">
        <f>(G625/G612)*AZ91</f>
        <v>0</v>
      </c>
      <c r="H628" s="218">
        <f>SUM(C626:G628)</f>
        <v>3171630.7704248438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2909591.49</v>
      </c>
      <c r="D629" s="216">
        <f>(D615/D612)*BF90</f>
        <v>55706.767343875632</v>
      </c>
      <c r="E629" s="218">
        <f>(E623/E612)*SUM(C629:D629)</f>
        <v>297225.70594009105</v>
      </c>
      <c r="F629" s="218">
        <f>(F624/F612)*BF64</f>
        <v>4138.2902617439076</v>
      </c>
      <c r="G629" s="216">
        <f>(G625/G612)*BF91</f>
        <v>0</v>
      </c>
      <c r="H629" s="218">
        <f>(H628/H612)*BF60</f>
        <v>79104.924826504575</v>
      </c>
      <c r="I629" s="216">
        <f>SUM(C629:H629)</f>
        <v>3345767.1783722155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194241.08000000002</v>
      </c>
      <c r="D630" s="216">
        <f>(D615/D612)*BA90</f>
        <v>192433.45711268397</v>
      </c>
      <c r="E630" s="218">
        <f>(E623/E612)*SUM(C630:D630)</f>
        <v>38758.196406631294</v>
      </c>
      <c r="F630" s="218">
        <f>(F624/F612)*BA64</f>
        <v>0</v>
      </c>
      <c r="G630" s="216">
        <f>(G625/G612)*BA91</f>
        <v>0</v>
      </c>
      <c r="H630" s="218">
        <f>(H628/H612)*BA60</f>
        <v>-46.68274892156002</v>
      </c>
      <c r="I630" s="216">
        <f>(I629/I612)*BA92</f>
        <v>44340.868662639266</v>
      </c>
      <c r="J630" s="216">
        <f>SUM(C630:I630)</f>
        <v>469726.91943303298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0</v>
      </c>
      <c r="D631" s="216">
        <f>(D615/D612)*AW90</f>
        <v>0</v>
      </c>
      <c r="E631" s="218">
        <f>(E623/E612)*SUM(C631:D631)</f>
        <v>0</v>
      </c>
      <c r="F631" s="218">
        <f>(F624/F612)*AW64</f>
        <v>0</v>
      </c>
      <c r="G631" s="216">
        <f>(G625/G612)*AW91</f>
        <v>0</v>
      </c>
      <c r="H631" s="218">
        <f>(H628/H612)*AW60</f>
        <v>0</v>
      </c>
      <c r="I631" s="216">
        <f>(I629/I612)*AW92</f>
        <v>0</v>
      </c>
      <c r="J631" s="216">
        <f>(J630/J612)*AW93</f>
        <v>0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0</v>
      </c>
      <c r="D632" s="216">
        <f>(D615/D612)*BB90</f>
        <v>0</v>
      </c>
      <c r="E632" s="218">
        <f>(E623/E612)*SUM(C632:D632)</f>
        <v>0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0</v>
      </c>
      <c r="J632" s="216">
        <f>(J630/J612)*BB93</f>
        <v>0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441908.15</v>
      </c>
      <c r="D633" s="216">
        <f>(D615/D612)*BC90</f>
        <v>0</v>
      </c>
      <c r="E633" s="218">
        <f>(E623/E612)*SUM(C633:D633)</f>
        <v>44294.51962180742</v>
      </c>
      <c r="F633" s="218">
        <f>(F624/F612)*BC64</f>
        <v>35.027993276388976</v>
      </c>
      <c r="G633" s="216">
        <f>(G625/G612)*BC91</f>
        <v>0</v>
      </c>
      <c r="H633" s="218">
        <f>(H628/H612)*BC60</f>
        <v>11945.246439853187</v>
      </c>
      <c r="I633" s="216">
        <f>(I629/I612)*BC92</f>
        <v>0</v>
      </c>
      <c r="J633" s="216">
        <f>(J630/J612)*BC93</f>
        <v>0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8902.75</v>
      </c>
      <c r="D634" s="216">
        <f>(D615/D612)*BI90</f>
        <v>43139.320631097289</v>
      </c>
      <c r="E634" s="218">
        <f>(E623/E612)*SUM(C634:D634)</f>
        <v>5216.4200156268362</v>
      </c>
      <c r="F634" s="218">
        <f>(F624/F612)*BI64</f>
        <v>0</v>
      </c>
      <c r="G634" s="216">
        <f>(G625/G612)*BI91</f>
        <v>0</v>
      </c>
      <c r="H634" s="218">
        <f>(H628/H612)*BI60</f>
        <v>0</v>
      </c>
      <c r="I634" s="216">
        <f>(I629/I612)*BI92</f>
        <v>9940.2410526713302</v>
      </c>
      <c r="J634" s="216">
        <f>(J630/J612)*BI93</f>
        <v>0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15691954.76</v>
      </c>
      <c r="D635" s="216">
        <f>(D615/D612)*BK90</f>
        <v>0</v>
      </c>
      <c r="E635" s="218">
        <f>(E623/E612)*SUM(C635:D635)</f>
        <v>1572877.9793297187</v>
      </c>
      <c r="F635" s="218">
        <f>(F624/F612)*BK64</f>
        <v>0</v>
      </c>
      <c r="G635" s="216">
        <f>(G625/G612)*BK91</f>
        <v>0</v>
      </c>
      <c r="H635" s="218">
        <f>(H628/H612)*BK60</f>
        <v>0</v>
      </c>
      <c r="I635" s="216">
        <f>(I629/I612)*BK92</f>
        <v>0</v>
      </c>
      <c r="J635" s="216">
        <f>(J630/J612)*BK93</f>
        <v>0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316819.01</v>
      </c>
      <c r="D636" s="216">
        <f>(D615/D612)*BH90</f>
        <v>0</v>
      </c>
      <c r="E636" s="218">
        <f>(E623/E612)*SUM(C636:D636)</f>
        <v>31756.250376931497</v>
      </c>
      <c r="F636" s="218">
        <f>(F624/F612)*BH64</f>
        <v>0</v>
      </c>
      <c r="G636" s="216">
        <f>(G625/G612)*BH91</f>
        <v>0</v>
      </c>
      <c r="H636" s="218">
        <f>(H628/H612)*BH60</f>
        <v>0</v>
      </c>
      <c r="I636" s="216">
        <f>(I629/I612)*BH92</f>
        <v>0</v>
      </c>
      <c r="J636" s="216">
        <f>(J630/J612)*BH93</f>
        <v>0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5683272.3600000003</v>
      </c>
      <c r="D637" s="216">
        <f>(D615/D612)*BL90</f>
        <v>0</v>
      </c>
      <c r="E637" s="218">
        <f>(E623/E612)*SUM(C637:D637)</f>
        <v>569660.95571239351</v>
      </c>
      <c r="F637" s="218">
        <f>(F624/F612)*BL64</f>
        <v>321.5570927700328</v>
      </c>
      <c r="G637" s="216">
        <f>(G625/G612)*BL91</f>
        <v>0</v>
      </c>
      <c r="H637" s="218">
        <f>(H628/H612)*BL60</f>
        <v>5086.8829698862228</v>
      </c>
      <c r="I637" s="216">
        <f>(I629/I612)*BL92</f>
        <v>0</v>
      </c>
      <c r="J637" s="216">
        <f>(J630/J612)*BL93</f>
        <v>0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145651.91</v>
      </c>
      <c r="D638" s="216">
        <f>(D615/D612)*BM90</f>
        <v>0</v>
      </c>
      <c r="E638" s="218">
        <f>(E623/E612)*SUM(C638:D638)</f>
        <v>14599.371804862001</v>
      </c>
      <c r="F638" s="218">
        <f>(F624/F612)*BM64</f>
        <v>0</v>
      </c>
      <c r="G638" s="216">
        <f>(G625/G612)*BM91</f>
        <v>0</v>
      </c>
      <c r="H638" s="218">
        <f>(H628/H612)*BM60</f>
        <v>2154.0697371986694</v>
      </c>
      <c r="I638" s="216">
        <f>(I629/I612)*BM92</f>
        <v>0</v>
      </c>
      <c r="J638" s="216">
        <f>(J630/J612)*BM93</f>
        <v>0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30004.39</v>
      </c>
      <c r="D639" s="216">
        <f>(D615/D612)*BS90</f>
        <v>0</v>
      </c>
      <c r="E639" s="218">
        <f>(E623/E612)*SUM(C639:D639)</f>
        <v>3007.4802684570591</v>
      </c>
      <c r="F639" s="218">
        <f>(F624/F612)*BS64</f>
        <v>0.30412145212950459</v>
      </c>
      <c r="G639" s="216">
        <f>(G625/G612)*BS91</f>
        <v>0</v>
      </c>
      <c r="H639" s="218">
        <f>(H628/H612)*BS60</f>
        <v>149.86434124563235</v>
      </c>
      <c r="I639" s="216">
        <f>(I629/I612)*BS92</f>
        <v>0</v>
      </c>
      <c r="J639" s="216">
        <f>(J630/J612)*BS93</f>
        <v>0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137681.26999999999</v>
      </c>
      <c r="D640" s="216">
        <f>(D615/D612)*BT90</f>
        <v>0</v>
      </c>
      <c r="E640" s="218">
        <f>(E623/E612)*SUM(C640:D640)</f>
        <v>13800.437298045679</v>
      </c>
      <c r="F640" s="218">
        <f>(F624/F612)*BT64</f>
        <v>0</v>
      </c>
      <c r="G640" s="216">
        <f>(G625/G612)*BT91</f>
        <v>0</v>
      </c>
      <c r="H640" s="218">
        <f>(H628/H612)*BT60</f>
        <v>3239.509885080276</v>
      </c>
      <c r="I640" s="216">
        <f>(I629/I612)*BT92</f>
        <v>0</v>
      </c>
      <c r="J640" s="216">
        <f>(J630/J612)*BT93</f>
        <v>0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49361.580000000009</v>
      </c>
      <c r="D641" s="216">
        <f>(D615/D612)*BU90</f>
        <v>0</v>
      </c>
      <c r="E641" s="218">
        <f>(E623/E612)*SUM(C641:D641)</f>
        <v>4947.7419094294073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0</v>
      </c>
      <c r="J641" s="216">
        <f>(J630/J612)*BU93</f>
        <v>0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80549.73000000001</v>
      </c>
      <c r="D642" s="216">
        <f>(D615/D612)*BV90</f>
        <v>229066.22731801658</v>
      </c>
      <c r="E642" s="218">
        <f>(E623/E612)*SUM(C642:D642)</f>
        <v>31034.254735169678</v>
      </c>
      <c r="F642" s="218">
        <f>(F624/F612)*BV64</f>
        <v>0</v>
      </c>
      <c r="G642" s="216">
        <f>(G625/G612)*BV91</f>
        <v>0</v>
      </c>
      <c r="H642" s="218">
        <f>(H628/H612)*BV60</f>
        <v>0</v>
      </c>
      <c r="I642" s="216">
        <f>(I629/I612)*BV92</f>
        <v>52781.858482159761</v>
      </c>
      <c r="J642" s="216">
        <f>(J630/J612)*BV93</f>
        <v>0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883638.72</v>
      </c>
      <c r="D643" s="216">
        <f>(D615/D612)*BW90</f>
        <v>0</v>
      </c>
      <c r="E643" s="218">
        <f>(E623/E612)*SUM(C643:D643)</f>
        <v>88571.239570097969</v>
      </c>
      <c r="F643" s="218">
        <f>(F624/F612)*BW64</f>
        <v>552.09582287188823</v>
      </c>
      <c r="G643" s="216">
        <f>(G625/G612)*BW91</f>
        <v>0</v>
      </c>
      <c r="H643" s="218">
        <f>(H628/H612)*BW60</f>
        <v>5326.1386816547511</v>
      </c>
      <c r="I643" s="216">
        <f>(I629/I612)*BW92</f>
        <v>0</v>
      </c>
      <c r="J643" s="216">
        <f>(J630/J612)*BW93</f>
        <v>0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2857647.96</v>
      </c>
      <c r="D644" s="216">
        <f>(D615/D612)*BX90</f>
        <v>0</v>
      </c>
      <c r="E644" s="218">
        <f>(E623/E612)*SUM(C644:D644)</f>
        <v>286435.41341438924</v>
      </c>
      <c r="F644" s="218">
        <f>(F624/F612)*BX64</f>
        <v>0</v>
      </c>
      <c r="G644" s="216">
        <f>(G625/G612)*BX91</f>
        <v>0</v>
      </c>
      <c r="H644" s="218">
        <f>(H628/H612)*BX60</f>
        <v>39320.903261393927</v>
      </c>
      <c r="I644" s="216">
        <f>(I629/I612)*BX92</f>
        <v>0</v>
      </c>
      <c r="J644" s="216">
        <f>(J630/J612)*BX93</f>
        <v>0</v>
      </c>
      <c r="K644" s="218">
        <f>SUM(C631:J644)</f>
        <v>29396653.901887551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3956963.7800000003</v>
      </c>
      <c r="D645" s="216">
        <f>(D615/D612)*BY90</f>
        <v>132091.8867257979</v>
      </c>
      <c r="E645" s="218">
        <f>(E623/E612)*SUM(C645:D645)</f>
        <v>409865.16420764965</v>
      </c>
      <c r="F645" s="218">
        <f>(F624/F612)*BY64</f>
        <v>853.18697307338005</v>
      </c>
      <c r="G645" s="216">
        <f>(G625/G612)*BY91</f>
        <v>0</v>
      </c>
      <c r="H645" s="218">
        <f>(H628/H612)*BY60</f>
        <v>29933.921801388286</v>
      </c>
      <c r="I645" s="216">
        <f>(I629/I612)*BY92</f>
        <v>30436.853801774614</v>
      </c>
      <c r="J645" s="216">
        <f>(J630/J612)*BY93</f>
        <v>0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208174.50999999998</v>
      </c>
      <c r="D646" s="216">
        <f>(D615/D612)*BZ90</f>
        <v>0</v>
      </c>
      <c r="E646" s="218">
        <f>(E623/E612)*SUM(C646:D646)</f>
        <v>20866.304271498826</v>
      </c>
      <c r="F646" s="218">
        <f>(F624/F612)*BZ64</f>
        <v>0</v>
      </c>
      <c r="G646" s="216">
        <f>(G625/G612)*BZ91</f>
        <v>0</v>
      </c>
      <c r="H646" s="218">
        <f>(H628/H612)*BZ60</f>
        <v>4134.4701105035665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1053367.18</v>
      </c>
      <c r="D647" s="216">
        <f>(D615/D612)*CA90</f>
        <v>0</v>
      </c>
      <c r="E647" s="218">
        <f>(E623/E612)*SUM(C647:D647)</f>
        <v>105583.91652988963</v>
      </c>
      <c r="F647" s="218">
        <f>(F624/F612)*CA64</f>
        <v>0</v>
      </c>
      <c r="G647" s="216">
        <f>(G625/G612)*CA91</f>
        <v>0</v>
      </c>
      <c r="H647" s="218">
        <f>(H628/H612)*CA60</f>
        <v>13869.704347580398</v>
      </c>
      <c r="I647" s="216">
        <f>(I629/I612)*CA92</f>
        <v>0</v>
      </c>
      <c r="J647" s="216">
        <f>(J630/J612)*CA93</f>
        <v>0</v>
      </c>
      <c r="K647" s="218">
        <v>0</v>
      </c>
      <c r="L647" s="218">
        <f>SUM(C645:K647)</f>
        <v>5966140.8787691565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88331980.710000008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343</v>
      </c>
      <c r="C668" s="216">
        <f>C85</f>
        <v>12798989.260000002</v>
      </c>
      <c r="D668" s="216">
        <f>(D615/D612)*C90</f>
        <v>990421.7579602336</v>
      </c>
      <c r="E668" s="218">
        <f>(E623/E612)*SUM(C668:D668)</f>
        <v>1382177.1264191598</v>
      </c>
      <c r="F668" s="218">
        <f>(F624/F612)*C64</f>
        <v>12305.225520305527</v>
      </c>
      <c r="G668" s="216">
        <f>(G625/G612)*C91</f>
        <v>322095.95154081506</v>
      </c>
      <c r="H668" s="218">
        <f>(H628/H612)*C60</f>
        <v>146757.71293104929</v>
      </c>
      <c r="I668" s="216">
        <f>(I629/I612)*C92</f>
        <v>228214.79044893355</v>
      </c>
      <c r="J668" s="216">
        <f>(J630/J612)*C93</f>
        <v>0</v>
      </c>
      <c r="K668" s="216">
        <f>(K644/K612)*C89</f>
        <v>580615.45665146247</v>
      </c>
      <c r="L668" s="216">
        <f>(L647/L612)*C94</f>
        <v>638119.15998771589</v>
      </c>
      <c r="M668" s="202">
        <f t="shared" ref="M668:M713" si="24">ROUND(SUM(D668:L668),0)</f>
        <v>4300707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344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>
        <f>(K644/K612)*D89</f>
        <v>0</v>
      </c>
      <c r="L669" s="216">
        <f>(L647/L612)*D94</f>
        <v>0</v>
      </c>
      <c r="M669" s="202">
        <f t="shared" si="24"/>
        <v>0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42720321.009999983</v>
      </c>
      <c r="D670" s="216">
        <f>(D615/D612)*E90</f>
        <v>4359436.9159093164</v>
      </c>
      <c r="E670" s="218">
        <f>(E623/E612)*SUM(C670:D670)</f>
        <v>4719024.216319913</v>
      </c>
      <c r="F670" s="218">
        <f>(F624/F612)*E64</f>
        <v>33901.805957172437</v>
      </c>
      <c r="G670" s="216">
        <f>(G625/G612)*E91</f>
        <v>1435895.9277757988</v>
      </c>
      <c r="H670" s="218">
        <f>(H628/H612)*E60</f>
        <v>614493.9128526008</v>
      </c>
      <c r="I670" s="216">
        <f>(I629/I612)*E92</f>
        <v>1004509.4165626515</v>
      </c>
      <c r="J670" s="216">
        <f>(J630/J612)*E93</f>
        <v>156093.22665412797</v>
      </c>
      <c r="K670" s="216">
        <f>(K644/K612)*E89</f>
        <v>2447161.3151666406</v>
      </c>
      <c r="L670" s="216">
        <f>(L647/L612)*E94</f>
        <v>2060375.4359062745</v>
      </c>
      <c r="M670" s="202">
        <f t="shared" si="24"/>
        <v>16830892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>
        <f>(G625/G612)*F91</f>
        <v>0</v>
      </c>
      <c r="H671" s="218">
        <f>(H628/H612)*F60</f>
        <v>0</v>
      </c>
      <c r="I671" s="216">
        <f>(I629/I612)*F92</f>
        <v>0</v>
      </c>
      <c r="J671" s="216">
        <f>(J630/J612)*F93</f>
        <v>0</v>
      </c>
      <c r="K671" s="216">
        <f>(K644/K612)*F89</f>
        <v>0</v>
      </c>
      <c r="L671" s="216">
        <f>(L647/L612)*F94</f>
        <v>0</v>
      </c>
      <c r="M671" s="202">
        <f t="shared" si="24"/>
        <v>0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>
        <f>(K644/K612)*G89</f>
        <v>0</v>
      </c>
      <c r="L672" s="216">
        <f>(L647/L612)*G94</f>
        <v>0</v>
      </c>
      <c r="M672" s="202">
        <f t="shared" si="24"/>
        <v>0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269063.15999999997</v>
      </c>
      <c r="D673" s="216">
        <f>(D615/D612)*H90</f>
        <v>0</v>
      </c>
      <c r="E673" s="218">
        <f>(E623/E612)*SUM(C673:D673)</f>
        <v>26969.458291560153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0</v>
      </c>
      <c r="K673" s="216">
        <f>(K644/K612)*H89</f>
        <v>0</v>
      </c>
      <c r="L673" s="216">
        <f>(L647/L612)*H94</f>
        <v>0</v>
      </c>
      <c r="M673" s="202">
        <f t="shared" si="24"/>
        <v>26969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>
        <f>(L647/L612)*I94</f>
        <v>0</v>
      </c>
      <c r="M674" s="202">
        <f t="shared" si="24"/>
        <v>0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>
        <f>(G625/G612)*J91</f>
        <v>0</v>
      </c>
      <c r="H675" s="218">
        <f>(H628/H612)*J60</f>
        <v>0</v>
      </c>
      <c r="I675" s="216">
        <f>(I629/I612)*J92</f>
        <v>0</v>
      </c>
      <c r="J675" s="216">
        <f>(J630/J612)*J93</f>
        <v>0</v>
      </c>
      <c r="K675" s="216">
        <f>(K644/K612)*J89</f>
        <v>0</v>
      </c>
      <c r="L675" s="216">
        <f>(L647/L612)*J94</f>
        <v>0</v>
      </c>
      <c r="M675" s="202">
        <f t="shared" si="24"/>
        <v>0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349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>
        <f>(K644/K612)*K89</f>
        <v>0</v>
      </c>
      <c r="L676" s="216">
        <f>(L647/L612)*K94</f>
        <v>0</v>
      </c>
      <c r="M676" s="202">
        <f t="shared" si="24"/>
        <v>0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350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>
        <f>(L647/L612)*L94</f>
        <v>0</v>
      </c>
      <c r="M677" s="202">
        <f t="shared" si="24"/>
        <v>0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>
        <f>(K644/K612)*M89</f>
        <v>0</v>
      </c>
      <c r="L678" s="216">
        <f>(L647/L612)*M94</f>
        <v>0</v>
      </c>
      <c r="M678" s="202">
        <f t="shared" si="24"/>
        <v>0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>
        <f>(G625/G612)*N91</f>
        <v>0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>
        <f>(K644/K612)*N89</f>
        <v>0</v>
      </c>
      <c r="L679" s="216">
        <f>(L647/L612)*N94</f>
        <v>0</v>
      </c>
      <c r="M679" s="202">
        <f t="shared" si="24"/>
        <v>0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12069217.670000002</v>
      </c>
      <c r="D680" s="216">
        <f>(D615/D612)*O90</f>
        <v>379162.54124935507</v>
      </c>
      <c r="E680" s="218">
        <f>(E623/E612)*SUM(C680:D680)</f>
        <v>1247759.3398693909</v>
      </c>
      <c r="F680" s="218">
        <f>(F624/F612)*O64</f>
        <v>17982.82740647778</v>
      </c>
      <c r="G680" s="216">
        <f>(G625/G612)*O91</f>
        <v>150954.766600667</v>
      </c>
      <c r="H680" s="218">
        <f>(H628/H612)*O60</f>
        <v>134680.8831356235</v>
      </c>
      <c r="I680" s="216">
        <f>(I629/I612)*O92</f>
        <v>87367.325285255894</v>
      </c>
      <c r="J680" s="216">
        <f>(J630/J612)*O93</f>
        <v>54145.796776478812</v>
      </c>
      <c r="K680" s="216">
        <f>(K644/K612)*O89</f>
        <v>1068037.9263744785</v>
      </c>
      <c r="L680" s="216">
        <f>(L647/L612)*O94</f>
        <v>547836.29688461265</v>
      </c>
      <c r="M680" s="202">
        <f t="shared" si="24"/>
        <v>3687928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51934677.489999995</v>
      </c>
      <c r="D681" s="216">
        <f>(D615/D612)*P90</f>
        <v>2100832.3275460652</v>
      </c>
      <c r="E681" s="218">
        <f>(E623/E612)*SUM(C681:D681)</f>
        <v>5416231.7438310683</v>
      </c>
      <c r="F681" s="218">
        <f>(F624/F612)*P64</f>
        <v>389925.39632332168</v>
      </c>
      <c r="G681" s="216">
        <f>(G625/G612)*P91</f>
        <v>732866.09216978971</v>
      </c>
      <c r="H681" s="218">
        <f>(H628/H612)*P60</f>
        <v>281398.70907546877</v>
      </c>
      <c r="I681" s="216">
        <f>(I629/I612)*P92</f>
        <v>438500.3727995404</v>
      </c>
      <c r="J681" s="216">
        <f>(J630/J612)*P93</f>
        <v>109179.01608389236</v>
      </c>
      <c r="K681" s="216">
        <f>(K644/K612)*P89</f>
        <v>9094656.6682859231</v>
      </c>
      <c r="L681" s="216">
        <f>(L647/L612)*P94</f>
        <v>762905.79552739148</v>
      </c>
      <c r="M681" s="202">
        <f t="shared" si="24"/>
        <v>19326496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4858438.0000000009</v>
      </c>
      <c r="D682" s="216">
        <f>(D615/D612)*Q90</f>
        <v>110343.96475474884</v>
      </c>
      <c r="E682" s="218">
        <f>(E623/E612)*SUM(C682:D682)</f>
        <v>498044.243434551</v>
      </c>
      <c r="F682" s="218">
        <f>(F624/F612)*Q64</f>
        <v>3876.6781906131778</v>
      </c>
      <c r="G682" s="216">
        <f>(G625/G612)*Q91</f>
        <v>0</v>
      </c>
      <c r="H682" s="218">
        <f>(H628/H612)*Q60</f>
        <v>64485.938513969217</v>
      </c>
      <c r="I682" s="216">
        <f>(I629/I612)*Q92</f>
        <v>25425.657899188242</v>
      </c>
      <c r="J682" s="216">
        <f>(J630/J612)*Q93</f>
        <v>3047.0432052077458</v>
      </c>
      <c r="K682" s="216">
        <f>(K644/K612)*Q89</f>
        <v>434526.73930011166</v>
      </c>
      <c r="L682" s="216">
        <f>(L647/L612)*Q94</f>
        <v>275135.06063453114</v>
      </c>
      <c r="M682" s="202">
        <f t="shared" si="24"/>
        <v>1414885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0</v>
      </c>
      <c r="D683" s="216">
        <f>(D615/D612)*R90</f>
        <v>0</v>
      </c>
      <c r="E683" s="218">
        <f>(E623/E612)*SUM(C683:D683)</f>
        <v>0</v>
      </c>
      <c r="F683" s="218">
        <f>(F624/F612)*R64</f>
        <v>0</v>
      </c>
      <c r="G683" s="216">
        <f>(G625/G612)*R91</f>
        <v>0</v>
      </c>
      <c r="H683" s="218">
        <f>(H628/H612)*R60</f>
        <v>0</v>
      </c>
      <c r="I683" s="216">
        <f>(I629/I612)*R92</f>
        <v>0</v>
      </c>
      <c r="J683" s="216">
        <f>(J630/J612)*R93</f>
        <v>0</v>
      </c>
      <c r="K683" s="216">
        <f>(K644/K612)*R89</f>
        <v>0</v>
      </c>
      <c r="L683" s="216">
        <f>(L647/L612)*R94</f>
        <v>0</v>
      </c>
      <c r="M683" s="202">
        <f t="shared" si="24"/>
        <v>0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950485.74000000011</v>
      </c>
      <c r="D684" s="216">
        <f>(D615/D612)*S90</f>
        <v>496636.97222411999</v>
      </c>
      <c r="E684" s="218">
        <f>(E623/E612)*SUM(C684:D684)</f>
        <v>145051.87417741551</v>
      </c>
      <c r="F684" s="218">
        <f>(F624/F612)*S64</f>
        <v>-238.69777197757423</v>
      </c>
      <c r="G684" s="216">
        <f>(G625/G612)*S91</f>
        <v>0</v>
      </c>
      <c r="H684" s="218">
        <f>(H628/H612)*S60</f>
        <v>29721.716649579412</v>
      </c>
      <c r="I684" s="216">
        <f>(I629/I612)*S92</f>
        <v>114435.99823447246</v>
      </c>
      <c r="J684" s="216">
        <f>(J630/J612)*S93</f>
        <v>0</v>
      </c>
      <c r="K684" s="216">
        <f>(K644/K612)*S89</f>
        <v>-12.066095979153056</v>
      </c>
      <c r="L684" s="216">
        <f>(L647/L612)*S94</f>
        <v>1160.59497429566</v>
      </c>
      <c r="M684" s="202">
        <f t="shared" si="24"/>
        <v>786756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1660769.03</v>
      </c>
      <c r="D685" s="216">
        <f>(D615/D612)*T90</f>
        <v>0</v>
      </c>
      <c r="E685" s="218">
        <f>(E623/E612)*SUM(C685:D685)</f>
        <v>166466.64332084637</v>
      </c>
      <c r="F685" s="218">
        <f>(F624/F612)*T64</f>
        <v>6467.0897266222501</v>
      </c>
      <c r="G685" s="216">
        <f>(G625/G612)*T91</f>
        <v>0</v>
      </c>
      <c r="H685" s="218">
        <f>(H628/H612)*T60</f>
        <v>15616.49226991149</v>
      </c>
      <c r="I685" s="216">
        <f>(I629/I612)*T92</f>
        <v>0</v>
      </c>
      <c r="J685" s="216">
        <f>(J630/J612)*T93</f>
        <v>0</v>
      </c>
      <c r="K685" s="216">
        <f>(K644/K612)*T89</f>
        <v>132574.66780588886</v>
      </c>
      <c r="L685" s="216">
        <f>(L647/L612)*T94</f>
        <v>77003.236039813361</v>
      </c>
      <c r="M685" s="202">
        <f t="shared" si="24"/>
        <v>398128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7001680.6399999997</v>
      </c>
      <c r="D686" s="216">
        <f>(D615/D612)*U90</f>
        <v>598156.98503159895</v>
      </c>
      <c r="E686" s="218">
        <f>(E623/E612)*SUM(C686:D686)</f>
        <v>761767.2514175456</v>
      </c>
      <c r="F686" s="218">
        <f>(F624/F612)*U64</f>
        <v>30702.396222333253</v>
      </c>
      <c r="G686" s="216">
        <f>(G625/G612)*U91</f>
        <v>0</v>
      </c>
      <c r="H686" s="218">
        <f>(H628/H612)*U60</f>
        <v>73450.192050922662</v>
      </c>
      <c r="I686" s="216">
        <f>(I629/I612)*U92</f>
        <v>110814.69382516675</v>
      </c>
      <c r="J686" s="216">
        <f>(J630/J612)*U93</f>
        <v>0</v>
      </c>
      <c r="K686" s="216">
        <f>(K644/K612)*U89</f>
        <v>1537567.1968087782</v>
      </c>
      <c r="L686" s="216">
        <f>(L647/L612)*U94</f>
        <v>0</v>
      </c>
      <c r="M686" s="202">
        <f t="shared" si="24"/>
        <v>3112459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1296588.1699999995</v>
      </c>
      <c r="D687" s="216">
        <f>(D615/D612)*V90</f>
        <v>0</v>
      </c>
      <c r="E687" s="218">
        <f>(E623/E612)*SUM(C687:D687)</f>
        <v>129963.09332033896</v>
      </c>
      <c r="F687" s="218">
        <f>(F624/F612)*V64</f>
        <v>3122.9224740487361</v>
      </c>
      <c r="G687" s="216">
        <f>(G625/G612)*V91</f>
        <v>0</v>
      </c>
      <c r="H687" s="218">
        <f>(H628/H612)*V60</f>
        <v>15346.927213780722</v>
      </c>
      <c r="I687" s="216">
        <f>(I629/I612)*V92</f>
        <v>0</v>
      </c>
      <c r="J687" s="216">
        <f>(J630/J612)*V93</f>
        <v>0</v>
      </c>
      <c r="K687" s="216">
        <f>(K644/K612)*V89</f>
        <v>364357.50251287519</v>
      </c>
      <c r="L687" s="216">
        <f>(L647/L612)*V94</f>
        <v>14129.800449336395</v>
      </c>
      <c r="M687" s="202">
        <f t="shared" si="24"/>
        <v>526920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939185.43000000017</v>
      </c>
      <c r="D688" s="216">
        <f>(D615/D612)*W90</f>
        <v>0</v>
      </c>
      <c r="E688" s="218">
        <f>(E623/E612)*SUM(C688:D688)</f>
        <v>94138.945972484653</v>
      </c>
      <c r="F688" s="218">
        <f>(F624/F612)*W64</f>
        <v>473.6491254548572</v>
      </c>
      <c r="G688" s="216">
        <f>(G625/G612)*W91</f>
        <v>0</v>
      </c>
      <c r="H688" s="218">
        <f>(H628/H612)*W60</f>
        <v>7466.8156097842657</v>
      </c>
      <c r="I688" s="216">
        <f>(I629/I612)*W92</f>
        <v>0</v>
      </c>
      <c r="J688" s="216">
        <f>(J630/J612)*W93</f>
        <v>14688.462484007649</v>
      </c>
      <c r="K688" s="216">
        <f>(K644/K612)*W89</f>
        <v>348789.87839771749</v>
      </c>
      <c r="L688" s="216">
        <f>(L647/L612)*W94</f>
        <v>0</v>
      </c>
      <c r="M688" s="202">
        <f t="shared" si="24"/>
        <v>465558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1970735.81</v>
      </c>
      <c r="D689" s="216">
        <f>(D615/D612)*X90</f>
        <v>70145.961439408187</v>
      </c>
      <c r="E689" s="218">
        <f>(E623/E612)*SUM(C689:D689)</f>
        <v>204567.12027332364</v>
      </c>
      <c r="F689" s="218">
        <f>(F624/F612)*X64</f>
        <v>5044.1830925260774</v>
      </c>
      <c r="G689" s="216">
        <f>(G625/G612)*X91</f>
        <v>0</v>
      </c>
      <c r="H689" s="218">
        <f>(H628/H612)*X60</f>
        <v>16321.409726881686</v>
      </c>
      <c r="I689" s="216">
        <f>(I629/I612)*X92</f>
        <v>16163.160554653592</v>
      </c>
      <c r="J689" s="216">
        <f>(J630/J612)*X93</f>
        <v>0</v>
      </c>
      <c r="K689" s="216">
        <f>(K644/K612)*X89</f>
        <v>2729928.8135116538</v>
      </c>
      <c r="L689" s="216">
        <f>(L647/L612)*X94</f>
        <v>592.07536685898378</v>
      </c>
      <c r="M689" s="202">
        <f t="shared" si="24"/>
        <v>3042763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7032696.5299999993</v>
      </c>
      <c r="D690" s="216">
        <f>(D615/D612)*Y90</f>
        <v>2192456.1445484394</v>
      </c>
      <c r="E690" s="218">
        <f>(E623/E612)*SUM(C690:D690)</f>
        <v>924680.17654110934</v>
      </c>
      <c r="F690" s="218">
        <f>(F624/F612)*Y64</f>
        <v>3513.3188886680573</v>
      </c>
      <c r="G690" s="216">
        <f>(G625/G612)*Y91</f>
        <v>104.32257539783484</v>
      </c>
      <c r="H690" s="218">
        <f>(H628/H612)*Y60</f>
        <v>90328.628710097968</v>
      </c>
      <c r="I690" s="216">
        <f>(I629/I612)*Y92</f>
        <v>505189.74929132004</v>
      </c>
      <c r="J690" s="216">
        <f>(J630/J612)*Y93</f>
        <v>23975.996016952446</v>
      </c>
      <c r="K690" s="216">
        <f>(K644/K612)*Y89</f>
        <v>885037.54831564787</v>
      </c>
      <c r="L690" s="216">
        <f>(L647/L612)*Y94</f>
        <v>63.830692917345573</v>
      </c>
      <c r="M690" s="202">
        <f t="shared" si="24"/>
        <v>4625350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3189229.2300000004</v>
      </c>
      <c r="D691" s="216">
        <f>(D615/D612)*Z90</f>
        <v>0</v>
      </c>
      <c r="E691" s="218">
        <f>(E623/E612)*SUM(C691:D691)</f>
        <v>319671.35411889729</v>
      </c>
      <c r="F691" s="218">
        <f>(F624/F612)*Z64</f>
        <v>517.11398449823423</v>
      </c>
      <c r="G691" s="216">
        <f>(G625/G612)*Z91</f>
        <v>0</v>
      </c>
      <c r="H691" s="218">
        <f>(H628/H612)*Z60</f>
        <v>16621.191397737217</v>
      </c>
      <c r="I691" s="216">
        <f>(I629/I612)*Z92</f>
        <v>0</v>
      </c>
      <c r="J691" s="216">
        <f>(J630/J612)*Z93</f>
        <v>0</v>
      </c>
      <c r="K691" s="216">
        <f>(K644/K612)*Z89</f>
        <v>472783.95643031347</v>
      </c>
      <c r="L691" s="216">
        <f>(L647/L612)*Z94</f>
        <v>23135.884779501557</v>
      </c>
      <c r="M691" s="202">
        <f t="shared" si="24"/>
        <v>832730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919214.48</v>
      </c>
      <c r="D692" s="216">
        <f>(D615/D612)*AA90</f>
        <v>70235.092267158398</v>
      </c>
      <c r="E692" s="218">
        <f>(E623/E612)*SUM(C692:D692)</f>
        <v>99177.155917075987</v>
      </c>
      <c r="F692" s="218">
        <f>(F624/F612)*AA64</f>
        <v>2795.369358507513</v>
      </c>
      <c r="G692" s="216">
        <f>(G625/G612)*AA91</f>
        <v>0</v>
      </c>
      <c r="H692" s="218">
        <f>(H628/H612)*AA60</f>
        <v>6437.6358576659586</v>
      </c>
      <c r="I692" s="216">
        <f>(I629/I612)*AA92</f>
        <v>16183.698242778946</v>
      </c>
      <c r="J692" s="216">
        <f>(J630/J612)*AA93</f>
        <v>0</v>
      </c>
      <c r="K692" s="216">
        <f>(K644/K612)*AA89</f>
        <v>174284.43495430166</v>
      </c>
      <c r="L692" s="216">
        <f>(L647/L612)*AA94</f>
        <v>0</v>
      </c>
      <c r="M692" s="202">
        <f t="shared" si="24"/>
        <v>369113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13227703.349999994</v>
      </c>
      <c r="D693" s="216">
        <f>(D615/D612)*AB90</f>
        <v>331566.67923074774</v>
      </c>
      <c r="E693" s="218">
        <f>(E623/E612)*SUM(C693:D693)</f>
        <v>1359109.01929993</v>
      </c>
      <c r="F693" s="218">
        <f>(F624/F612)*AB64</f>
        <v>166288.72547610188</v>
      </c>
      <c r="G693" s="216">
        <f>(G625/G612)*AB91</f>
        <v>0</v>
      </c>
      <c r="H693" s="218">
        <f>(H628/H612)*AB60</f>
        <v>73464.604886004017</v>
      </c>
      <c r="I693" s="216">
        <f>(I629/I612)*AB92</f>
        <v>82696.901793182289</v>
      </c>
      <c r="J693" s="216">
        <f>(J630/J612)*AB93</f>
        <v>0</v>
      </c>
      <c r="K693" s="216">
        <f>(K644/K612)*AB89</f>
        <v>3002833.1518658218</v>
      </c>
      <c r="L693" s="216">
        <f>(L647/L612)*AB94</f>
        <v>86.303428917938078</v>
      </c>
      <c r="M693" s="202">
        <f t="shared" si="24"/>
        <v>5016045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2536713.5300000003</v>
      </c>
      <c r="D694" s="216">
        <f>(D615/D612)*AC90</f>
        <v>105620.03088398819</v>
      </c>
      <c r="E694" s="218">
        <f>(E623/E612)*SUM(C694:D694)</f>
        <v>264853.4446806109</v>
      </c>
      <c r="F694" s="218">
        <f>(F624/F612)*AC64</f>
        <v>7262.5472922825775</v>
      </c>
      <c r="G694" s="216">
        <f>(G625/G612)*AC91</f>
        <v>0</v>
      </c>
      <c r="H694" s="218">
        <f>(H628/H612)*AC60</f>
        <v>36795.583797031039</v>
      </c>
      <c r="I694" s="216">
        <f>(I629/I612)*AC92</f>
        <v>24337.160428544477</v>
      </c>
      <c r="J694" s="216">
        <f>(J630/J612)*AC93</f>
        <v>0</v>
      </c>
      <c r="K694" s="216">
        <f>(K644/K612)*AC89</f>
        <v>628821.78558711149</v>
      </c>
      <c r="L694" s="216">
        <f>(L647/L612)*AC94</f>
        <v>0</v>
      </c>
      <c r="M694" s="202">
        <f t="shared" si="24"/>
        <v>1067691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1100370.94</v>
      </c>
      <c r="D695" s="216">
        <f>(D615/D612)*AD90</f>
        <v>0</v>
      </c>
      <c r="E695" s="218">
        <f>(E623/E612)*SUM(C695:D695)</f>
        <v>110295.32311883515</v>
      </c>
      <c r="F695" s="218">
        <f>(F624/F612)*AD64</f>
        <v>0</v>
      </c>
      <c r="G695" s="216">
        <f>(G625/G612)*AD91</f>
        <v>0</v>
      </c>
      <c r="H695" s="218">
        <f>(H628/H612)*AD60</f>
        <v>0</v>
      </c>
      <c r="I695" s="216">
        <f>(I629/I612)*AD92</f>
        <v>0</v>
      </c>
      <c r="J695" s="216">
        <f>(J630/J612)*AD93</f>
        <v>0</v>
      </c>
      <c r="K695" s="216">
        <f>(K644/K612)*AD89</f>
        <v>70151.585095354836</v>
      </c>
      <c r="L695" s="216">
        <f>(L647/L612)*AD94</f>
        <v>0</v>
      </c>
      <c r="M695" s="202">
        <f t="shared" si="24"/>
        <v>180447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1451824.06</v>
      </c>
      <c r="D696" s="216">
        <f>(D615/D612)*AE90</f>
        <v>878575.04744961625</v>
      </c>
      <c r="E696" s="218">
        <f>(E623/E612)*SUM(C696:D696)</f>
        <v>233586.79624163872</v>
      </c>
      <c r="F696" s="218">
        <f>(F624/F612)*AE64</f>
        <v>98.33749265110346</v>
      </c>
      <c r="G696" s="216">
        <f>(G625/G612)*AE91</f>
        <v>0</v>
      </c>
      <c r="H696" s="218">
        <f>(H628/H612)*AE60</f>
        <v>17598.349823233802</v>
      </c>
      <c r="I696" s="216">
        <f>(I629/I612)*AE92</f>
        <v>202442.86712795185</v>
      </c>
      <c r="J696" s="216">
        <f>(J630/J612)*AE93</f>
        <v>0</v>
      </c>
      <c r="K696" s="216">
        <f>(K644/K612)*AE89</f>
        <v>85569.501795178527</v>
      </c>
      <c r="L696" s="216">
        <f>(L647/L612)*AE94</f>
        <v>0</v>
      </c>
      <c r="M696" s="202">
        <f t="shared" si="24"/>
        <v>1417871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0</v>
      </c>
      <c r="D697" s="216">
        <f>(D615/D612)*AF90</f>
        <v>0</v>
      </c>
      <c r="E697" s="218">
        <f>(E623/E612)*SUM(C697:D697)</f>
        <v>0</v>
      </c>
      <c r="F697" s="218">
        <f>(F624/F612)*AF64</f>
        <v>0</v>
      </c>
      <c r="G697" s="216">
        <f>(G625/G612)*AF91</f>
        <v>0</v>
      </c>
      <c r="H697" s="218">
        <f>(H628/H612)*AF60</f>
        <v>0</v>
      </c>
      <c r="I697" s="216">
        <f>(I629/I612)*AF92</f>
        <v>0</v>
      </c>
      <c r="J697" s="216">
        <f>(J630/J612)*AF93</f>
        <v>0</v>
      </c>
      <c r="K697" s="216">
        <f>(K644/K612)*AF89</f>
        <v>0</v>
      </c>
      <c r="L697" s="216">
        <f>(L647/L612)*AF94</f>
        <v>0</v>
      </c>
      <c r="M697" s="202">
        <f t="shared" si="24"/>
        <v>0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12674296.640000001</v>
      </c>
      <c r="D698" s="216">
        <f>(D615/D612)*AG90</f>
        <v>906193.12573629362</v>
      </c>
      <c r="E698" s="218">
        <f>(E623/E612)*SUM(C698:D698)</f>
        <v>1361235.9726838283</v>
      </c>
      <c r="F698" s="218">
        <f>(F624/F612)*AG64</f>
        <v>35383.652580956114</v>
      </c>
      <c r="G698" s="216">
        <f>(G625/G612)*AG91</f>
        <v>328537.87057163136</v>
      </c>
      <c r="H698" s="218">
        <f>(H628/H612)*AG60</f>
        <v>182140.54745410514</v>
      </c>
      <c r="I698" s="216">
        <f>(I629/I612)*AG92</f>
        <v>240757.77271773102</v>
      </c>
      <c r="J698" s="216">
        <f>(J630/J612)*AG93</f>
        <v>96946.003047993028</v>
      </c>
      <c r="K698" s="216">
        <f>(K644/K612)*AG89</f>
        <v>3157279.6053396948</v>
      </c>
      <c r="L698" s="216">
        <f>(L647/L612)*AG94</f>
        <v>618844.18601766543</v>
      </c>
      <c r="M698" s="202">
        <f t="shared" si="24"/>
        <v>6927319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>
        <f>(L647/L612)*AH94</f>
        <v>0</v>
      </c>
      <c r="M699" s="202">
        <f t="shared" si="24"/>
        <v>0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>
        <f>(J630/J612)*AI93</f>
        <v>0</v>
      </c>
      <c r="K700" s="216">
        <f>(K644/K612)*AI89</f>
        <v>0</v>
      </c>
      <c r="L700" s="216">
        <f>(L647/L612)*AI94</f>
        <v>0</v>
      </c>
      <c r="M700" s="202">
        <f t="shared" si="24"/>
        <v>0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83596522.60999997</v>
      </c>
      <c r="D701" s="216">
        <f>(D615/D612)*AJ90</f>
        <v>98846.087974972921</v>
      </c>
      <c r="E701" s="218">
        <f>(E623/E612)*SUM(C701:D701)</f>
        <v>8389178.0476256367</v>
      </c>
      <c r="F701" s="218">
        <f>(F624/F612)*AJ64</f>
        <v>48191.457048192788</v>
      </c>
      <c r="G701" s="216">
        <f>(G625/G612)*AJ91</f>
        <v>4903.1610436982373</v>
      </c>
      <c r="H701" s="218">
        <f>(H628/H612)*AJ60</f>
        <v>1092684.7965271</v>
      </c>
      <c r="I701" s="216">
        <f>(I629/I612)*AJ92</f>
        <v>12074.368783435284</v>
      </c>
      <c r="J701" s="216">
        <f>(J630/J612)*AJ93</f>
        <v>11651.37516437295</v>
      </c>
      <c r="K701" s="216">
        <f>(K644/K612)*AJ89</f>
        <v>2102730.9619914</v>
      </c>
      <c r="L701" s="216">
        <f>(L647/L612)*AJ94</f>
        <v>623953.61976546282</v>
      </c>
      <c r="M701" s="202">
        <f t="shared" si="24"/>
        <v>12384214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428503.71</v>
      </c>
      <c r="D702" s="216">
        <f>(D615/D612)*AK90</f>
        <v>293953.46992016293</v>
      </c>
      <c r="E702" s="218">
        <f>(E623/E612)*SUM(C702:D702)</f>
        <v>72415.260347403222</v>
      </c>
      <c r="F702" s="218">
        <f>(F624/F612)*AK64</f>
        <v>35.381131950802882</v>
      </c>
      <c r="G702" s="216">
        <f>(G625/G612)*AK91</f>
        <v>0</v>
      </c>
      <c r="H702" s="218">
        <f>(H628/H612)*AK60</f>
        <v>7520.7577646107675</v>
      </c>
      <c r="I702" s="216">
        <f>(I629/I612)*AK92</f>
        <v>67733.295437417473</v>
      </c>
      <c r="J702" s="216">
        <f>(J630/J612)*AK93</f>
        <v>0</v>
      </c>
      <c r="K702" s="216">
        <f>(K644/K612)*AK89</f>
        <v>49284.463814496296</v>
      </c>
      <c r="L702" s="216">
        <f>(L647/L612)*AK94</f>
        <v>0</v>
      </c>
      <c r="M702" s="202">
        <f t="shared" si="24"/>
        <v>490943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122650.87</v>
      </c>
      <c r="D703" s="216">
        <f>(D615/D612)*AL90</f>
        <v>61500.271147638698</v>
      </c>
      <c r="E703" s="218">
        <f>(E623/E612)*SUM(C703:D703)</f>
        <v>18458.329711598009</v>
      </c>
      <c r="F703" s="218">
        <f>(F624/F612)*AL64</f>
        <v>0.1472305618250484</v>
      </c>
      <c r="G703" s="216">
        <f>(G625/G612)*AL91</f>
        <v>0</v>
      </c>
      <c r="H703" s="218">
        <f>(H628/H612)*AL60</f>
        <v>2081.3432072385772</v>
      </c>
      <c r="I703" s="216">
        <f>(I629/I612)*AL92</f>
        <v>14171.004806494253</v>
      </c>
      <c r="J703" s="216">
        <f>(J630/J612)*AL93</f>
        <v>0</v>
      </c>
      <c r="K703" s="216">
        <f>(K644/K612)*AL89</f>
        <v>17911.152879696994</v>
      </c>
      <c r="L703" s="216">
        <f>(L647/L612)*AL94</f>
        <v>0</v>
      </c>
      <c r="M703" s="202">
        <f t="shared" si="24"/>
        <v>114122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>
        <f>(L647/L612)*AM94</f>
        <v>0</v>
      </c>
      <c r="M704" s="202">
        <f t="shared" si="24"/>
        <v>0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>
        <f>(L647/L612)*AN94</f>
        <v>0</v>
      </c>
      <c r="M705" s="202">
        <f t="shared" si="24"/>
        <v>0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>
        <f>(K644/K612)*AO89</f>
        <v>0</v>
      </c>
      <c r="L706" s="216">
        <f>(L647/L612)*AO94</f>
        <v>0</v>
      </c>
      <c r="M706" s="202">
        <f t="shared" si="24"/>
        <v>0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56553.67</v>
      </c>
      <c r="D707" s="216">
        <f>(D615/D612)*AP90</f>
        <v>0</v>
      </c>
      <c r="E707" s="218">
        <f>(E623/E612)*SUM(C707:D707)</f>
        <v>5668.6387103297857</v>
      </c>
      <c r="F707" s="218">
        <f>(F624/F612)*AP64</f>
        <v>0</v>
      </c>
      <c r="G707" s="216">
        <f>(G625/G612)*AP91</f>
        <v>0</v>
      </c>
      <c r="H707" s="218">
        <f>(H628/H612)*AP60</f>
        <v>932.5687169636725</v>
      </c>
      <c r="I707" s="216">
        <f>(I629/I612)*AP92</f>
        <v>0</v>
      </c>
      <c r="J707" s="216">
        <f>(J630/J612)*AP93</f>
        <v>0</v>
      </c>
      <c r="K707" s="216">
        <f>(K644/K612)*AP89</f>
        <v>0</v>
      </c>
      <c r="L707" s="216">
        <f>(L647/L612)*AP94</f>
        <v>0</v>
      </c>
      <c r="M707" s="202">
        <f t="shared" si="24"/>
        <v>6601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>
        <f>(L647/L612)*AQ94</f>
        <v>0</v>
      </c>
      <c r="M708" s="202">
        <f t="shared" si="24"/>
        <v>0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106701.85</v>
      </c>
      <c r="D709" s="216">
        <f>(D615/D612)*AR90</f>
        <v>0</v>
      </c>
      <c r="E709" s="218">
        <f>(E623/E612)*SUM(C709:D709)</f>
        <v>10695.225214805729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>
        <f>(K644/K612)*AR89</f>
        <v>0</v>
      </c>
      <c r="L709" s="216">
        <f>(L647/L612)*AR94</f>
        <v>0</v>
      </c>
      <c r="M709" s="202">
        <f t="shared" si="24"/>
        <v>10695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>
        <f>(L647/L612)*AS94</f>
        <v>0</v>
      </c>
      <c r="M710" s="202">
        <f t="shared" si="24"/>
        <v>0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>
        <f>(K644/K612)*AT89</f>
        <v>0</v>
      </c>
      <c r="L711" s="216">
        <f>(L647/L612)*AT94</f>
        <v>0</v>
      </c>
      <c r="M711" s="202">
        <f t="shared" si="24"/>
        <v>0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>
        <f>(L647/L612)*AU94</f>
        <v>0</v>
      </c>
      <c r="M712" s="202">
        <f t="shared" si="24"/>
        <v>0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2224789.2100000009</v>
      </c>
      <c r="D713" s="216">
        <f>(D615/D612)*AV90</f>
        <v>71542.344407494675</v>
      </c>
      <c r="E713" s="218">
        <f>(E623/E612)*SUM(C713:D713)</f>
        <v>230172.04614777604</v>
      </c>
      <c r="F713" s="218">
        <f>(F624/F612)*AV64</f>
        <v>295.90623723262746</v>
      </c>
      <c r="G713" s="216">
        <f>(G625/G612)*AV91</f>
        <v>263492.74481108133</v>
      </c>
      <c r="H713" s="218">
        <f>(H628/H612)*AV60</f>
        <v>51065.098600117002</v>
      </c>
      <c r="I713" s="216">
        <f>(I629/I612)*AV92</f>
        <v>17249.12213425239</v>
      </c>
      <c r="J713" s="216">
        <f>(J630/J612)*AV93</f>
        <v>0</v>
      </c>
      <c r="K713" s="216">
        <f>(K644/K612)*AV89</f>
        <v>11761.655098972647</v>
      </c>
      <c r="L713" s="216">
        <f>(L647/L612)*AV94</f>
        <v>322799.59831386013</v>
      </c>
      <c r="M713" s="202">
        <f t="shared" si="24"/>
        <v>968379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355469902.79999995</v>
      </c>
      <c r="D715" s="202">
        <f>SUM(D616:D647)+SUM(D668:D713)</f>
        <v>17960996.130000006</v>
      </c>
      <c r="E715" s="202">
        <f>SUM(E624:E647)+SUM(E668:E713)</f>
        <v>32384372.954562545</v>
      </c>
      <c r="F715" s="202">
        <f>SUM(F625:F648)+SUM(F668:F713)</f>
        <v>793177.92492365476</v>
      </c>
      <c r="G715" s="202">
        <f>SUM(G626:G647)+SUM(G668:G713)</f>
        <v>3238850.8370888797</v>
      </c>
      <c r="H715" s="202">
        <f>SUM(H629:H647)+SUM(H668:H713)</f>
        <v>3171630.7704248461</v>
      </c>
      <c r="I715" s="202">
        <f>SUM(I630:I647)+SUM(I668:I713)</f>
        <v>3345767.1783722155</v>
      </c>
      <c r="J715" s="202">
        <f>SUM(J631:J647)+SUM(J668:J713)</f>
        <v>469726.91943303298</v>
      </c>
      <c r="K715" s="202">
        <f>SUM(K668:K713)</f>
        <v>29396653.90188754</v>
      </c>
      <c r="L715" s="202">
        <f>SUM(L668:L713)</f>
        <v>5966140.8787691556</v>
      </c>
      <c r="M715" s="202">
        <f>SUM(M668:M713)</f>
        <v>88331981</v>
      </c>
      <c r="N715" s="210" t="s">
        <v>697</v>
      </c>
    </row>
    <row r="716" spans="1:14" s="202" customFormat="1" ht="12.6" customHeight="1" x14ac:dyDescent="0.2">
      <c r="C716" s="213">
        <f>CE85</f>
        <v>355469902.79999977</v>
      </c>
      <c r="D716" s="202">
        <f>D615</f>
        <v>17960996.130000003</v>
      </c>
      <c r="E716" s="202">
        <f>E623</f>
        <v>32384372.954562552</v>
      </c>
      <c r="F716" s="202">
        <f>F624</f>
        <v>793177.92492365511</v>
      </c>
      <c r="G716" s="202">
        <f>G625</f>
        <v>3238850.8370888792</v>
      </c>
      <c r="H716" s="202">
        <f>H628</f>
        <v>3171630.7704248438</v>
      </c>
      <c r="I716" s="202">
        <f>I629</f>
        <v>3345767.1783722155</v>
      </c>
      <c r="J716" s="202">
        <f>J630</f>
        <v>469726.91943303298</v>
      </c>
      <c r="K716" s="202">
        <f>K644</f>
        <v>29396653.901887551</v>
      </c>
      <c r="L716" s="202">
        <f>L647</f>
        <v>5966140.8787691565</v>
      </c>
      <c r="M716" s="202">
        <f>C648</f>
        <v>88331980.710000008</v>
      </c>
      <c r="N716" s="210" t="s">
        <v>698</v>
      </c>
    </row>
  </sheetData>
  <sheetProtection algorithmName="SHA-512" hashValue="og+414PYh208fJ62OsA4GEQ/q9WK9cxMuQ4juMPSxPqT7giyCZnIVPpCIT1rob7OBjvkmdVusH3dlPV3u99EjQ==" saltValue="xYcPzobdrZY+Ya8Fv2/gY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E179"/>
  <sheetViews>
    <sheetView topLeftCell="A46" workbookViewId="0">
      <selection activeCell="E166" sqref="E166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903</v>
      </c>
      <c r="B1" s="169"/>
      <c r="C1" s="169"/>
    </row>
    <row r="2" spans="1:3" ht="20.100000000000001" customHeight="1" x14ac:dyDescent="0.25">
      <c r="A2" s="168"/>
      <c r="B2" s="169"/>
      <c r="C2" s="94" t="s">
        <v>904</v>
      </c>
    </row>
    <row r="3" spans="1:3" ht="20.100000000000001" customHeight="1" x14ac:dyDescent="0.25">
      <c r="A3" s="120" t="str">
        <f>"Hospital: "&amp;data!C98</f>
        <v>Hospital: St. Francis Hospital</v>
      </c>
      <c r="B3" s="170"/>
      <c r="C3" s="142" t="str">
        <f>"FYE: "&amp;data!C96</f>
        <v>FYE: 6/30/2024</v>
      </c>
    </row>
    <row r="4" spans="1:3" ht="20.100000000000001" customHeight="1" x14ac:dyDescent="0.25">
      <c r="A4" s="171"/>
      <c r="B4" s="172" t="s">
        <v>905</v>
      </c>
      <c r="C4" s="173"/>
    </row>
    <row r="5" spans="1:3" ht="20.100000000000001" customHeight="1" x14ac:dyDescent="0.25">
      <c r="A5" s="174">
        <v>1</v>
      </c>
      <c r="B5" s="175" t="s">
        <v>424</v>
      </c>
      <c r="C5" s="175"/>
    </row>
    <row r="6" spans="1:3" ht="20.100000000000001" customHeight="1" x14ac:dyDescent="0.25">
      <c r="A6" s="174">
        <v>2</v>
      </c>
      <c r="B6" s="176" t="s">
        <v>425</v>
      </c>
      <c r="C6" s="176">
        <f>data!C266</f>
        <v>216420.44</v>
      </c>
    </row>
    <row r="7" spans="1:3" ht="20.100000000000001" customHeight="1" x14ac:dyDescent="0.25">
      <c r="A7" s="174">
        <v>3</v>
      </c>
      <c r="B7" s="176" t="s">
        <v>426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427</v>
      </c>
      <c r="C8" s="176">
        <f>data!C268</f>
        <v>149876494.90000001</v>
      </c>
    </row>
    <row r="9" spans="1:3" ht="20.100000000000001" customHeight="1" x14ac:dyDescent="0.25">
      <c r="A9" s="174">
        <v>5</v>
      </c>
      <c r="B9" s="176" t="s">
        <v>906</v>
      </c>
      <c r="C9" s="176">
        <f>data!C269</f>
        <v>91623945.75999999</v>
      </c>
    </row>
    <row r="10" spans="1:3" ht="20.100000000000001" customHeight="1" x14ac:dyDescent="0.25">
      <c r="A10" s="174">
        <v>6</v>
      </c>
      <c r="B10" s="176" t="s">
        <v>907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908</v>
      </c>
      <c r="C11" s="176">
        <f>data!C271</f>
        <v>18230309.890000001</v>
      </c>
    </row>
    <row r="12" spans="1:3" ht="20.100000000000001" customHeight="1" x14ac:dyDescent="0.25">
      <c r="A12" s="174">
        <v>8</v>
      </c>
      <c r="B12" s="176" t="s">
        <v>431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432</v>
      </c>
      <c r="C13" s="176">
        <f>data!C273</f>
        <v>7354046.8799999999</v>
      </c>
    </row>
    <row r="14" spans="1:3" ht="20.100000000000001" customHeight="1" x14ac:dyDescent="0.25">
      <c r="A14" s="174">
        <v>10</v>
      </c>
      <c r="B14" s="176" t="s">
        <v>433</v>
      </c>
      <c r="C14" s="176">
        <f>data!C274</f>
        <v>698490.91999999993</v>
      </c>
    </row>
    <row r="15" spans="1:3" ht="20.100000000000001" customHeight="1" x14ac:dyDescent="0.25">
      <c r="A15" s="174">
        <v>11</v>
      </c>
      <c r="B15" s="176" t="s">
        <v>909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910</v>
      </c>
      <c r="C16" s="176">
        <f>data!D276</f>
        <v>84751817.270000011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911</v>
      </c>
      <c r="C18" s="175"/>
    </row>
    <row r="19" spans="1:3" ht="20.100000000000001" customHeight="1" x14ac:dyDescent="0.25">
      <c r="A19" s="174">
        <v>15</v>
      </c>
      <c r="B19" s="176" t="s">
        <v>425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426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437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912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913</v>
      </c>
      <c r="C24" s="175"/>
    </row>
    <row r="25" spans="1:3" ht="20.100000000000001" customHeight="1" x14ac:dyDescent="0.25">
      <c r="A25" s="174">
        <v>21</v>
      </c>
      <c r="B25" s="176" t="s">
        <v>394</v>
      </c>
      <c r="C25" s="176">
        <f>data!C283</f>
        <v>7206096.9900000002</v>
      </c>
    </row>
    <row r="26" spans="1:3" ht="20.100000000000001" customHeight="1" x14ac:dyDescent="0.25">
      <c r="A26" s="174">
        <v>22</v>
      </c>
      <c r="B26" s="176" t="s">
        <v>395</v>
      </c>
      <c r="C26" s="176">
        <f>data!C284</f>
        <v>3105178.72</v>
      </c>
    </row>
    <row r="27" spans="1:3" ht="20.100000000000001" customHeight="1" x14ac:dyDescent="0.25">
      <c r="A27" s="174">
        <v>23</v>
      </c>
      <c r="B27" s="176" t="s">
        <v>396</v>
      </c>
      <c r="C27" s="176">
        <f>data!C285</f>
        <v>55434843.789999999</v>
      </c>
    </row>
    <row r="28" spans="1:3" ht="20.100000000000001" customHeight="1" x14ac:dyDescent="0.25">
      <c r="A28" s="174">
        <v>24</v>
      </c>
      <c r="B28" s="176" t="s">
        <v>914</v>
      </c>
      <c r="C28" s="176">
        <f>data!C286</f>
        <v>10010536.949999999</v>
      </c>
    </row>
    <row r="29" spans="1:3" ht="20.100000000000001" customHeight="1" x14ac:dyDescent="0.25">
      <c r="A29" s="174">
        <v>25</v>
      </c>
      <c r="B29" s="176" t="s">
        <v>398</v>
      </c>
      <c r="C29" s="176">
        <f>data!C287</f>
        <v>23669875</v>
      </c>
    </row>
    <row r="30" spans="1:3" ht="20.100000000000001" customHeight="1" x14ac:dyDescent="0.25">
      <c r="A30" s="174">
        <v>26</v>
      </c>
      <c r="B30" s="176" t="s">
        <v>442</v>
      </c>
      <c r="C30" s="176">
        <f>data!C288</f>
        <v>120319948.45</v>
      </c>
    </row>
    <row r="31" spans="1:3" ht="20.100000000000001" customHeight="1" x14ac:dyDescent="0.25">
      <c r="A31" s="174">
        <v>27</v>
      </c>
      <c r="B31" s="176" t="s">
        <v>401</v>
      </c>
      <c r="C31" s="176">
        <f>data!C289</f>
        <v>18291071.02</v>
      </c>
    </row>
    <row r="32" spans="1:3" ht="20.100000000000001" customHeight="1" x14ac:dyDescent="0.25">
      <c r="A32" s="174">
        <v>28</v>
      </c>
      <c r="B32" s="176" t="s">
        <v>402</v>
      </c>
      <c r="C32" s="176">
        <f>data!C290</f>
        <v>20596443.400000002</v>
      </c>
    </row>
    <row r="33" spans="1:3" ht="20.100000000000001" customHeight="1" x14ac:dyDescent="0.25">
      <c r="A33" s="174">
        <v>29</v>
      </c>
      <c r="B33" s="176" t="s">
        <v>615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915</v>
      </c>
      <c r="C34" s="176">
        <f>data!C292</f>
        <v>180762735.72</v>
      </c>
    </row>
    <row r="35" spans="1:3" ht="20.100000000000001" customHeight="1" x14ac:dyDescent="0.25">
      <c r="A35" s="174">
        <v>31</v>
      </c>
      <c r="B35" s="176" t="s">
        <v>916</v>
      </c>
      <c r="C35" s="176">
        <f>data!D293</f>
        <v>77871258.600000024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917</v>
      </c>
      <c r="C37" s="175"/>
    </row>
    <row r="38" spans="1:3" ht="20.100000000000001" customHeight="1" x14ac:dyDescent="0.25">
      <c r="A38" s="174">
        <v>34</v>
      </c>
      <c r="B38" s="176" t="s">
        <v>918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919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449</v>
      </c>
      <c r="C40" s="176">
        <f>data!C297</f>
        <v>4760214.3100000005</v>
      </c>
    </row>
    <row r="41" spans="1:3" ht="20.100000000000001" customHeight="1" x14ac:dyDescent="0.25">
      <c r="A41" s="174">
        <v>37</v>
      </c>
      <c r="B41" s="176" t="s">
        <v>437</v>
      </c>
      <c r="C41" s="176">
        <f>data!C298</f>
        <v>21804873.710000001</v>
      </c>
    </row>
    <row r="42" spans="1:3" ht="20.100000000000001" customHeight="1" x14ac:dyDescent="0.25">
      <c r="A42" s="174">
        <v>38</v>
      </c>
      <c r="B42" s="176" t="s">
        <v>920</v>
      </c>
      <c r="C42" s="176">
        <f>data!D299</f>
        <v>26565088.020000003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921</v>
      </c>
      <c r="C44" s="175"/>
    </row>
    <row r="45" spans="1:3" ht="20.100000000000001" customHeight="1" x14ac:dyDescent="0.25">
      <c r="A45" s="174">
        <v>41</v>
      </c>
      <c r="B45" s="176" t="s">
        <v>452</v>
      </c>
      <c r="C45" s="176">
        <f>data!C302</f>
        <v>10791888.58</v>
      </c>
    </row>
    <row r="46" spans="1:3" ht="20.100000000000001" customHeight="1" x14ac:dyDescent="0.25">
      <c r="A46" s="174">
        <v>42</v>
      </c>
      <c r="B46" s="176" t="s">
        <v>453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922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455</v>
      </c>
      <c r="C48" s="176">
        <f>data!C305</f>
        <v>3928028.2700000005</v>
      </c>
    </row>
    <row r="49" spans="1:3" ht="20.100000000000001" customHeight="1" x14ac:dyDescent="0.25">
      <c r="A49" s="174">
        <v>45</v>
      </c>
      <c r="B49" s="176" t="s">
        <v>923</v>
      </c>
      <c r="C49" s="176">
        <f>data!D306</f>
        <v>14719916.850000001</v>
      </c>
    </row>
    <row r="50" spans="1:3" ht="20.100000000000001" customHeight="1" x14ac:dyDescent="0.25">
      <c r="A50" s="179">
        <v>46</v>
      </c>
      <c r="B50" s="180" t="s">
        <v>924</v>
      </c>
      <c r="C50" s="176">
        <f>data!D308</f>
        <v>203908080.74000004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925</v>
      </c>
      <c r="B53" s="169"/>
      <c r="C53" s="169"/>
    </row>
    <row r="54" spans="1:3" ht="20.100000000000001" customHeight="1" x14ac:dyDescent="0.25">
      <c r="A54" s="168"/>
      <c r="B54" s="169"/>
      <c r="C54" s="94" t="s">
        <v>926</v>
      </c>
    </row>
    <row r="55" spans="1:3" ht="20.100000000000001" customHeight="1" x14ac:dyDescent="0.25">
      <c r="A55" s="120" t="str">
        <f>"Hospital: "&amp;data!C98</f>
        <v>Hospital: St. Francis Hospital</v>
      </c>
      <c r="B55" s="170"/>
      <c r="C55" s="142" t="str">
        <f>"FYE: "&amp;data!C96</f>
        <v>FYE: 6/30/2024</v>
      </c>
    </row>
    <row r="56" spans="1:3" ht="20.100000000000001" customHeight="1" x14ac:dyDescent="0.25">
      <c r="A56" s="181"/>
      <c r="B56" s="182" t="s">
        <v>927</v>
      </c>
      <c r="C56" s="173"/>
    </row>
    <row r="57" spans="1:3" ht="20.100000000000001" customHeight="1" x14ac:dyDescent="0.25">
      <c r="A57" s="183">
        <v>1</v>
      </c>
      <c r="B57" s="168" t="s">
        <v>459</v>
      </c>
      <c r="C57" s="184"/>
    </row>
    <row r="58" spans="1:3" ht="20.100000000000001" customHeight="1" x14ac:dyDescent="0.25">
      <c r="A58" s="174">
        <v>2</v>
      </c>
      <c r="B58" s="176" t="s">
        <v>460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928</v>
      </c>
      <c r="C59" s="176">
        <f>data!C315</f>
        <v>6910333.0100000007</v>
      </c>
    </row>
    <row r="60" spans="1:3" ht="20.100000000000001" customHeight="1" x14ac:dyDescent="0.25">
      <c r="A60" s="174">
        <v>4</v>
      </c>
      <c r="B60" s="176" t="s">
        <v>929</v>
      </c>
      <c r="C60" s="176">
        <f>data!C316</f>
        <v>13905751.51</v>
      </c>
    </row>
    <row r="61" spans="1:3" ht="20.100000000000001" customHeight="1" x14ac:dyDescent="0.25">
      <c r="A61" s="174">
        <v>5</v>
      </c>
      <c r="B61" s="176" t="s">
        <v>463</v>
      </c>
      <c r="C61" s="176">
        <f>data!C317</f>
        <v>16904649.25</v>
      </c>
    </row>
    <row r="62" spans="1:3" ht="20.100000000000001" customHeight="1" x14ac:dyDescent="0.25">
      <c r="A62" s="174">
        <v>6</v>
      </c>
      <c r="B62" s="176" t="s">
        <v>930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931</v>
      </c>
      <c r="C63" s="176">
        <f>data!C319</f>
        <v>4176144.75</v>
      </c>
    </row>
    <row r="64" spans="1:3" ht="20.100000000000001" customHeight="1" x14ac:dyDescent="0.25">
      <c r="A64" s="174">
        <v>8</v>
      </c>
      <c r="B64" s="176" t="s">
        <v>466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467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468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932</v>
      </c>
      <c r="C67" s="176">
        <f>data!C323</f>
        <v>470157.86000000004</v>
      </c>
    </row>
    <row r="68" spans="1:3" ht="20.100000000000001" customHeight="1" x14ac:dyDescent="0.25">
      <c r="A68" s="174">
        <v>12</v>
      </c>
      <c r="B68" s="176" t="s">
        <v>933</v>
      </c>
      <c r="C68" s="176">
        <f>data!D324</f>
        <v>42367036.379999995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934</v>
      </c>
      <c r="C70" s="175"/>
    </row>
    <row r="71" spans="1:3" ht="20.100000000000001" customHeight="1" x14ac:dyDescent="0.25">
      <c r="A71" s="174">
        <v>15</v>
      </c>
      <c r="B71" s="176" t="s">
        <v>472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935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474</v>
      </c>
      <c r="C73" s="176">
        <f>data!C328</f>
        <v>20910105.139999997</v>
      </c>
    </row>
    <row r="74" spans="1:3" ht="20.100000000000001" customHeight="1" x14ac:dyDescent="0.25">
      <c r="A74" s="174">
        <v>18</v>
      </c>
      <c r="B74" s="176" t="s">
        <v>936</v>
      </c>
      <c r="C74" s="176">
        <f>data!D329</f>
        <v>20910105.139999997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476</v>
      </c>
      <c r="C76" s="175"/>
    </row>
    <row r="77" spans="1:3" ht="20.100000000000001" customHeight="1" x14ac:dyDescent="0.25">
      <c r="A77" s="174">
        <v>21</v>
      </c>
      <c r="B77" s="176" t="s">
        <v>477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937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479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938</v>
      </c>
      <c r="C80" s="176">
        <f>data!C334</f>
        <v>1558376.2200000002</v>
      </c>
    </row>
    <row r="81" spans="1:3" ht="20.100000000000001" customHeight="1" x14ac:dyDescent="0.25">
      <c r="A81" s="174">
        <v>25</v>
      </c>
      <c r="B81" s="176" t="s">
        <v>481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939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483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484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615</v>
      </c>
      <c r="C85" s="176">
        <f>data!D339</f>
        <v>1558376.2200000002</v>
      </c>
    </row>
    <row r="86" spans="1:3" ht="20.100000000000001" customHeight="1" x14ac:dyDescent="0.25">
      <c r="A86" s="174">
        <v>30</v>
      </c>
      <c r="B86" s="176" t="s">
        <v>940</v>
      </c>
      <c r="C86" s="176">
        <f>data!D340</f>
        <v>470157.86000000004</v>
      </c>
    </row>
    <row r="87" spans="1:3" ht="20.100000000000001" customHeight="1" x14ac:dyDescent="0.25">
      <c r="A87" s="174">
        <v>31</v>
      </c>
      <c r="B87" s="176" t="s">
        <v>941</v>
      </c>
      <c r="C87" s="176">
        <f>data!D341</f>
        <v>1088218.3600000001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942</v>
      </c>
      <c r="C89" s="176">
        <f>data!C343</f>
        <v>139542720.83999997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943</v>
      </c>
      <c r="C91" s="175"/>
    </row>
    <row r="92" spans="1:3" ht="20.100000000000001" customHeight="1" x14ac:dyDescent="0.25">
      <c r="A92" s="174">
        <v>36</v>
      </c>
      <c r="B92" s="176" t="s">
        <v>488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489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944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945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946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947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948</v>
      </c>
      <c r="C102" s="176">
        <f>data!C343+data!C345+data!C346+data!C347+data!C348-data!C349</f>
        <v>139542720.83999997</v>
      </c>
    </row>
    <row r="103" spans="1:3" ht="20.100000000000001" customHeight="1" x14ac:dyDescent="0.25">
      <c r="A103" s="174">
        <v>47</v>
      </c>
      <c r="B103" s="176" t="s">
        <v>949</v>
      </c>
      <c r="C103" s="176">
        <f>data!D352</f>
        <v>203908080.74000004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950</v>
      </c>
      <c r="B106" s="169"/>
      <c r="C106" s="169"/>
    </row>
    <row r="107" spans="1:3" ht="20.100000000000001" customHeight="1" x14ac:dyDescent="0.25">
      <c r="A107" s="170"/>
      <c r="C107" s="94" t="s">
        <v>951</v>
      </c>
    </row>
    <row r="108" spans="1:3" ht="20.100000000000001" customHeight="1" x14ac:dyDescent="0.25">
      <c r="A108" s="120" t="str">
        <f>"Hospital: "&amp;data!C98</f>
        <v>Hospital: St. Francis Hospital</v>
      </c>
      <c r="B108" s="170"/>
      <c r="C108" s="142" t="str">
        <f>"FYE: "&amp;data!C96</f>
        <v>FYE: 6/30/2024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952</v>
      </c>
      <c r="C110" s="175"/>
    </row>
    <row r="111" spans="1:3" ht="20.100000000000001" customHeight="1" x14ac:dyDescent="0.25">
      <c r="A111" s="174">
        <v>2</v>
      </c>
      <c r="B111" s="176" t="s">
        <v>497</v>
      </c>
      <c r="C111" s="176">
        <f>data!C358</f>
        <v>807809895.46000004</v>
      </c>
    </row>
    <row r="112" spans="1:3" ht="20.100000000000001" customHeight="1" x14ac:dyDescent="0.25">
      <c r="A112" s="174">
        <v>3</v>
      </c>
      <c r="B112" s="176" t="s">
        <v>498</v>
      </c>
      <c r="C112" s="176">
        <f>data!C359</f>
        <v>1098742606.46</v>
      </c>
    </row>
    <row r="113" spans="1:3" ht="20.100000000000001" customHeight="1" x14ac:dyDescent="0.25">
      <c r="A113" s="174">
        <v>4</v>
      </c>
      <c r="B113" s="176" t="s">
        <v>953</v>
      </c>
      <c r="C113" s="176">
        <f>data!D360</f>
        <v>1906552501.9200001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954</v>
      </c>
      <c r="C115" s="175"/>
    </row>
    <row r="116" spans="1:3" ht="20.100000000000001" customHeight="1" x14ac:dyDescent="0.25">
      <c r="A116" s="174">
        <v>7</v>
      </c>
      <c r="B116" s="188" t="s">
        <v>955</v>
      </c>
      <c r="C116" s="189">
        <f>data!C362</f>
        <v>14771345.42</v>
      </c>
    </row>
    <row r="117" spans="1:3" ht="20.100000000000001" customHeight="1" x14ac:dyDescent="0.25">
      <c r="A117" s="174">
        <v>8</v>
      </c>
      <c r="B117" s="176" t="s">
        <v>501</v>
      </c>
      <c r="C117" s="189">
        <f>data!C363</f>
        <v>1471261444.97</v>
      </c>
    </row>
    <row r="118" spans="1:3" ht="20.100000000000001" customHeight="1" x14ac:dyDescent="0.25">
      <c r="A118" s="174">
        <v>9</v>
      </c>
      <c r="B118" s="176" t="s">
        <v>956</v>
      </c>
      <c r="C118" s="189">
        <f>data!C364</f>
        <v>40888857.649999999</v>
      </c>
    </row>
    <row r="119" spans="1:3" ht="20.100000000000001" customHeight="1" x14ac:dyDescent="0.25">
      <c r="A119" s="174">
        <v>10</v>
      </c>
      <c r="B119" s="176" t="s">
        <v>957</v>
      </c>
      <c r="C119" s="189">
        <f>data!C365</f>
        <v>15258553.740000002</v>
      </c>
    </row>
    <row r="120" spans="1:3" ht="20.100000000000001" customHeight="1" x14ac:dyDescent="0.25">
      <c r="A120" s="174">
        <v>11</v>
      </c>
      <c r="B120" s="176" t="s">
        <v>901</v>
      </c>
      <c r="C120" s="189">
        <f>data!D366</f>
        <v>1542180201.7800002</v>
      </c>
    </row>
    <row r="121" spans="1:3" ht="20.100000000000001" customHeight="1" x14ac:dyDescent="0.25">
      <c r="A121" s="174">
        <v>12</v>
      </c>
      <c r="B121" s="176" t="s">
        <v>958</v>
      </c>
      <c r="C121" s="189">
        <f>data!D367</f>
        <v>364372300.13999987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505</v>
      </c>
      <c r="C123" s="175"/>
    </row>
    <row r="124" spans="1:3" ht="20.100000000000001" customHeight="1" x14ac:dyDescent="0.25">
      <c r="A124" s="174">
        <v>15</v>
      </c>
      <c r="B124" s="190" t="s">
        <v>506</v>
      </c>
      <c r="C124" s="191"/>
    </row>
    <row r="125" spans="1:3" ht="20.100000000000001" customHeight="1" x14ac:dyDescent="0.25">
      <c r="A125" s="195" t="s">
        <v>959</v>
      </c>
      <c r="B125" s="192" t="s">
        <v>507</v>
      </c>
      <c r="C125" s="191">
        <f>data!C370</f>
        <v>1142.74</v>
      </c>
    </row>
    <row r="126" spans="1:3" ht="20.100000000000001" customHeight="1" x14ac:dyDescent="0.25">
      <c r="A126" s="195" t="s">
        <v>960</v>
      </c>
      <c r="B126" s="192" t="s">
        <v>508</v>
      </c>
      <c r="C126" s="191">
        <f>data!C371</f>
        <v>2278805.8899999997</v>
      </c>
    </row>
    <row r="127" spans="1:3" ht="20.100000000000001" customHeight="1" x14ac:dyDescent="0.25">
      <c r="A127" s="195" t="s">
        <v>961</v>
      </c>
      <c r="B127" s="192" t="s">
        <v>509</v>
      </c>
      <c r="C127" s="191">
        <f>data!C372</f>
        <v>1234298.03</v>
      </c>
    </row>
    <row r="128" spans="1:3" ht="20.100000000000001" customHeight="1" x14ac:dyDescent="0.25">
      <c r="A128" s="195" t="s">
        <v>962</v>
      </c>
      <c r="B128" s="192" t="s">
        <v>510</v>
      </c>
      <c r="C128" s="191">
        <f>data!C373</f>
        <v>0</v>
      </c>
    </row>
    <row r="129" spans="1:3" ht="20.100000000000001" customHeight="1" x14ac:dyDescent="0.25">
      <c r="A129" s="195" t="s">
        <v>963</v>
      </c>
      <c r="B129" s="192" t="s">
        <v>511</v>
      </c>
      <c r="C129" s="191">
        <f>data!C374</f>
        <v>3250365.6</v>
      </c>
    </row>
    <row r="130" spans="1:3" ht="20.100000000000001" customHeight="1" x14ac:dyDescent="0.25">
      <c r="A130" s="195" t="s">
        <v>964</v>
      </c>
      <c r="B130" s="192" t="s">
        <v>512</v>
      </c>
      <c r="C130" s="191">
        <f>data!C375</f>
        <v>0</v>
      </c>
    </row>
    <row r="131" spans="1:3" ht="20.100000000000001" customHeight="1" x14ac:dyDescent="0.25">
      <c r="A131" s="195" t="s">
        <v>965</v>
      </c>
      <c r="B131" s="192" t="s">
        <v>513</v>
      </c>
      <c r="C131" s="191">
        <f>data!C376</f>
        <v>3022584.4</v>
      </c>
    </row>
    <row r="132" spans="1:3" ht="20.100000000000001" customHeight="1" x14ac:dyDescent="0.25">
      <c r="A132" s="195" t="s">
        <v>966</v>
      </c>
      <c r="B132" s="192" t="s">
        <v>514</v>
      </c>
      <c r="C132" s="191">
        <f>data!C377</f>
        <v>0</v>
      </c>
    </row>
    <row r="133" spans="1:3" ht="20.100000000000001" customHeight="1" x14ac:dyDescent="0.25">
      <c r="A133" s="195" t="s">
        <v>967</v>
      </c>
      <c r="B133" s="192" t="s">
        <v>515</v>
      </c>
      <c r="C133" s="191">
        <f>data!C378</f>
        <v>141458.54</v>
      </c>
    </row>
    <row r="134" spans="1:3" ht="20.100000000000001" customHeight="1" x14ac:dyDescent="0.25">
      <c r="A134" s="195" t="s">
        <v>968</v>
      </c>
      <c r="B134" s="192" t="s">
        <v>516</v>
      </c>
      <c r="C134" s="191">
        <f>data!C379</f>
        <v>755491.61</v>
      </c>
    </row>
    <row r="135" spans="1:3" ht="20.100000000000001" customHeight="1" x14ac:dyDescent="0.25">
      <c r="A135" s="195" t="s">
        <v>969</v>
      </c>
      <c r="B135" s="192" t="s">
        <v>517</v>
      </c>
      <c r="C135" s="191">
        <f>data!C380</f>
        <v>2753216.0000000005</v>
      </c>
    </row>
    <row r="136" spans="1:3" ht="20.100000000000001" customHeight="1" x14ac:dyDescent="0.25">
      <c r="A136" s="174">
        <v>16</v>
      </c>
      <c r="B136" s="176" t="s">
        <v>519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970</v>
      </c>
      <c r="C137" s="189">
        <f>data!D383</f>
        <v>13437362.809999999</v>
      </c>
    </row>
    <row r="138" spans="1:3" ht="20.100000000000001" customHeight="1" x14ac:dyDescent="0.25">
      <c r="A138" s="174">
        <v>18</v>
      </c>
      <c r="B138" s="176" t="s">
        <v>971</v>
      </c>
      <c r="C138" s="189">
        <f>data!D384</f>
        <v>377809662.94999987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972</v>
      </c>
      <c r="C140" s="175"/>
    </row>
    <row r="141" spans="1:3" ht="20.100000000000001" customHeight="1" x14ac:dyDescent="0.25">
      <c r="A141" s="174">
        <v>21</v>
      </c>
      <c r="B141" s="176" t="s">
        <v>523</v>
      </c>
      <c r="C141" s="189">
        <f>data!C389</f>
        <v>149910409.88999999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data!C390</f>
        <v>33896763.590000004</v>
      </c>
    </row>
    <row r="143" spans="1:3" ht="20.100000000000001" customHeight="1" x14ac:dyDescent="0.25">
      <c r="A143" s="174">
        <v>23</v>
      </c>
      <c r="B143" s="176" t="s">
        <v>264</v>
      </c>
      <c r="C143" s="189">
        <f>data!C391</f>
        <v>19502699.390000004</v>
      </c>
    </row>
    <row r="144" spans="1:3" ht="20.100000000000001" customHeight="1" x14ac:dyDescent="0.25">
      <c r="A144" s="174">
        <v>24</v>
      </c>
      <c r="B144" s="176" t="s">
        <v>265</v>
      </c>
      <c r="C144" s="189">
        <f>data!C392</f>
        <v>44114778.189999998</v>
      </c>
    </row>
    <row r="145" spans="1:3" ht="20.100000000000001" customHeight="1" x14ac:dyDescent="0.25">
      <c r="A145" s="174">
        <v>25</v>
      </c>
      <c r="B145" s="176" t="s">
        <v>973</v>
      </c>
      <c r="C145" s="189">
        <f>data!C393</f>
        <v>1618259.39</v>
      </c>
    </row>
    <row r="146" spans="1:3" ht="20.100000000000001" customHeight="1" x14ac:dyDescent="0.25">
      <c r="A146" s="174">
        <v>26</v>
      </c>
      <c r="B146" s="176" t="s">
        <v>974</v>
      </c>
      <c r="C146" s="189">
        <f>data!C394</f>
        <v>62487341.609999992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data!C395</f>
        <v>11203345.57</v>
      </c>
    </row>
    <row r="148" spans="1:3" ht="20.100000000000001" customHeight="1" x14ac:dyDescent="0.25">
      <c r="A148" s="174">
        <v>28</v>
      </c>
      <c r="B148" s="176" t="s">
        <v>975</v>
      </c>
      <c r="C148" s="189">
        <f>data!C396</f>
        <v>8673226.8300000001</v>
      </c>
    </row>
    <row r="149" spans="1:3" ht="20.100000000000001" customHeight="1" x14ac:dyDescent="0.25">
      <c r="A149" s="174">
        <v>29</v>
      </c>
      <c r="B149" s="176" t="s">
        <v>528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976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530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269</v>
      </c>
      <c r="C152" s="189"/>
    </row>
    <row r="153" spans="1:3" ht="20.100000000000001" customHeight="1" x14ac:dyDescent="0.25">
      <c r="A153" s="195" t="s">
        <v>977</v>
      </c>
      <c r="B153" s="193" t="s">
        <v>270</v>
      </c>
      <c r="C153" s="189">
        <f>data!C401</f>
        <v>617932</v>
      </c>
    </row>
    <row r="154" spans="1:3" ht="20.100000000000001" customHeight="1" x14ac:dyDescent="0.25">
      <c r="A154" s="195" t="s">
        <v>978</v>
      </c>
      <c r="B154" s="193" t="s">
        <v>271</v>
      </c>
      <c r="C154" s="189">
        <f>data!C402</f>
        <v>4186106.52</v>
      </c>
    </row>
    <row r="155" spans="1:3" ht="20.100000000000001" customHeight="1" x14ac:dyDescent="0.25">
      <c r="A155" s="195" t="s">
        <v>979</v>
      </c>
      <c r="B155" s="193" t="s">
        <v>980</v>
      </c>
      <c r="C155" s="189">
        <f>data!C403</f>
        <v>0</v>
      </c>
    </row>
    <row r="156" spans="1:3" ht="20.100000000000001" customHeight="1" x14ac:dyDescent="0.25">
      <c r="A156" s="195" t="s">
        <v>981</v>
      </c>
      <c r="B156" s="193" t="s">
        <v>273</v>
      </c>
      <c r="C156" s="189">
        <f>data!C404</f>
        <v>2490065.17</v>
      </c>
    </row>
    <row r="157" spans="1:3" ht="20.100000000000001" customHeight="1" x14ac:dyDescent="0.25">
      <c r="A157" s="195" t="s">
        <v>982</v>
      </c>
      <c r="B157" s="193" t="s">
        <v>274</v>
      </c>
      <c r="C157" s="189">
        <f>data!C405</f>
        <v>869131.14</v>
      </c>
    </row>
    <row r="158" spans="1:3" ht="20.100000000000001" customHeight="1" x14ac:dyDescent="0.25">
      <c r="A158" s="195" t="s">
        <v>983</v>
      </c>
      <c r="B158" s="193" t="s">
        <v>275</v>
      </c>
      <c r="C158" s="189">
        <f>data!C406</f>
        <v>327000.82</v>
      </c>
    </row>
    <row r="159" spans="1:3" ht="20.100000000000001" customHeight="1" x14ac:dyDescent="0.25">
      <c r="A159" s="195" t="s">
        <v>984</v>
      </c>
      <c r="B159" s="193" t="s">
        <v>276</v>
      </c>
      <c r="C159" s="189">
        <f>data!C407</f>
        <v>816475.58000000007</v>
      </c>
    </row>
    <row r="160" spans="1:3" ht="20.100000000000001" customHeight="1" x14ac:dyDescent="0.25">
      <c r="A160" s="195" t="s">
        <v>985</v>
      </c>
      <c r="B160" s="193" t="s">
        <v>277</v>
      </c>
      <c r="C160" s="189">
        <f>data!C408</f>
        <v>1974150.36</v>
      </c>
    </row>
    <row r="161" spans="1:5" ht="20.100000000000001" customHeight="1" x14ac:dyDescent="0.25">
      <c r="A161" s="195" t="s">
        <v>986</v>
      </c>
      <c r="B161" s="193" t="s">
        <v>278</v>
      </c>
      <c r="C161" s="189">
        <f>data!C409</f>
        <v>8989937.4299999997</v>
      </c>
    </row>
    <row r="162" spans="1:5" ht="20.100000000000001" customHeight="1" x14ac:dyDescent="0.25">
      <c r="A162" s="195" t="s">
        <v>987</v>
      </c>
      <c r="B162" s="193" t="s">
        <v>279</v>
      </c>
      <c r="C162" s="189">
        <f>data!C410</f>
        <v>28393.61</v>
      </c>
    </row>
    <row r="163" spans="1:5" ht="20.100000000000001" customHeight="1" x14ac:dyDescent="0.25">
      <c r="A163" s="195" t="s">
        <v>988</v>
      </c>
      <c r="B163" s="193" t="s">
        <v>280</v>
      </c>
      <c r="C163" s="189">
        <f>data!C411</f>
        <v>223912.4</v>
      </c>
    </row>
    <row r="164" spans="1:5" ht="20.100000000000001" customHeight="1" x14ac:dyDescent="0.25">
      <c r="A164" s="195" t="s">
        <v>989</v>
      </c>
      <c r="B164" s="193" t="s">
        <v>281</v>
      </c>
      <c r="C164" s="189">
        <f>data!C412</f>
        <v>14035254.890000001</v>
      </c>
    </row>
    <row r="165" spans="1:5" ht="20.100000000000001" customHeight="1" x14ac:dyDescent="0.25">
      <c r="A165" s="195" t="s">
        <v>990</v>
      </c>
      <c r="B165" s="193" t="s">
        <v>282</v>
      </c>
      <c r="C165" s="189">
        <f>data!C413</f>
        <v>0</v>
      </c>
    </row>
    <row r="166" spans="1:5" ht="20.100000000000001" customHeight="1" x14ac:dyDescent="0.25">
      <c r="A166" s="195" t="s">
        <v>991</v>
      </c>
      <c r="B166" s="193" t="s">
        <v>992</v>
      </c>
      <c r="C166" s="189">
        <f>data!C414</f>
        <v>2942081.6900000572</v>
      </c>
      <c r="E166" s="12">
        <f>SUM(C153:C166)</f>
        <v>37500441.610000052</v>
      </c>
    </row>
    <row r="167" spans="1:5" ht="20.100000000000001" customHeight="1" x14ac:dyDescent="0.25">
      <c r="A167" s="174">
        <v>34</v>
      </c>
      <c r="B167" s="176" t="s">
        <v>993</v>
      </c>
      <c r="C167" s="189">
        <f>data!D416</f>
        <v>368907266.07000005</v>
      </c>
    </row>
    <row r="168" spans="1:5" ht="20.100000000000001" customHeight="1" x14ac:dyDescent="0.25">
      <c r="A168" s="174">
        <v>35</v>
      </c>
      <c r="B168" s="176" t="s">
        <v>994</v>
      </c>
      <c r="C168" s="189">
        <f>data!D417</f>
        <v>8902396.8799998164</v>
      </c>
    </row>
    <row r="169" spans="1:5" ht="20.100000000000001" customHeight="1" x14ac:dyDescent="0.25">
      <c r="A169" s="174">
        <v>36</v>
      </c>
      <c r="B169" s="178"/>
      <c r="C169" s="176"/>
    </row>
    <row r="170" spans="1:5" ht="20.100000000000001" customHeight="1" x14ac:dyDescent="0.25">
      <c r="A170" s="174">
        <v>37</v>
      </c>
      <c r="B170" s="176" t="s">
        <v>995</v>
      </c>
      <c r="C170" s="189">
        <f>data!D420</f>
        <v>51648.6</v>
      </c>
    </row>
    <row r="171" spans="1:5" ht="20.100000000000001" customHeight="1" x14ac:dyDescent="0.25">
      <c r="A171" s="174">
        <v>38</v>
      </c>
      <c r="B171" s="178"/>
      <c r="C171" s="176"/>
    </row>
    <row r="172" spans="1:5" ht="20.100000000000001" customHeight="1" x14ac:dyDescent="0.25">
      <c r="A172" s="174">
        <v>39</v>
      </c>
      <c r="B172" s="176" t="s">
        <v>996</v>
      </c>
      <c r="C172" s="176">
        <f>data!D421</f>
        <v>8954045.479999816</v>
      </c>
    </row>
    <row r="173" spans="1:5" ht="20.100000000000001" customHeight="1" x14ac:dyDescent="0.25">
      <c r="A173" s="174">
        <v>40</v>
      </c>
      <c r="B173" s="178"/>
      <c r="C173" s="176"/>
    </row>
    <row r="174" spans="1:5" ht="20.100000000000001" customHeight="1" x14ac:dyDescent="0.25">
      <c r="A174" s="174">
        <v>41</v>
      </c>
      <c r="B174" s="176" t="s">
        <v>997</v>
      </c>
      <c r="C174" s="189">
        <f>data!C422</f>
        <v>0</v>
      </c>
    </row>
    <row r="175" spans="1:5" ht="20.100000000000001" customHeight="1" x14ac:dyDescent="0.25">
      <c r="A175" s="174">
        <v>42</v>
      </c>
      <c r="B175" s="176" t="s">
        <v>998</v>
      </c>
      <c r="C175" s="189">
        <f>data!C423</f>
        <v>0</v>
      </c>
    </row>
    <row r="176" spans="1:5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999</v>
      </c>
      <c r="C177" s="189">
        <f>data!D424</f>
        <v>8954045.479999816</v>
      </c>
    </row>
    <row r="178" spans="1:3" ht="20.100000000000001" customHeight="1" x14ac:dyDescent="0.25">
      <c r="A178" s="179">
        <v>45</v>
      </c>
      <c r="B178" s="178" t="s">
        <v>1000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46" zoomScale="65" workbookViewId="0">
      <selection activeCell="J377" sqref="J377"/>
    </sheetView>
  </sheetViews>
  <sheetFormatPr defaultColWidth="8.88671875" defaultRowHeight="20.100000000000001" customHeight="1" x14ac:dyDescent="0.2"/>
  <cols>
    <col min="1" max="1" width="5.77734375" style="280" customWidth="1"/>
    <col min="2" max="2" width="22.44140625" style="280" customWidth="1"/>
    <col min="3" max="8" width="13.77734375" style="280" customWidth="1"/>
    <col min="9" max="9" width="15.77734375" style="280" customWidth="1"/>
    <col min="10" max="13" width="8.88671875" style="280" customWidth="1"/>
    <col min="14" max="16384" width="8.88671875" style="280"/>
  </cols>
  <sheetData>
    <row r="1" spans="1:9" customFormat="1" ht="20.100000000000001" customHeight="1" x14ac:dyDescent="0.2">
      <c r="A1" s="281" t="s">
        <v>1001</v>
      </c>
      <c r="B1" s="282"/>
      <c r="C1" s="282"/>
      <c r="D1" s="282"/>
      <c r="E1" s="282"/>
      <c r="F1" s="282"/>
      <c r="G1" s="282"/>
      <c r="H1" s="282"/>
    </row>
    <row r="2" spans="1:9" customFormat="1" ht="20.100000000000001" customHeight="1" x14ac:dyDescent="0.2">
      <c r="A2" s="283"/>
      <c r="I2" s="284" t="s">
        <v>1002</v>
      </c>
    </row>
    <row r="3" spans="1:9" customFormat="1" ht="20.100000000000001" customHeight="1" x14ac:dyDescent="0.2">
      <c r="A3" s="283"/>
      <c r="I3" s="283"/>
    </row>
    <row r="4" spans="1:9" customFormat="1" ht="20.100000000000001" customHeight="1" x14ac:dyDescent="0.2">
      <c r="A4" s="285" t="str">
        <f>"Hospital: "&amp;data!C98</f>
        <v>Hospital: St. Francis Hospital</v>
      </c>
      <c r="G4" s="286"/>
      <c r="H4" s="285" t="str">
        <f>"FYE: "&amp;data!C96</f>
        <v>FYE: 6/30/2024</v>
      </c>
    </row>
    <row r="5" spans="1:9" customFormat="1" ht="20.100000000000001" customHeight="1" x14ac:dyDescent="0.2">
      <c r="A5" s="287">
        <v>1</v>
      </c>
      <c r="B5" s="288" t="s">
        <v>236</v>
      </c>
      <c r="C5" s="289" t="s">
        <v>36</v>
      </c>
      <c r="D5" s="290" t="s">
        <v>37</v>
      </c>
      <c r="E5" s="290" t="s">
        <v>38</v>
      </c>
      <c r="F5" s="290" t="s">
        <v>39</v>
      </c>
      <c r="G5" s="290" t="s">
        <v>40</v>
      </c>
      <c r="H5" s="290" t="s">
        <v>41</v>
      </c>
      <c r="I5" s="290" t="s">
        <v>42</v>
      </c>
    </row>
    <row r="6" spans="1:9" customFormat="1" ht="20.100000000000001" customHeight="1" x14ac:dyDescent="0.2">
      <c r="A6" s="291">
        <v>2</v>
      </c>
      <c r="B6" s="292" t="s">
        <v>1003</v>
      </c>
      <c r="C6" s="293" t="s">
        <v>118</v>
      </c>
      <c r="D6" s="294" t="s">
        <v>1004</v>
      </c>
      <c r="E6" s="294" t="s">
        <v>120</v>
      </c>
      <c r="F6" s="294" t="s">
        <v>121</v>
      </c>
      <c r="G6" s="294" t="s">
        <v>122</v>
      </c>
      <c r="H6" s="294" t="s">
        <v>123</v>
      </c>
      <c r="I6" s="294" t="s">
        <v>124</v>
      </c>
    </row>
    <row r="7" spans="1:9" customFormat="1" ht="20.100000000000001" customHeight="1" x14ac:dyDescent="0.2">
      <c r="A7" s="291"/>
      <c r="B7" s="292"/>
      <c r="C7" s="294" t="s">
        <v>190</v>
      </c>
      <c r="D7" s="294" t="s">
        <v>1005</v>
      </c>
      <c r="E7" s="294" t="s">
        <v>190</v>
      </c>
      <c r="F7" s="294" t="s">
        <v>1006</v>
      </c>
      <c r="G7" s="294" t="s">
        <v>192</v>
      </c>
      <c r="H7" s="294" t="s">
        <v>190</v>
      </c>
      <c r="I7" s="294" t="s">
        <v>193</v>
      </c>
    </row>
    <row r="8" spans="1:9" customFormat="1" ht="20.100000000000001" customHeight="1" x14ac:dyDescent="0.2">
      <c r="A8" s="287">
        <v>3</v>
      </c>
      <c r="B8" s="288" t="s">
        <v>1007</v>
      </c>
      <c r="C8" s="290" t="s">
        <v>242</v>
      </c>
      <c r="D8" s="290" t="s">
        <v>242</v>
      </c>
      <c r="E8" s="290" t="s">
        <v>242</v>
      </c>
      <c r="F8" s="290" t="s">
        <v>242</v>
      </c>
      <c r="G8" s="290" t="s">
        <v>242</v>
      </c>
      <c r="H8" s="290" t="s">
        <v>242</v>
      </c>
      <c r="I8" s="290" t="s">
        <v>242</v>
      </c>
    </row>
    <row r="9" spans="1:9" customFormat="1" ht="20.100000000000001" customHeight="1" x14ac:dyDescent="0.2">
      <c r="A9" s="287">
        <v>4</v>
      </c>
      <c r="B9" s="288" t="s">
        <v>261</v>
      </c>
      <c r="C9" s="288">
        <f>data!C59</f>
        <v>4980</v>
      </c>
      <c r="D9" s="288">
        <f>data!D59</f>
        <v>0</v>
      </c>
      <c r="E9" s="288">
        <f>data!E59</f>
        <v>35217</v>
      </c>
      <c r="F9" s="288">
        <f>data!F59</f>
        <v>0</v>
      </c>
      <c r="G9" s="288">
        <f>data!G59</f>
        <v>0</v>
      </c>
      <c r="H9" s="288">
        <f>data!H59</f>
        <v>0</v>
      </c>
      <c r="I9" s="288">
        <f>data!I59</f>
        <v>0</v>
      </c>
    </row>
    <row r="10" spans="1:9" customFormat="1" ht="20.100000000000001" customHeight="1" x14ac:dyDescent="0.2">
      <c r="A10" s="287">
        <v>5</v>
      </c>
      <c r="B10" s="288" t="s">
        <v>262</v>
      </c>
      <c r="C10" s="295">
        <f>data!C60</f>
        <v>53.261951923076921</v>
      </c>
      <c r="D10" s="295">
        <f>data!D60</f>
        <v>0</v>
      </c>
      <c r="E10" s="295">
        <f>data!E60</f>
        <v>223.01482211538462</v>
      </c>
      <c r="F10" s="295">
        <f>data!F60</f>
        <v>0</v>
      </c>
      <c r="G10" s="295">
        <f>data!G60</f>
        <v>0</v>
      </c>
      <c r="H10" s="295">
        <f>data!H60</f>
        <v>0</v>
      </c>
      <c r="I10" s="295">
        <f>data!I60</f>
        <v>0</v>
      </c>
    </row>
    <row r="11" spans="1:9" customFormat="1" ht="20.100000000000001" customHeight="1" x14ac:dyDescent="0.2">
      <c r="A11" s="287">
        <v>6</v>
      </c>
      <c r="B11" s="288" t="s">
        <v>263</v>
      </c>
      <c r="C11" s="288">
        <f>data!C61</f>
        <v>7508792.0000000019</v>
      </c>
      <c r="D11" s="288">
        <f>data!D61</f>
        <v>0</v>
      </c>
      <c r="E11" s="288">
        <f>data!E61</f>
        <v>26916696.87999998</v>
      </c>
      <c r="F11" s="288">
        <f>data!F61</f>
        <v>0</v>
      </c>
      <c r="G11" s="288">
        <f>data!G61</f>
        <v>0</v>
      </c>
      <c r="H11" s="288">
        <f>data!H61</f>
        <v>0</v>
      </c>
      <c r="I11" s="288">
        <f>data!I61</f>
        <v>0</v>
      </c>
    </row>
    <row r="12" spans="1:9" customFormat="1" ht="20.100000000000001" customHeight="1" x14ac:dyDescent="0.2">
      <c r="A12" s="287">
        <v>7</v>
      </c>
      <c r="B12" s="288" t="s">
        <v>11</v>
      </c>
      <c r="C12" s="288">
        <f>data!C62</f>
        <v>1695410</v>
      </c>
      <c r="D12" s="288">
        <f>data!D62</f>
        <v>0</v>
      </c>
      <c r="E12" s="288">
        <f>data!E62</f>
        <v>6070524</v>
      </c>
      <c r="F12" s="288">
        <f>data!F62</f>
        <v>0</v>
      </c>
      <c r="G12" s="288">
        <f>data!G62</f>
        <v>0</v>
      </c>
      <c r="H12" s="288">
        <f>data!H62</f>
        <v>0</v>
      </c>
      <c r="I12" s="288">
        <f>data!I62</f>
        <v>0</v>
      </c>
    </row>
    <row r="13" spans="1:9" customFormat="1" ht="20.100000000000001" customHeight="1" x14ac:dyDescent="0.2">
      <c r="A13" s="287">
        <v>8</v>
      </c>
      <c r="B13" s="288" t="s">
        <v>264</v>
      </c>
      <c r="C13" s="288">
        <f>data!C63</f>
        <v>2518744.1100000003</v>
      </c>
      <c r="D13" s="288">
        <f>data!D63</f>
        <v>0</v>
      </c>
      <c r="E13" s="288">
        <f>data!E63</f>
        <v>5938598.6699999999</v>
      </c>
      <c r="F13" s="288">
        <f>data!F63</f>
        <v>0</v>
      </c>
      <c r="G13" s="288">
        <f>data!G63</f>
        <v>0</v>
      </c>
      <c r="H13" s="288">
        <f>data!H63</f>
        <v>235994.35</v>
      </c>
      <c r="I13" s="288">
        <f>data!I63</f>
        <v>0</v>
      </c>
    </row>
    <row r="14" spans="1:9" customFormat="1" ht="20.100000000000001" customHeight="1" x14ac:dyDescent="0.2">
      <c r="A14" s="287">
        <v>9</v>
      </c>
      <c r="B14" s="288" t="s">
        <v>265</v>
      </c>
      <c r="C14" s="288">
        <f>data!C64</f>
        <v>687846.35999999987</v>
      </c>
      <c r="D14" s="288">
        <f>data!D64</f>
        <v>0</v>
      </c>
      <c r="E14" s="288">
        <f>data!E64</f>
        <v>1895067.5699999996</v>
      </c>
      <c r="F14" s="288">
        <f>data!F64</f>
        <v>0</v>
      </c>
      <c r="G14" s="288">
        <f>data!G64</f>
        <v>0</v>
      </c>
      <c r="H14" s="288">
        <f>data!H64</f>
        <v>0</v>
      </c>
      <c r="I14" s="288">
        <f>data!I64</f>
        <v>0</v>
      </c>
    </row>
    <row r="15" spans="1:9" customFormat="1" ht="20.100000000000001" customHeight="1" x14ac:dyDescent="0.2">
      <c r="A15" s="287">
        <v>10</v>
      </c>
      <c r="B15" s="288" t="s">
        <v>525</v>
      </c>
      <c r="C15" s="288">
        <f>data!C65</f>
        <v>408.94</v>
      </c>
      <c r="D15" s="288">
        <f>data!D65</f>
        <v>0</v>
      </c>
      <c r="E15" s="288">
        <f>data!E65</f>
        <v>1264.44</v>
      </c>
      <c r="F15" s="288">
        <f>data!F65</f>
        <v>0</v>
      </c>
      <c r="G15" s="288">
        <f>data!G65</f>
        <v>0</v>
      </c>
      <c r="H15" s="288">
        <f>data!H65</f>
        <v>0</v>
      </c>
      <c r="I15" s="288">
        <f>data!I65</f>
        <v>0</v>
      </c>
    </row>
    <row r="16" spans="1:9" customFormat="1" ht="20.100000000000001" customHeight="1" x14ac:dyDescent="0.2">
      <c r="A16" s="287">
        <v>11</v>
      </c>
      <c r="B16" s="288" t="s">
        <v>526</v>
      </c>
      <c r="C16" s="288">
        <f>data!C66</f>
        <v>6489.6</v>
      </c>
      <c r="D16" s="288">
        <f>data!D66</f>
        <v>0</v>
      </c>
      <c r="E16" s="288">
        <f>data!E66</f>
        <v>474629.75</v>
      </c>
      <c r="F16" s="288">
        <f>data!F66</f>
        <v>0</v>
      </c>
      <c r="G16" s="288">
        <f>data!G66</f>
        <v>0</v>
      </c>
      <c r="H16" s="288">
        <f>data!H66</f>
        <v>33068.80999999999</v>
      </c>
      <c r="I16" s="288">
        <f>data!I66</f>
        <v>0</v>
      </c>
    </row>
    <row r="17" spans="1:9" customFormat="1" ht="20.100000000000001" customHeight="1" x14ac:dyDescent="0.2">
      <c r="A17" s="287">
        <v>12</v>
      </c>
      <c r="B17" s="288" t="s">
        <v>16</v>
      </c>
      <c r="C17" s="288">
        <f>data!C67</f>
        <v>393061</v>
      </c>
      <c r="D17" s="288">
        <f>data!D67</f>
        <v>0</v>
      </c>
      <c r="E17" s="288">
        <f>data!E67</f>
        <v>960913</v>
      </c>
      <c r="F17" s="288">
        <f>data!F67</f>
        <v>0</v>
      </c>
      <c r="G17" s="288">
        <f>data!G67</f>
        <v>0</v>
      </c>
      <c r="H17" s="288">
        <f>data!H67</f>
        <v>0</v>
      </c>
      <c r="I17" s="288">
        <f>data!I67</f>
        <v>0</v>
      </c>
    </row>
    <row r="18" spans="1:9" customFormat="1" ht="20.100000000000001" customHeight="1" x14ac:dyDescent="0.2">
      <c r="A18" s="287">
        <v>13</v>
      </c>
      <c r="B18" s="288" t="s">
        <v>1008</v>
      </c>
      <c r="C18" s="288">
        <f>data!C68</f>
        <v>3415.24</v>
      </c>
      <c r="D18" s="288">
        <f>data!D68</f>
        <v>0</v>
      </c>
      <c r="E18" s="288">
        <f>data!E68</f>
        <v>18565.03</v>
      </c>
      <c r="F18" s="288">
        <f>data!F68</f>
        <v>0</v>
      </c>
      <c r="G18" s="288">
        <f>data!G68</f>
        <v>0</v>
      </c>
      <c r="H18" s="288">
        <f>data!H68</f>
        <v>0</v>
      </c>
      <c r="I18" s="288">
        <f>data!I68</f>
        <v>0</v>
      </c>
    </row>
    <row r="19" spans="1:9" customFormat="1" ht="20.100000000000001" customHeight="1" x14ac:dyDescent="0.2">
      <c r="A19" s="287">
        <v>14</v>
      </c>
      <c r="B19" s="288" t="s">
        <v>1009</v>
      </c>
      <c r="C19" s="288">
        <f>data!C69</f>
        <v>-10177.990000000002</v>
      </c>
      <c r="D19" s="288">
        <f>data!D69</f>
        <v>0</v>
      </c>
      <c r="E19" s="288">
        <f>data!E69</f>
        <v>450811.67</v>
      </c>
      <c r="F19" s="288">
        <f>data!F69</f>
        <v>0</v>
      </c>
      <c r="G19" s="288">
        <f>data!G69</f>
        <v>0</v>
      </c>
      <c r="H19" s="288">
        <f>data!H69</f>
        <v>0</v>
      </c>
      <c r="I19" s="288">
        <f>data!I69</f>
        <v>0</v>
      </c>
    </row>
    <row r="20" spans="1:9" customFormat="1" ht="20.100000000000001" customHeight="1" x14ac:dyDescent="0.2">
      <c r="A20" s="287">
        <v>15</v>
      </c>
      <c r="B20" s="288" t="s">
        <v>284</v>
      </c>
      <c r="C20" s="288">
        <f>-data!C84</f>
        <v>-5000</v>
      </c>
      <c r="D20" s="288">
        <f>-data!D84</f>
        <v>0</v>
      </c>
      <c r="E20" s="288">
        <f>-data!E84</f>
        <v>-6750</v>
      </c>
      <c r="F20" s="288">
        <f>-data!F84</f>
        <v>0</v>
      </c>
      <c r="G20" s="288">
        <f>-data!G84</f>
        <v>0</v>
      </c>
      <c r="H20" s="288">
        <f>-data!H84</f>
        <v>0</v>
      </c>
      <c r="I20" s="288">
        <f>-data!I84</f>
        <v>0</v>
      </c>
    </row>
    <row r="21" spans="1:9" customFormat="1" ht="20.100000000000001" customHeight="1" x14ac:dyDescent="0.2">
      <c r="A21" s="287">
        <v>16</v>
      </c>
      <c r="B21" s="296" t="s">
        <v>1010</v>
      </c>
      <c r="C21" s="288">
        <f>data!C85</f>
        <v>12798989.260000002</v>
      </c>
      <c r="D21" s="288">
        <f>data!D85</f>
        <v>0</v>
      </c>
      <c r="E21" s="288">
        <f>data!E85</f>
        <v>42720321.009999983</v>
      </c>
      <c r="F21" s="288">
        <f>data!F85</f>
        <v>0</v>
      </c>
      <c r="G21" s="288">
        <f>data!G85</f>
        <v>0</v>
      </c>
      <c r="H21" s="288">
        <f>data!H85</f>
        <v>269063.15999999997</v>
      </c>
      <c r="I21" s="288">
        <f>data!I85</f>
        <v>0</v>
      </c>
    </row>
    <row r="22" spans="1:9" customFormat="1" ht="20.100000000000001" customHeight="1" x14ac:dyDescent="0.2">
      <c r="A22" s="287">
        <v>17</v>
      </c>
      <c r="B22" s="288" t="s">
        <v>286</v>
      </c>
      <c r="C22" s="297"/>
      <c r="D22" s="298"/>
      <c r="E22" s="298"/>
      <c r="F22" s="298"/>
      <c r="G22" s="298"/>
      <c r="H22" s="298"/>
      <c r="I22" s="298"/>
    </row>
    <row r="23" spans="1:9" customFormat="1" ht="20.100000000000001" customHeight="1" x14ac:dyDescent="0.2">
      <c r="A23" s="287">
        <v>18</v>
      </c>
      <c r="B23" s="288" t="s">
        <v>1011</v>
      </c>
      <c r="C23" s="296">
        <f>+data!M668</f>
        <v>4300707</v>
      </c>
      <c r="D23" s="296">
        <f>+data!M669</f>
        <v>0</v>
      </c>
      <c r="E23" s="296">
        <f>+data!M670</f>
        <v>16830892</v>
      </c>
      <c r="F23" s="296">
        <f>+data!M671</f>
        <v>0</v>
      </c>
      <c r="G23" s="296">
        <f>+data!M672</f>
        <v>0</v>
      </c>
      <c r="H23" s="296">
        <f>+data!M673</f>
        <v>26969</v>
      </c>
      <c r="I23" s="296">
        <f>+data!M674</f>
        <v>0</v>
      </c>
    </row>
    <row r="24" spans="1:9" customFormat="1" ht="20.100000000000001" customHeight="1" x14ac:dyDescent="0.2">
      <c r="A24" s="287">
        <v>19</v>
      </c>
      <c r="B24" s="296" t="s">
        <v>1012</v>
      </c>
      <c r="C24" s="288">
        <f>data!C87</f>
        <v>37483559.629999995</v>
      </c>
      <c r="D24" s="288">
        <f>data!D87</f>
        <v>0</v>
      </c>
      <c r="E24" s="288">
        <f>data!E87</f>
        <v>146230164.59000003</v>
      </c>
      <c r="F24" s="288">
        <f>data!F87</f>
        <v>0</v>
      </c>
      <c r="G24" s="288">
        <f>data!G87</f>
        <v>0</v>
      </c>
      <c r="H24" s="288">
        <f>data!H87</f>
        <v>0</v>
      </c>
      <c r="I24" s="288">
        <f>data!I87</f>
        <v>0</v>
      </c>
    </row>
    <row r="25" spans="1:9" customFormat="1" ht="20.100000000000001" customHeight="1" x14ac:dyDescent="0.2">
      <c r="A25" s="287">
        <v>20</v>
      </c>
      <c r="B25" s="296" t="s">
        <v>1013</v>
      </c>
      <c r="C25" s="288">
        <f>data!C88</f>
        <v>172897.98</v>
      </c>
      <c r="D25" s="288">
        <f>data!D88</f>
        <v>0</v>
      </c>
      <c r="E25" s="288">
        <f>data!E88</f>
        <v>12483189.100000001</v>
      </c>
      <c r="F25" s="288">
        <f>data!F88</f>
        <v>0</v>
      </c>
      <c r="G25" s="288">
        <f>data!G88</f>
        <v>0</v>
      </c>
      <c r="H25" s="288">
        <f>data!H88</f>
        <v>0</v>
      </c>
      <c r="I25" s="288">
        <f>data!I88</f>
        <v>0</v>
      </c>
    </row>
    <row r="26" spans="1:9" customFormat="1" ht="18" customHeight="1" x14ac:dyDescent="0.2">
      <c r="A26" s="287">
        <v>21</v>
      </c>
      <c r="B26" s="296" t="s">
        <v>1014</v>
      </c>
      <c r="C26" s="288">
        <f>data!C89</f>
        <v>37656457.609999992</v>
      </c>
      <c r="D26" s="288">
        <f>data!D89</f>
        <v>0</v>
      </c>
      <c r="E26" s="288">
        <f>data!E89</f>
        <v>158713353.69000003</v>
      </c>
      <c r="F26" s="288">
        <f>data!F89</f>
        <v>0</v>
      </c>
      <c r="G26" s="288">
        <f>data!G89</f>
        <v>0</v>
      </c>
      <c r="H26" s="288">
        <f>data!H89</f>
        <v>0</v>
      </c>
      <c r="I26" s="288">
        <f>data!I89</f>
        <v>0</v>
      </c>
    </row>
    <row r="27" spans="1:9" customFormat="1" ht="20.100000000000001" customHeight="1" x14ac:dyDescent="0.2">
      <c r="A27" s="287" t="s">
        <v>1015</v>
      </c>
      <c r="B27" s="288"/>
      <c r="C27" s="298"/>
      <c r="D27" s="298"/>
      <c r="E27" s="298"/>
      <c r="F27" s="298"/>
      <c r="G27" s="298"/>
      <c r="H27" s="298"/>
      <c r="I27" s="298"/>
    </row>
    <row r="28" spans="1:9" customFormat="1" ht="20.100000000000001" customHeight="1" x14ac:dyDescent="0.2">
      <c r="A28" s="287">
        <v>22</v>
      </c>
      <c r="B28" s="288" t="s">
        <v>1016</v>
      </c>
      <c r="C28" s="288">
        <f>data!C90</f>
        <v>11112</v>
      </c>
      <c r="D28" s="288">
        <f>data!D90</f>
        <v>0</v>
      </c>
      <c r="E28" s="288">
        <f>data!E90</f>
        <v>48910.54</v>
      </c>
      <c r="F28" s="288">
        <f>data!F90</f>
        <v>0</v>
      </c>
      <c r="G28" s="288">
        <f>data!G90</f>
        <v>0</v>
      </c>
      <c r="H28" s="288">
        <f>data!H90</f>
        <v>0</v>
      </c>
      <c r="I28" s="288">
        <f>data!I90</f>
        <v>0</v>
      </c>
    </row>
    <row r="29" spans="1:9" customFormat="1" ht="20.100000000000001" customHeight="1" x14ac:dyDescent="0.2">
      <c r="A29" s="287">
        <v>23</v>
      </c>
      <c r="B29" s="288" t="s">
        <v>1017</v>
      </c>
      <c r="C29" s="288">
        <f>data!C91</f>
        <v>12350</v>
      </c>
      <c r="D29" s="288">
        <f>data!D91</f>
        <v>0</v>
      </c>
      <c r="E29" s="288">
        <f>data!E91</f>
        <v>55056</v>
      </c>
      <c r="F29" s="288">
        <f>data!F91</f>
        <v>0</v>
      </c>
      <c r="G29" s="288">
        <f>data!G91</f>
        <v>0</v>
      </c>
      <c r="H29" s="288">
        <f>data!H91</f>
        <v>0</v>
      </c>
      <c r="I29" s="288">
        <f>data!I91</f>
        <v>0</v>
      </c>
    </row>
    <row r="30" spans="1:9" customFormat="1" ht="20.100000000000001" customHeight="1" x14ac:dyDescent="0.2">
      <c r="A30" s="287">
        <v>24</v>
      </c>
      <c r="B30" s="288" t="s">
        <v>1018</v>
      </c>
      <c r="C30" s="288">
        <f>data!C92</f>
        <v>4073.1562575136686</v>
      </c>
      <c r="D30" s="288">
        <f>data!D92</f>
        <v>0</v>
      </c>
      <c r="E30" s="288">
        <f>data!E92</f>
        <v>17928.390214126404</v>
      </c>
      <c r="F30" s="288">
        <f>data!F92</f>
        <v>0</v>
      </c>
      <c r="G30" s="288">
        <f>data!G92</f>
        <v>0</v>
      </c>
      <c r="H30" s="288">
        <f>data!H92</f>
        <v>0</v>
      </c>
      <c r="I30" s="288">
        <f>data!I92</f>
        <v>0</v>
      </c>
    </row>
    <row r="31" spans="1:9" customFormat="1" ht="20.100000000000001" customHeight="1" x14ac:dyDescent="0.2">
      <c r="A31" s="287">
        <v>25</v>
      </c>
      <c r="B31" s="288" t="s">
        <v>1019</v>
      </c>
      <c r="C31" s="288">
        <f>data!C93</f>
        <v>0</v>
      </c>
      <c r="D31" s="288">
        <f>data!D93</f>
        <v>0</v>
      </c>
      <c r="E31" s="288">
        <f>data!E93</f>
        <v>342574.95</v>
      </c>
      <c r="F31" s="288">
        <f>data!F93</f>
        <v>0</v>
      </c>
      <c r="G31" s="288">
        <f>data!G93</f>
        <v>0</v>
      </c>
      <c r="H31" s="288">
        <f>data!H93</f>
        <v>0</v>
      </c>
      <c r="I31" s="288">
        <f>data!I93</f>
        <v>0</v>
      </c>
    </row>
    <row r="32" spans="1:9" customFormat="1" ht="20.100000000000001" customHeight="1" x14ac:dyDescent="0.2">
      <c r="A32" s="287">
        <v>26</v>
      </c>
      <c r="B32" s="288" t="s">
        <v>294</v>
      </c>
      <c r="C32" s="295">
        <f>data!C94</f>
        <v>45.323201923076923</v>
      </c>
      <c r="D32" s="295">
        <f>data!D94</f>
        <v>0</v>
      </c>
      <c r="E32" s="295">
        <f>data!E94</f>
        <v>146.34071153846153</v>
      </c>
      <c r="F32" s="295">
        <f>data!F94</f>
        <v>0</v>
      </c>
      <c r="G32" s="295">
        <f>data!G94</f>
        <v>0</v>
      </c>
      <c r="H32" s="295">
        <f>data!H94</f>
        <v>0</v>
      </c>
      <c r="I32" s="295">
        <f>data!I94</f>
        <v>0</v>
      </c>
    </row>
    <row r="33" spans="1:9" customFormat="1" ht="20.100000000000001" customHeight="1" x14ac:dyDescent="0.2">
      <c r="A33" s="281" t="s">
        <v>1001</v>
      </c>
      <c r="B33" s="282"/>
      <c r="C33" s="282"/>
      <c r="D33" s="282"/>
      <c r="E33" s="282"/>
      <c r="F33" s="282"/>
      <c r="G33" s="282"/>
      <c r="H33" s="282"/>
      <c r="I33" s="281"/>
    </row>
    <row r="34" spans="1:9" customFormat="1" ht="20.100000000000001" customHeight="1" x14ac:dyDescent="0.2">
      <c r="A34" s="283"/>
      <c r="I34" s="284" t="s">
        <v>1020</v>
      </c>
    </row>
    <row r="35" spans="1:9" customFormat="1" ht="20.100000000000001" customHeight="1" x14ac:dyDescent="0.2">
      <c r="A35" s="283"/>
      <c r="I35" s="283"/>
    </row>
    <row r="36" spans="1:9" customFormat="1" ht="20.100000000000001" customHeight="1" x14ac:dyDescent="0.2">
      <c r="A36" s="285" t="str">
        <f>"Hospital: "&amp;data!C98</f>
        <v>Hospital: St. Francis Hospital</v>
      </c>
      <c r="G36" s="286"/>
      <c r="H36" s="285" t="str">
        <f>"FYE: "&amp;data!C96</f>
        <v>FYE: 6/30/2024</v>
      </c>
    </row>
    <row r="37" spans="1:9" customFormat="1" ht="20.100000000000001" customHeight="1" x14ac:dyDescent="0.2">
      <c r="A37" s="287">
        <v>1</v>
      </c>
      <c r="B37" s="288" t="s">
        <v>236</v>
      </c>
      <c r="C37" s="290" t="s">
        <v>43</v>
      </c>
      <c r="D37" s="290" t="s">
        <v>44</v>
      </c>
      <c r="E37" s="290" t="s">
        <v>45</v>
      </c>
      <c r="F37" s="290" t="s">
        <v>46</v>
      </c>
      <c r="G37" s="290" t="s">
        <v>47</v>
      </c>
      <c r="H37" s="290" t="s">
        <v>48</v>
      </c>
      <c r="I37" s="290" t="s">
        <v>49</v>
      </c>
    </row>
    <row r="38" spans="1:9" customFormat="1" ht="20.100000000000001" customHeight="1" x14ac:dyDescent="0.2">
      <c r="A38" s="291">
        <v>2</v>
      </c>
      <c r="B38" s="292" t="s">
        <v>1003</v>
      </c>
      <c r="C38" s="294"/>
      <c r="D38" s="294" t="s">
        <v>126</v>
      </c>
      <c r="E38" s="294" t="s">
        <v>127</v>
      </c>
      <c r="F38" s="294" t="s">
        <v>1021</v>
      </c>
      <c r="G38" s="294" t="s">
        <v>129</v>
      </c>
      <c r="H38" s="294" t="s">
        <v>1022</v>
      </c>
      <c r="I38" s="294" t="s">
        <v>131</v>
      </c>
    </row>
    <row r="39" spans="1:9" customFormat="1" ht="20.100000000000001" customHeight="1" x14ac:dyDescent="0.2">
      <c r="A39" s="291"/>
      <c r="B39" s="292"/>
      <c r="C39" s="294" t="s">
        <v>125</v>
      </c>
      <c r="D39" s="294" t="s">
        <v>184</v>
      </c>
      <c r="E39" s="293" t="s">
        <v>194</v>
      </c>
      <c r="F39" s="294" t="s">
        <v>195</v>
      </c>
      <c r="G39" s="294" t="s">
        <v>196</v>
      </c>
      <c r="H39" s="294" t="s">
        <v>197</v>
      </c>
      <c r="I39" s="294" t="s">
        <v>196</v>
      </c>
    </row>
    <row r="40" spans="1:9" customFormat="1" ht="20.100000000000001" customHeight="1" x14ac:dyDescent="0.2">
      <c r="A40" s="287">
        <v>3</v>
      </c>
      <c r="B40" s="288" t="s">
        <v>1007</v>
      </c>
      <c r="C40" s="290" t="s">
        <v>243</v>
      </c>
      <c r="D40" s="290" t="s">
        <v>242</v>
      </c>
      <c r="E40" s="290" t="s">
        <v>242</v>
      </c>
      <c r="F40" s="290" t="s">
        <v>242</v>
      </c>
      <c r="G40" s="290" t="s">
        <v>242</v>
      </c>
      <c r="H40" s="290" t="s">
        <v>244</v>
      </c>
      <c r="I40" s="289" t="s">
        <v>245</v>
      </c>
    </row>
    <row r="41" spans="1:9" customFormat="1" ht="20.100000000000001" customHeight="1" x14ac:dyDescent="0.2">
      <c r="A41" s="287">
        <v>4</v>
      </c>
      <c r="B41" s="288" t="s">
        <v>261</v>
      </c>
      <c r="C41" s="288">
        <f>data!J59</f>
        <v>0</v>
      </c>
      <c r="D41" s="288">
        <f>data!K59</f>
        <v>0</v>
      </c>
      <c r="E41" s="288">
        <f>data!L59</f>
        <v>0</v>
      </c>
      <c r="F41" s="288">
        <f>data!M59</f>
        <v>0</v>
      </c>
      <c r="G41" s="288">
        <f>data!N59</f>
        <v>0</v>
      </c>
      <c r="H41" s="288">
        <f>data!O59</f>
        <v>4408</v>
      </c>
      <c r="I41" s="288">
        <f>data!P59</f>
        <v>639869</v>
      </c>
    </row>
    <row r="42" spans="1:9" customFormat="1" ht="20.100000000000001" customHeight="1" x14ac:dyDescent="0.2">
      <c r="A42" s="287">
        <v>5</v>
      </c>
      <c r="B42" s="288" t="s">
        <v>262</v>
      </c>
      <c r="C42" s="295">
        <f>data!J60</f>
        <v>0</v>
      </c>
      <c r="D42" s="295">
        <f>data!K60</f>
        <v>0</v>
      </c>
      <c r="E42" s="295">
        <f>data!L60</f>
        <v>0</v>
      </c>
      <c r="F42" s="295">
        <f>data!M60</f>
        <v>0</v>
      </c>
      <c r="G42" s="295">
        <f>data!N60</f>
        <v>0</v>
      </c>
      <c r="H42" s="295">
        <f>data!O60</f>
        <v>48.878975961538458</v>
      </c>
      <c r="I42" s="295">
        <f>data!P60</f>
        <v>102.1264519230769</v>
      </c>
    </row>
    <row r="43" spans="1:9" customFormat="1" ht="20.100000000000001" customHeight="1" x14ac:dyDescent="0.2">
      <c r="A43" s="287">
        <v>6</v>
      </c>
      <c r="B43" s="288" t="s">
        <v>263</v>
      </c>
      <c r="C43" s="288">
        <f>data!J61</f>
        <v>0</v>
      </c>
      <c r="D43" s="288">
        <f>data!K61</f>
        <v>0</v>
      </c>
      <c r="E43" s="288">
        <f>data!L61</f>
        <v>0</v>
      </c>
      <c r="F43" s="288">
        <f>data!M61</f>
        <v>0</v>
      </c>
      <c r="G43" s="288">
        <f>data!N61</f>
        <v>0</v>
      </c>
      <c r="H43" s="288">
        <f>data!O61</f>
        <v>7610036.9900000012</v>
      </c>
      <c r="I43" s="288">
        <f>data!P61</f>
        <v>12710202.72000001</v>
      </c>
    </row>
    <row r="44" spans="1:9" customFormat="1" ht="20.100000000000001" customHeight="1" x14ac:dyDescent="0.2">
      <c r="A44" s="287">
        <v>7</v>
      </c>
      <c r="B44" s="288" t="s">
        <v>11</v>
      </c>
      <c r="C44" s="288">
        <f>data!J62</f>
        <v>0</v>
      </c>
      <c r="D44" s="288">
        <f>data!K62</f>
        <v>0</v>
      </c>
      <c r="E44" s="288">
        <f>data!L62</f>
        <v>0</v>
      </c>
      <c r="F44" s="288">
        <f>data!M62</f>
        <v>0</v>
      </c>
      <c r="G44" s="288">
        <f>data!N62</f>
        <v>0</v>
      </c>
      <c r="H44" s="288">
        <f>data!O62</f>
        <v>1717147</v>
      </c>
      <c r="I44" s="288">
        <f>data!P62</f>
        <v>2868555</v>
      </c>
    </row>
    <row r="45" spans="1:9" customFormat="1" ht="20.100000000000001" customHeight="1" x14ac:dyDescent="0.2">
      <c r="A45" s="287">
        <v>8</v>
      </c>
      <c r="B45" s="288" t="s">
        <v>264</v>
      </c>
      <c r="C45" s="288">
        <f>data!J63</f>
        <v>0</v>
      </c>
      <c r="D45" s="288">
        <f>data!K63</f>
        <v>0</v>
      </c>
      <c r="E45" s="288">
        <f>data!L63</f>
        <v>0</v>
      </c>
      <c r="F45" s="288">
        <f>data!M63</f>
        <v>0</v>
      </c>
      <c r="G45" s="288">
        <f>data!N63</f>
        <v>0</v>
      </c>
      <c r="H45" s="288">
        <f>data!O63</f>
        <v>1194601.51</v>
      </c>
      <c r="I45" s="288">
        <f>data!P63</f>
        <v>7568503.7600000007</v>
      </c>
    </row>
    <row r="46" spans="1:9" customFormat="1" ht="20.100000000000001" customHeight="1" x14ac:dyDescent="0.2">
      <c r="A46" s="287">
        <v>9</v>
      </c>
      <c r="B46" s="288" t="s">
        <v>265</v>
      </c>
      <c r="C46" s="288">
        <f>data!J64</f>
        <v>0</v>
      </c>
      <c r="D46" s="288">
        <f>data!K64</f>
        <v>0</v>
      </c>
      <c r="E46" s="288">
        <f>data!L64</f>
        <v>0</v>
      </c>
      <c r="F46" s="288">
        <f>data!M64</f>
        <v>0</v>
      </c>
      <c r="G46" s="288">
        <f>data!N64</f>
        <v>0</v>
      </c>
      <c r="H46" s="288">
        <f>data!O64</f>
        <v>1005217.0399999998</v>
      </c>
      <c r="I46" s="288">
        <f>data!P64</f>
        <v>21796330.679999989</v>
      </c>
    </row>
    <row r="47" spans="1:9" customFormat="1" ht="20.100000000000001" customHeight="1" x14ac:dyDescent="0.2">
      <c r="A47" s="287">
        <v>10</v>
      </c>
      <c r="B47" s="288" t="s">
        <v>525</v>
      </c>
      <c r="C47" s="288">
        <f>data!J65</f>
        <v>0</v>
      </c>
      <c r="D47" s="288">
        <f>data!K65</f>
        <v>0</v>
      </c>
      <c r="E47" s="288">
        <f>data!L65</f>
        <v>0</v>
      </c>
      <c r="F47" s="288">
        <f>data!M65</f>
        <v>0</v>
      </c>
      <c r="G47" s="288">
        <f>data!N65</f>
        <v>0</v>
      </c>
      <c r="H47" s="288">
        <f>data!O65</f>
        <v>3731.52</v>
      </c>
      <c r="I47" s="288">
        <f>data!P65</f>
        <v>6564.78</v>
      </c>
    </row>
    <row r="48" spans="1:9" customFormat="1" ht="20.100000000000001" customHeight="1" x14ac:dyDescent="0.2">
      <c r="A48" s="287">
        <v>11</v>
      </c>
      <c r="B48" s="288" t="s">
        <v>526</v>
      </c>
      <c r="C48" s="288">
        <f>data!J66</f>
        <v>0</v>
      </c>
      <c r="D48" s="288">
        <f>data!K66</f>
        <v>0</v>
      </c>
      <c r="E48" s="288">
        <f>data!L66</f>
        <v>0</v>
      </c>
      <c r="F48" s="288">
        <f>data!M66</f>
        <v>0</v>
      </c>
      <c r="G48" s="288">
        <f>data!N66</f>
        <v>0</v>
      </c>
      <c r="H48" s="288">
        <f>data!O66</f>
        <v>30834.730000000003</v>
      </c>
      <c r="I48" s="288">
        <f>data!P66</f>
        <v>1059754.67</v>
      </c>
    </row>
    <row r="49" spans="1:11" customFormat="1" ht="20.100000000000001" customHeight="1" x14ac:dyDescent="0.2">
      <c r="A49" s="287">
        <v>12</v>
      </c>
      <c r="B49" s="288" t="s">
        <v>16</v>
      </c>
      <c r="C49" s="288">
        <f>data!J67</f>
        <v>0</v>
      </c>
      <c r="D49" s="288">
        <f>data!K67</f>
        <v>0</v>
      </c>
      <c r="E49" s="288">
        <f>data!L67</f>
        <v>0</v>
      </c>
      <c r="F49" s="288">
        <f>data!M67</f>
        <v>0</v>
      </c>
      <c r="G49" s="288">
        <f>data!N67</f>
        <v>0</v>
      </c>
      <c r="H49" s="288">
        <f>data!O67</f>
        <v>146055</v>
      </c>
      <c r="I49" s="288">
        <f>data!P67</f>
        <v>2270897</v>
      </c>
    </row>
    <row r="50" spans="1:11" customFormat="1" ht="20.100000000000001" customHeight="1" x14ac:dyDescent="0.2">
      <c r="A50" s="287">
        <v>13</v>
      </c>
      <c r="B50" s="288" t="s">
        <v>1008</v>
      </c>
      <c r="C50" s="288">
        <f>data!J68</f>
        <v>0</v>
      </c>
      <c r="D50" s="288">
        <f>data!K68</f>
        <v>0</v>
      </c>
      <c r="E50" s="288">
        <f>data!L68</f>
        <v>0</v>
      </c>
      <c r="F50" s="288">
        <f>data!M68</f>
        <v>0</v>
      </c>
      <c r="G50" s="288">
        <f>data!N68</f>
        <v>0</v>
      </c>
      <c r="H50" s="288">
        <f>data!O68</f>
        <v>5115.0600000000004</v>
      </c>
      <c r="I50" s="288">
        <f>data!P68</f>
        <v>1324227.19</v>
      </c>
    </row>
    <row r="51" spans="1:11" customFormat="1" ht="20.100000000000001" customHeight="1" x14ac:dyDescent="0.2">
      <c r="A51" s="287">
        <v>14</v>
      </c>
      <c r="B51" s="288" t="s">
        <v>1009</v>
      </c>
      <c r="C51" s="288">
        <f>data!J69</f>
        <v>0</v>
      </c>
      <c r="D51" s="288">
        <f>data!K69</f>
        <v>0</v>
      </c>
      <c r="E51" s="288">
        <f>data!L69</f>
        <v>0</v>
      </c>
      <c r="F51" s="288">
        <f>data!M69</f>
        <v>0</v>
      </c>
      <c r="G51" s="288">
        <f>data!N69</f>
        <v>0</v>
      </c>
      <c r="H51" s="288">
        <f>data!O69</f>
        <v>360478.82000000007</v>
      </c>
      <c r="I51" s="288">
        <f>data!P69</f>
        <v>2334641.6900000004</v>
      </c>
    </row>
    <row r="52" spans="1:11" customFormat="1" ht="20.100000000000001" customHeight="1" x14ac:dyDescent="0.2">
      <c r="A52" s="287">
        <v>15</v>
      </c>
      <c r="B52" s="288" t="s">
        <v>284</v>
      </c>
      <c r="C52" s="288">
        <f>-data!J84</f>
        <v>0</v>
      </c>
      <c r="D52" s="288">
        <f>-data!K84</f>
        <v>0</v>
      </c>
      <c r="E52" s="288">
        <f>-data!L84</f>
        <v>0</v>
      </c>
      <c r="F52" s="288">
        <f>-data!M84</f>
        <v>0</v>
      </c>
      <c r="G52" s="288">
        <f>-data!N84</f>
        <v>0</v>
      </c>
      <c r="H52" s="288">
        <f>-data!O84</f>
        <v>-4000</v>
      </c>
      <c r="I52" s="288">
        <f>-data!P84</f>
        <v>-5000</v>
      </c>
    </row>
    <row r="53" spans="1:11" customFormat="1" ht="20.100000000000001" customHeight="1" x14ac:dyDescent="0.2">
      <c r="A53" s="287">
        <v>16</v>
      </c>
      <c r="B53" s="296" t="s">
        <v>1010</v>
      </c>
      <c r="C53" s="288">
        <f>data!J85</f>
        <v>0</v>
      </c>
      <c r="D53" s="288">
        <f>data!K85</f>
        <v>0</v>
      </c>
      <c r="E53" s="288">
        <f>data!L85</f>
        <v>0</v>
      </c>
      <c r="F53" s="288">
        <f>data!M85</f>
        <v>0</v>
      </c>
      <c r="G53" s="288">
        <f>data!N85</f>
        <v>0</v>
      </c>
      <c r="H53" s="288">
        <f>data!O85</f>
        <v>12069217.670000002</v>
      </c>
      <c r="I53" s="288">
        <f>data!P85</f>
        <v>51934677.489999995</v>
      </c>
    </row>
    <row r="54" spans="1:11" customFormat="1" ht="20.100000000000001" customHeight="1" x14ac:dyDescent="0.2">
      <c r="A54" s="287">
        <v>17</v>
      </c>
      <c r="B54" s="288" t="s">
        <v>286</v>
      </c>
      <c r="C54" s="298"/>
      <c r="D54" s="298"/>
      <c r="E54" s="298"/>
      <c r="F54" s="298"/>
      <c r="G54" s="298"/>
      <c r="H54" s="298"/>
      <c r="I54" s="298"/>
    </row>
    <row r="55" spans="1:11" customFormat="1" ht="20.100000000000001" customHeight="1" x14ac:dyDescent="0.2">
      <c r="A55" s="287">
        <v>18</v>
      </c>
      <c r="B55" s="288" t="s">
        <v>1011</v>
      </c>
      <c r="C55" s="296">
        <f>+data!M675</f>
        <v>0</v>
      </c>
      <c r="D55" s="296">
        <f>+data!M676</f>
        <v>0</v>
      </c>
      <c r="E55" s="296">
        <f>+data!M691</f>
        <v>832730</v>
      </c>
      <c r="F55" s="296">
        <f>+data!M692</f>
        <v>369113</v>
      </c>
      <c r="G55" s="296">
        <f>+data!M693</f>
        <v>5016045</v>
      </c>
      <c r="H55" s="296">
        <f>+data!M680</f>
        <v>3687928</v>
      </c>
      <c r="I55" s="296">
        <f>+data!M681</f>
        <v>19326496</v>
      </c>
    </row>
    <row r="56" spans="1:11" customFormat="1" ht="20.100000000000001" customHeight="1" x14ac:dyDescent="0.2">
      <c r="A56" s="287">
        <v>19</v>
      </c>
      <c r="B56" s="296" t="s">
        <v>1012</v>
      </c>
      <c r="C56" s="288">
        <f>data!J87</f>
        <v>0</v>
      </c>
      <c r="D56" s="288">
        <f>data!K87</f>
        <v>0</v>
      </c>
      <c r="E56" s="288">
        <f>data!L87</f>
        <v>0</v>
      </c>
      <c r="F56" s="288">
        <f>data!M87</f>
        <v>0</v>
      </c>
      <c r="G56" s="288">
        <f>data!N87</f>
        <v>0</v>
      </c>
      <c r="H56" s="288">
        <f>data!O87</f>
        <v>66321020.380000003</v>
      </c>
      <c r="I56" s="288">
        <f>data!P87</f>
        <v>185296765.57999998</v>
      </c>
    </row>
    <row r="57" spans="1:11" customFormat="1" ht="20.100000000000001" customHeight="1" x14ac:dyDescent="0.2">
      <c r="A57" s="287">
        <v>20</v>
      </c>
      <c r="B57" s="296" t="s">
        <v>1013</v>
      </c>
      <c r="C57" s="288">
        <f>data!J88</f>
        <v>0</v>
      </c>
      <c r="D57" s="288">
        <f>data!K88</f>
        <v>0</v>
      </c>
      <c r="E57" s="288">
        <f>data!L88</f>
        <v>0</v>
      </c>
      <c r="F57" s="288">
        <f>data!M88</f>
        <v>0</v>
      </c>
      <c r="G57" s="288">
        <f>data!N88</f>
        <v>0</v>
      </c>
      <c r="H57" s="288">
        <f>data!O88</f>
        <v>2947760.6000000006</v>
      </c>
      <c r="I57" s="288">
        <f>data!P88</f>
        <v>404547251.4600001</v>
      </c>
    </row>
    <row r="58" spans="1:11" customFormat="1" ht="20.100000000000001" customHeight="1" x14ac:dyDescent="0.2">
      <c r="A58" s="287">
        <v>21</v>
      </c>
      <c r="B58" s="296" t="s">
        <v>1014</v>
      </c>
      <c r="C58" s="288">
        <f>data!J89</f>
        <v>0</v>
      </c>
      <c r="D58" s="288">
        <f>data!K89</f>
        <v>0</v>
      </c>
      <c r="E58" s="288">
        <f>data!L89</f>
        <v>0</v>
      </c>
      <c r="F58" s="288">
        <f>data!M89</f>
        <v>0</v>
      </c>
      <c r="G58" s="288">
        <f>data!N89</f>
        <v>0</v>
      </c>
      <c r="H58" s="288">
        <f>data!O89</f>
        <v>69268780.980000004</v>
      </c>
      <c r="I58" s="288">
        <f>data!P89</f>
        <v>589844017.04000008</v>
      </c>
    </row>
    <row r="59" spans="1:11" customFormat="1" ht="20.100000000000001" customHeight="1" x14ac:dyDescent="0.2">
      <c r="A59" s="287" t="s">
        <v>1015</v>
      </c>
      <c r="B59" s="288"/>
      <c r="C59" s="298"/>
      <c r="D59" s="298"/>
      <c r="E59" s="298"/>
      <c r="F59" s="298"/>
      <c r="G59" s="298"/>
      <c r="H59" s="298"/>
      <c r="I59" s="298"/>
    </row>
    <row r="60" spans="1:11" customFormat="1" ht="20.100000000000001" customHeight="1" x14ac:dyDescent="0.25">
      <c r="A60" s="287">
        <v>22</v>
      </c>
      <c r="B60" s="288" t="s">
        <v>1016</v>
      </c>
      <c r="C60" s="288">
        <f>data!J90</f>
        <v>0</v>
      </c>
      <c r="D60" s="288">
        <f>data!K90</f>
        <v>0</v>
      </c>
      <c r="E60" s="288">
        <f>data!L90</f>
        <v>0</v>
      </c>
      <c r="F60" s="288">
        <f>data!M90</f>
        <v>0</v>
      </c>
      <c r="G60" s="288">
        <f>data!N90</f>
        <v>0</v>
      </c>
      <c r="H60" s="288">
        <f>data!O90</f>
        <v>4254</v>
      </c>
      <c r="I60" s="288">
        <f>data!P90</f>
        <v>23570.21</v>
      </c>
      <c r="K60" s="299"/>
    </row>
    <row r="61" spans="1:11" customFormat="1" ht="20.100000000000001" customHeight="1" x14ac:dyDescent="0.2">
      <c r="A61" s="287">
        <v>23</v>
      </c>
      <c r="B61" s="288" t="s">
        <v>1017</v>
      </c>
      <c r="C61" s="288">
        <f>data!J91</f>
        <v>0</v>
      </c>
      <c r="D61" s="288">
        <f>data!K91</f>
        <v>0</v>
      </c>
      <c r="E61" s="288">
        <f>data!L91</f>
        <v>0</v>
      </c>
      <c r="F61" s="288">
        <f>data!M91</f>
        <v>0</v>
      </c>
      <c r="G61" s="288">
        <f>data!N91</f>
        <v>0</v>
      </c>
      <c r="H61" s="288">
        <f>data!O91</f>
        <v>5788</v>
      </c>
      <c r="I61" s="288">
        <f>data!P91</f>
        <v>28100</v>
      </c>
    </row>
    <row r="62" spans="1:11" customFormat="1" ht="20.100000000000001" customHeight="1" x14ac:dyDescent="0.2">
      <c r="A62" s="287">
        <v>24</v>
      </c>
      <c r="B62" s="288" t="s">
        <v>1018</v>
      </c>
      <c r="C62" s="288">
        <f>data!J92</f>
        <v>0</v>
      </c>
      <c r="D62" s="288">
        <f>data!K92</f>
        <v>0</v>
      </c>
      <c r="E62" s="288">
        <f>data!L92</f>
        <v>0</v>
      </c>
      <c r="F62" s="288">
        <f>data!M92</f>
        <v>0</v>
      </c>
      <c r="G62" s="288">
        <f>data!N92</f>
        <v>0</v>
      </c>
      <c r="H62" s="288">
        <f>data!O92</f>
        <v>1559.3238588429758</v>
      </c>
      <c r="I62" s="288">
        <f>data!P92</f>
        <v>7826.3136840387497</v>
      </c>
    </row>
    <row r="63" spans="1:11" customFormat="1" ht="20.100000000000001" customHeight="1" x14ac:dyDescent="0.2">
      <c r="A63" s="287">
        <v>25</v>
      </c>
      <c r="B63" s="288" t="s">
        <v>1019</v>
      </c>
      <c r="C63" s="288">
        <f>data!J93</f>
        <v>0</v>
      </c>
      <c r="D63" s="288">
        <f>data!K93</f>
        <v>0</v>
      </c>
      <c r="E63" s="288">
        <f>data!L93</f>
        <v>0</v>
      </c>
      <c r="F63" s="288">
        <f>data!M93</f>
        <v>0</v>
      </c>
      <c r="G63" s="288">
        <f>data!N93</f>
        <v>0</v>
      </c>
      <c r="H63" s="288">
        <f>data!O93</f>
        <v>118832.79</v>
      </c>
      <c r="I63" s="288">
        <f>data!P93</f>
        <v>239613.18999999997</v>
      </c>
    </row>
    <row r="64" spans="1:11" customFormat="1" ht="20.100000000000001" customHeight="1" x14ac:dyDescent="0.2">
      <c r="A64" s="287">
        <v>26</v>
      </c>
      <c r="B64" s="288" t="s">
        <v>294</v>
      </c>
      <c r="C64" s="295">
        <f>data!J94</f>
        <v>0</v>
      </c>
      <c r="D64" s="295">
        <f>data!K94</f>
        <v>0</v>
      </c>
      <c r="E64" s="295">
        <f>data!L94</f>
        <v>0</v>
      </c>
      <c r="F64" s="295">
        <f>data!M94</f>
        <v>0</v>
      </c>
      <c r="G64" s="295">
        <f>data!N94</f>
        <v>0</v>
      </c>
      <c r="H64" s="295">
        <f>data!O94</f>
        <v>38.91075</v>
      </c>
      <c r="I64" s="295">
        <f>data!P94</f>
        <v>54.186326923076926</v>
      </c>
    </row>
    <row r="65" spans="1:9" customFormat="1" ht="20.100000000000001" customHeight="1" x14ac:dyDescent="0.2">
      <c r="A65" s="281" t="s">
        <v>1001</v>
      </c>
      <c r="B65" s="282"/>
      <c r="C65" s="282"/>
      <c r="D65" s="282"/>
      <c r="E65" s="282"/>
      <c r="F65" s="282"/>
      <c r="G65" s="282"/>
      <c r="H65" s="282"/>
      <c r="I65" s="281"/>
    </row>
    <row r="66" spans="1:9" customFormat="1" ht="20.100000000000001" customHeight="1" x14ac:dyDescent="0.2">
      <c r="D66" s="283"/>
      <c r="I66" s="284" t="s">
        <v>1023</v>
      </c>
    </row>
    <row r="67" spans="1:9" customFormat="1" ht="20.100000000000001" customHeight="1" x14ac:dyDescent="0.2">
      <c r="A67" s="283"/>
    </row>
    <row r="68" spans="1:9" customFormat="1" ht="20.100000000000001" customHeight="1" x14ac:dyDescent="0.2">
      <c r="A68" s="285" t="str">
        <f>"Hospital: "&amp;data!C98</f>
        <v>Hospital: St. Francis Hospital</v>
      </c>
      <c r="G68" s="286"/>
      <c r="H68" s="285" t="str">
        <f>"FYE: "&amp;data!C96</f>
        <v>FYE: 6/30/2024</v>
      </c>
    </row>
    <row r="69" spans="1:9" customFormat="1" ht="20.100000000000001" customHeight="1" x14ac:dyDescent="0.2">
      <c r="A69" s="287">
        <v>1</v>
      </c>
      <c r="B69" s="288" t="s">
        <v>236</v>
      </c>
      <c r="C69" s="290" t="s">
        <v>50</v>
      </c>
      <c r="D69" s="290" t="s">
        <v>51</v>
      </c>
      <c r="E69" s="290" t="s">
        <v>52</v>
      </c>
      <c r="F69" s="290" t="s">
        <v>53</v>
      </c>
      <c r="G69" s="290" t="s">
        <v>54</v>
      </c>
      <c r="H69" s="290" t="s">
        <v>55</v>
      </c>
      <c r="I69" s="290" t="s">
        <v>56</v>
      </c>
    </row>
    <row r="70" spans="1:9" customFormat="1" ht="20.100000000000001" customHeight="1" x14ac:dyDescent="0.2">
      <c r="A70" s="291">
        <v>2</v>
      </c>
      <c r="B70" s="292" t="s">
        <v>1003</v>
      </c>
      <c r="C70" s="294" t="s">
        <v>132</v>
      </c>
      <c r="D70" s="294"/>
      <c r="E70" s="294" t="s">
        <v>134</v>
      </c>
      <c r="F70" s="294" t="s">
        <v>135</v>
      </c>
      <c r="G70" s="294"/>
      <c r="H70" s="294" t="s">
        <v>137</v>
      </c>
      <c r="I70" s="294" t="s">
        <v>138</v>
      </c>
    </row>
    <row r="71" spans="1:9" customFormat="1" ht="20.100000000000001" customHeight="1" x14ac:dyDescent="0.2">
      <c r="A71" s="291"/>
      <c r="B71" s="292"/>
      <c r="C71" s="294" t="s">
        <v>198</v>
      </c>
      <c r="D71" s="294" t="s">
        <v>1024</v>
      </c>
      <c r="E71" s="294" t="s">
        <v>196</v>
      </c>
      <c r="F71" s="294" t="s">
        <v>199</v>
      </c>
      <c r="G71" s="294" t="s">
        <v>136</v>
      </c>
      <c r="H71" s="294" t="s">
        <v>200</v>
      </c>
      <c r="I71" s="294" t="s">
        <v>201</v>
      </c>
    </row>
    <row r="72" spans="1:9" customFormat="1" ht="20.100000000000001" customHeight="1" x14ac:dyDescent="0.2">
      <c r="A72" s="287">
        <v>3</v>
      </c>
      <c r="B72" s="288" t="s">
        <v>1007</v>
      </c>
      <c r="C72" s="290" t="s">
        <v>1025</v>
      </c>
      <c r="D72" s="289" t="s">
        <v>1026</v>
      </c>
      <c r="E72" s="300"/>
      <c r="F72" s="300"/>
      <c r="G72" s="289" t="s">
        <v>1027</v>
      </c>
      <c r="H72" s="289" t="s">
        <v>1027</v>
      </c>
      <c r="I72" s="290" t="s">
        <v>250</v>
      </c>
    </row>
    <row r="73" spans="1:9" customFormat="1" ht="20.100000000000001" customHeight="1" x14ac:dyDescent="0.2">
      <c r="A73" s="287">
        <v>4</v>
      </c>
      <c r="B73" s="288" t="s">
        <v>261</v>
      </c>
      <c r="C73" s="288">
        <f>data!Q59</f>
        <v>1291845</v>
      </c>
      <c r="D73" s="296">
        <f>data!R59</f>
        <v>0</v>
      </c>
      <c r="E73" s="300"/>
      <c r="F73" s="300"/>
      <c r="G73" s="288">
        <f>data!U59</f>
        <v>603215</v>
      </c>
      <c r="H73" s="288">
        <f>data!V59</f>
        <v>0</v>
      </c>
      <c r="I73" s="288">
        <f>data!W59</f>
        <v>24359.9</v>
      </c>
    </row>
    <row r="74" spans="1:9" customFormat="1" ht="20.100000000000001" customHeight="1" x14ac:dyDescent="0.2">
      <c r="A74" s="287">
        <v>5</v>
      </c>
      <c r="B74" s="288" t="s">
        <v>262</v>
      </c>
      <c r="C74" s="295">
        <f>data!Q60</f>
        <v>23.403519230769234</v>
      </c>
      <c r="D74" s="295">
        <f>data!R60</f>
        <v>0</v>
      </c>
      <c r="E74" s="295">
        <f>data!S60</f>
        <v>10.786735576923078</v>
      </c>
      <c r="F74" s="295">
        <f>data!T60</f>
        <v>5.6676057692307698</v>
      </c>
      <c r="G74" s="295">
        <f>data!U60</f>
        <v>26.656865384615383</v>
      </c>
      <c r="H74" s="295">
        <f>data!V60</f>
        <v>5.5697740384615386</v>
      </c>
      <c r="I74" s="295">
        <f>data!W60</f>
        <v>2.7098894230769228</v>
      </c>
    </row>
    <row r="75" spans="1:9" customFormat="1" ht="20.100000000000001" customHeight="1" x14ac:dyDescent="0.2">
      <c r="A75" s="287">
        <v>6</v>
      </c>
      <c r="B75" s="288" t="s">
        <v>263</v>
      </c>
      <c r="C75" s="288">
        <f>data!Q61</f>
        <v>3646425.7100000009</v>
      </c>
      <c r="D75" s="288">
        <f>data!R61</f>
        <v>0</v>
      </c>
      <c r="E75" s="288">
        <f>data!S61</f>
        <v>654072.32000000007</v>
      </c>
      <c r="F75" s="288">
        <f>data!T61</f>
        <v>1046922.5700000001</v>
      </c>
      <c r="G75" s="288">
        <f>data!U61</f>
        <v>2445564.6399999997</v>
      </c>
      <c r="H75" s="288">
        <f>data!V61</f>
        <v>761896.26999999979</v>
      </c>
      <c r="I75" s="288">
        <f>data!W61</f>
        <v>484870.35000000003</v>
      </c>
    </row>
    <row r="76" spans="1:9" customFormat="1" ht="20.100000000000001" customHeight="1" x14ac:dyDescent="0.2">
      <c r="A76" s="287">
        <v>7</v>
      </c>
      <c r="B76" s="288" t="s">
        <v>11</v>
      </c>
      <c r="C76" s="288">
        <f>data!Q62</f>
        <v>822409</v>
      </c>
      <c r="D76" s="288">
        <f>data!R62</f>
        <v>0</v>
      </c>
      <c r="E76" s="288">
        <f>data!S62</f>
        <v>147646</v>
      </c>
      <c r="F76" s="288">
        <f>data!T62</f>
        <v>235988</v>
      </c>
      <c r="G76" s="288">
        <f>data!U62</f>
        <v>553009</v>
      </c>
      <c r="H76" s="288">
        <f>data!V62</f>
        <v>171740</v>
      </c>
      <c r="I76" s="288">
        <f>data!W62</f>
        <v>109295</v>
      </c>
    </row>
    <row r="77" spans="1:9" customFormat="1" ht="20.100000000000001" customHeight="1" x14ac:dyDescent="0.2">
      <c r="A77" s="287">
        <v>8</v>
      </c>
      <c r="B77" s="288" t="s">
        <v>264</v>
      </c>
      <c r="C77" s="288">
        <f>data!Q63</f>
        <v>0</v>
      </c>
      <c r="D77" s="288">
        <f>data!R63</f>
        <v>0</v>
      </c>
      <c r="E77" s="288">
        <f>data!S63</f>
        <v>0</v>
      </c>
      <c r="F77" s="288">
        <f>data!T63</f>
        <v>0</v>
      </c>
      <c r="G77" s="288">
        <f>data!U63</f>
        <v>32815.300000000003</v>
      </c>
      <c r="H77" s="288">
        <f>data!V63</f>
        <v>0</v>
      </c>
      <c r="I77" s="288">
        <f>data!W63</f>
        <v>0</v>
      </c>
    </row>
    <row r="78" spans="1:9" customFormat="1" ht="20.100000000000001" customHeight="1" x14ac:dyDescent="0.2">
      <c r="A78" s="287">
        <v>9</v>
      </c>
      <c r="B78" s="288" t="s">
        <v>265</v>
      </c>
      <c r="C78" s="288">
        <f>data!Q64</f>
        <v>216701.35</v>
      </c>
      <c r="D78" s="288">
        <f>data!R64</f>
        <v>0</v>
      </c>
      <c r="E78" s="288">
        <f>data!S64</f>
        <v>-13342.899999999983</v>
      </c>
      <c r="F78" s="288">
        <f>data!T64</f>
        <v>361502.04</v>
      </c>
      <c r="G78" s="288">
        <f>data!U64</f>
        <v>1716224.66</v>
      </c>
      <c r="H78" s="288">
        <f>data!V64</f>
        <v>174567.37</v>
      </c>
      <c r="I78" s="288">
        <f>data!W64</f>
        <v>26476.379999999997</v>
      </c>
    </row>
    <row r="79" spans="1:9" customFormat="1" ht="20.100000000000001" customHeight="1" x14ac:dyDescent="0.2">
      <c r="A79" s="287">
        <v>10</v>
      </c>
      <c r="B79" s="288" t="s">
        <v>525</v>
      </c>
      <c r="C79" s="288">
        <f>data!Q65</f>
        <v>744.24</v>
      </c>
      <c r="D79" s="288">
        <f>data!R65</f>
        <v>0</v>
      </c>
      <c r="E79" s="288">
        <f>data!S65</f>
        <v>0</v>
      </c>
      <c r="F79" s="288">
        <f>data!T65</f>
        <v>0</v>
      </c>
      <c r="G79" s="288">
        <f>data!U65</f>
        <v>522.49</v>
      </c>
      <c r="H79" s="288">
        <f>data!V65</f>
        <v>842.26</v>
      </c>
      <c r="I79" s="288">
        <f>data!W65</f>
        <v>109.04</v>
      </c>
    </row>
    <row r="80" spans="1:9" customFormat="1" ht="20.100000000000001" customHeight="1" x14ac:dyDescent="0.2">
      <c r="A80" s="287">
        <v>11</v>
      </c>
      <c r="B80" s="288" t="s">
        <v>526</v>
      </c>
      <c r="C80" s="288">
        <f>data!Q66</f>
        <v>26492.59</v>
      </c>
      <c r="D80" s="288">
        <f>data!R66</f>
        <v>0</v>
      </c>
      <c r="E80" s="288">
        <f>data!S66</f>
        <v>6010.05</v>
      </c>
      <c r="F80" s="288">
        <f>data!T66</f>
        <v>99.42</v>
      </c>
      <c r="G80" s="288">
        <f>data!U66</f>
        <v>531487.30999999994</v>
      </c>
      <c r="H80" s="288">
        <f>data!V66</f>
        <v>31788.42</v>
      </c>
      <c r="I80" s="288">
        <f>data!W66</f>
        <v>12925.09</v>
      </c>
    </row>
    <row r="81" spans="1:9" customFormat="1" ht="20.100000000000001" customHeight="1" x14ac:dyDescent="0.2">
      <c r="A81" s="287">
        <v>12</v>
      </c>
      <c r="B81" s="288" t="s">
        <v>16</v>
      </c>
      <c r="C81" s="288">
        <f>data!Q67</f>
        <v>23241</v>
      </c>
      <c r="D81" s="288">
        <f>data!R67</f>
        <v>0</v>
      </c>
      <c r="E81" s="288">
        <f>data!S67</f>
        <v>105505</v>
      </c>
      <c r="F81" s="288">
        <f>data!T67</f>
        <v>15717</v>
      </c>
      <c r="G81" s="288">
        <f>data!U67</f>
        <v>146803</v>
      </c>
      <c r="H81" s="288">
        <f>data!V67</f>
        <v>59170</v>
      </c>
      <c r="I81" s="288">
        <f>data!W67</f>
        <v>0</v>
      </c>
    </row>
    <row r="82" spans="1:9" customFormat="1" ht="20.100000000000001" customHeight="1" x14ac:dyDescent="0.2">
      <c r="A82" s="287">
        <v>13</v>
      </c>
      <c r="B82" s="288" t="s">
        <v>1008</v>
      </c>
      <c r="C82" s="288">
        <f>data!Q68</f>
        <v>1174.45</v>
      </c>
      <c r="D82" s="288">
        <f>data!R68</f>
        <v>0</v>
      </c>
      <c r="E82" s="288">
        <f>data!S68</f>
        <v>-1549.2400000000002</v>
      </c>
      <c r="F82" s="288">
        <f>data!T68</f>
        <v>0</v>
      </c>
      <c r="G82" s="288">
        <f>data!U68</f>
        <v>104885.89</v>
      </c>
      <c r="H82" s="288">
        <f>data!V68</f>
        <v>62906.69</v>
      </c>
      <c r="I82" s="288">
        <f>data!W68</f>
        <v>163.52000000000001</v>
      </c>
    </row>
    <row r="83" spans="1:9" customFormat="1" ht="20.100000000000001" customHeight="1" x14ac:dyDescent="0.2">
      <c r="A83" s="287">
        <v>14</v>
      </c>
      <c r="B83" s="288" t="s">
        <v>1009</v>
      </c>
      <c r="C83" s="288">
        <f>data!Q69</f>
        <v>121249.66</v>
      </c>
      <c r="D83" s="288">
        <f>data!R69</f>
        <v>0</v>
      </c>
      <c r="E83" s="288">
        <f>data!S69</f>
        <v>52814.509999999995</v>
      </c>
      <c r="F83" s="288">
        <f>data!T69</f>
        <v>540</v>
      </c>
      <c r="G83" s="288">
        <f>data!U69</f>
        <v>1488290.6900000002</v>
      </c>
      <c r="H83" s="288">
        <f>data!V69</f>
        <v>33677.160000000003</v>
      </c>
      <c r="I83" s="288">
        <f>data!W69</f>
        <v>305346.05</v>
      </c>
    </row>
    <row r="84" spans="1:9" customFormat="1" ht="20.100000000000001" customHeight="1" x14ac:dyDescent="0.2">
      <c r="A84" s="287">
        <v>15</v>
      </c>
      <c r="B84" s="288" t="s">
        <v>284</v>
      </c>
      <c r="C84" s="288">
        <f>-data!Q84</f>
        <v>0</v>
      </c>
      <c r="D84" s="288">
        <f>-data!R84</f>
        <v>0</v>
      </c>
      <c r="E84" s="288">
        <f>-data!S84</f>
        <v>-670</v>
      </c>
      <c r="F84" s="288">
        <f>-data!T84</f>
        <v>0</v>
      </c>
      <c r="G84" s="288">
        <f>-data!U84</f>
        <v>-17922.34</v>
      </c>
      <c r="H84" s="288">
        <f>-data!V84</f>
        <v>0</v>
      </c>
      <c r="I84" s="288">
        <f>-data!W84</f>
        <v>0</v>
      </c>
    </row>
    <row r="85" spans="1:9" customFormat="1" ht="20.100000000000001" customHeight="1" x14ac:dyDescent="0.2">
      <c r="A85" s="287">
        <v>16</v>
      </c>
      <c r="B85" s="296" t="s">
        <v>1010</v>
      </c>
      <c r="C85" s="288">
        <f>data!Q85</f>
        <v>4858438.0000000009</v>
      </c>
      <c r="D85" s="288">
        <f>data!R85</f>
        <v>0</v>
      </c>
      <c r="E85" s="288">
        <f>data!S85</f>
        <v>950485.74000000011</v>
      </c>
      <c r="F85" s="288">
        <f>data!T85</f>
        <v>1660769.03</v>
      </c>
      <c r="G85" s="288">
        <f>data!U85</f>
        <v>7001680.6399999997</v>
      </c>
      <c r="H85" s="288">
        <f>data!V85</f>
        <v>1296588.1699999995</v>
      </c>
      <c r="I85" s="288">
        <f>data!W85</f>
        <v>939185.43000000017</v>
      </c>
    </row>
    <row r="86" spans="1:9" customFormat="1" ht="20.100000000000001" customHeight="1" x14ac:dyDescent="0.2">
      <c r="A86" s="287">
        <v>17</v>
      </c>
      <c r="B86" s="288" t="s">
        <v>286</v>
      </c>
      <c r="C86" s="298"/>
      <c r="D86" s="298"/>
      <c r="E86" s="298"/>
      <c r="F86" s="298"/>
      <c r="G86" s="298"/>
      <c r="H86" s="298"/>
      <c r="I86" s="298"/>
    </row>
    <row r="87" spans="1:9" customFormat="1" ht="20.100000000000001" customHeight="1" x14ac:dyDescent="0.2">
      <c r="A87" s="287">
        <v>18</v>
      </c>
      <c r="B87" s="288" t="s">
        <v>1011</v>
      </c>
      <c r="C87" s="296">
        <f>+data!M682</f>
        <v>1414885</v>
      </c>
      <c r="D87" s="296">
        <f>+data!M683</f>
        <v>0</v>
      </c>
      <c r="E87" s="296">
        <f>+data!M684</f>
        <v>786756</v>
      </c>
      <c r="F87" s="296">
        <f>+data!M685</f>
        <v>398128</v>
      </c>
      <c r="G87" s="296">
        <f>+data!M686</f>
        <v>3112459</v>
      </c>
      <c r="H87" s="296">
        <f>+data!M687</f>
        <v>526920</v>
      </c>
      <c r="I87" s="296">
        <f>+data!M688</f>
        <v>465558</v>
      </c>
    </row>
    <row r="88" spans="1:9" customFormat="1" ht="20.100000000000001" customHeight="1" x14ac:dyDescent="0.2">
      <c r="A88" s="287">
        <v>19</v>
      </c>
      <c r="B88" s="296" t="s">
        <v>1012</v>
      </c>
      <c r="C88" s="288">
        <f>data!Q87</f>
        <v>9242997.3599999994</v>
      </c>
      <c r="D88" s="288">
        <f>data!R87</f>
        <v>0</v>
      </c>
      <c r="E88" s="288">
        <f>data!S87</f>
        <v>-782.56</v>
      </c>
      <c r="F88" s="288">
        <f>data!T87</f>
        <v>8184572.1600000001</v>
      </c>
      <c r="G88" s="288">
        <f>data!U87</f>
        <v>56326375.539999999</v>
      </c>
      <c r="H88" s="288">
        <f>data!V87</f>
        <v>15358051.57</v>
      </c>
      <c r="I88" s="288">
        <f>data!W87</f>
        <v>7294488.1200000001</v>
      </c>
    </row>
    <row r="89" spans="1:9" customFormat="1" ht="20.100000000000001" customHeight="1" x14ac:dyDescent="0.2">
      <c r="A89" s="287">
        <v>20</v>
      </c>
      <c r="B89" s="296" t="s">
        <v>1013</v>
      </c>
      <c r="C89" s="288">
        <f>data!Q88</f>
        <v>18938714.91</v>
      </c>
      <c r="D89" s="288">
        <f>data!R88</f>
        <v>0</v>
      </c>
      <c r="E89" s="288">
        <f>data!S88</f>
        <v>0</v>
      </c>
      <c r="F89" s="288">
        <f>data!T88</f>
        <v>413704.54999999993</v>
      </c>
      <c r="G89" s="288">
        <f>data!U88</f>
        <v>43394245.579999998</v>
      </c>
      <c r="H89" s="288">
        <f>data!V88</f>
        <v>8272757.2399999984</v>
      </c>
      <c r="I89" s="288">
        <f>data!W88</f>
        <v>15326665.210000001</v>
      </c>
    </row>
    <row r="90" spans="1:9" customFormat="1" ht="20.100000000000001" customHeight="1" x14ac:dyDescent="0.2">
      <c r="A90" s="287">
        <v>21</v>
      </c>
      <c r="B90" s="296" t="s">
        <v>1014</v>
      </c>
      <c r="C90" s="288">
        <f>data!Q89</f>
        <v>28181712.27</v>
      </c>
      <c r="D90" s="288">
        <f>data!R89</f>
        <v>0</v>
      </c>
      <c r="E90" s="288">
        <f>data!S89</f>
        <v>-782.56</v>
      </c>
      <c r="F90" s="288">
        <f>data!T89</f>
        <v>8598276.7100000009</v>
      </c>
      <c r="G90" s="288">
        <f>data!U89</f>
        <v>99720621.120000005</v>
      </c>
      <c r="H90" s="288">
        <f>data!V89</f>
        <v>23630808.809999999</v>
      </c>
      <c r="I90" s="288">
        <f>data!W89</f>
        <v>22621153.330000002</v>
      </c>
    </row>
    <row r="91" spans="1:9" customFormat="1" ht="20.100000000000001" customHeight="1" x14ac:dyDescent="0.2">
      <c r="A91" s="287" t="s">
        <v>1015</v>
      </c>
      <c r="B91" s="288"/>
      <c r="C91" s="298"/>
      <c r="D91" s="298"/>
      <c r="E91" s="298"/>
      <c r="F91" s="298"/>
      <c r="G91" s="298"/>
      <c r="H91" s="298"/>
      <c r="I91" s="298"/>
    </row>
    <row r="92" spans="1:9" customFormat="1" ht="20.100000000000001" customHeight="1" x14ac:dyDescent="0.2">
      <c r="A92" s="287">
        <v>22</v>
      </c>
      <c r="B92" s="288" t="s">
        <v>1016</v>
      </c>
      <c r="C92" s="288">
        <f>data!Q90</f>
        <v>1238</v>
      </c>
      <c r="D92" s="288">
        <f>data!R90</f>
        <v>0</v>
      </c>
      <c r="E92" s="288">
        <f>data!S90</f>
        <v>5572</v>
      </c>
      <c r="F92" s="288">
        <f>data!T90</f>
        <v>0</v>
      </c>
      <c r="G92" s="288">
        <f>data!U90</f>
        <v>6711</v>
      </c>
      <c r="H92" s="288">
        <f>data!V90</f>
        <v>0</v>
      </c>
      <c r="I92" s="288">
        <f>data!W90</f>
        <v>0</v>
      </c>
    </row>
    <row r="93" spans="1:9" customFormat="1" ht="20.100000000000001" customHeight="1" x14ac:dyDescent="0.2">
      <c r="A93" s="287">
        <v>23</v>
      </c>
      <c r="B93" s="288" t="s">
        <v>1017</v>
      </c>
      <c r="C93" s="288">
        <f>data!Q91</f>
        <v>0</v>
      </c>
      <c r="D93" s="288">
        <f>data!R91</f>
        <v>0</v>
      </c>
      <c r="E93" s="288">
        <f>data!S91</f>
        <v>0</v>
      </c>
      <c r="F93" s="288">
        <f>data!T91</f>
        <v>0</v>
      </c>
      <c r="G93" s="288">
        <f>data!U91</f>
        <v>0</v>
      </c>
      <c r="H93" s="288">
        <f>data!V91</f>
        <v>0</v>
      </c>
      <c r="I93" s="288">
        <f>data!W91</f>
        <v>0</v>
      </c>
    </row>
    <row r="94" spans="1:9" customFormat="1" ht="20.100000000000001" customHeight="1" x14ac:dyDescent="0.2">
      <c r="A94" s="287">
        <v>24</v>
      </c>
      <c r="B94" s="288" t="s">
        <v>1018</v>
      </c>
      <c r="C94" s="288">
        <f>data!Q92</f>
        <v>453.7947666308425</v>
      </c>
      <c r="D94" s="288">
        <f>data!R92</f>
        <v>0</v>
      </c>
      <c r="E94" s="288">
        <f>data!S92</f>
        <v>2042.4430045775885</v>
      </c>
      <c r="F94" s="288">
        <f>data!T92</f>
        <v>0</v>
      </c>
      <c r="G94" s="288">
        <f>data!U92</f>
        <v>1977.8103018237066</v>
      </c>
      <c r="H94" s="288">
        <f>data!V92</f>
        <v>0</v>
      </c>
      <c r="I94" s="288">
        <f>data!W92</f>
        <v>0</v>
      </c>
    </row>
    <row r="95" spans="1:9" customFormat="1" ht="20.100000000000001" customHeight="1" x14ac:dyDescent="0.2">
      <c r="A95" s="287">
        <v>25</v>
      </c>
      <c r="B95" s="288" t="s">
        <v>1019</v>
      </c>
      <c r="C95" s="288">
        <f>data!Q93</f>
        <v>6687.29</v>
      </c>
      <c r="D95" s="288">
        <f>data!R93</f>
        <v>0</v>
      </c>
      <c r="E95" s="288">
        <f>data!S93</f>
        <v>0</v>
      </c>
      <c r="F95" s="288">
        <f>data!T93</f>
        <v>0</v>
      </c>
      <c r="G95" s="288">
        <f>data!U93</f>
        <v>0</v>
      </c>
      <c r="H95" s="288">
        <f>data!V93</f>
        <v>0</v>
      </c>
      <c r="I95" s="288">
        <f>data!W93</f>
        <v>32236.5</v>
      </c>
    </row>
    <row r="96" spans="1:9" customFormat="1" ht="20.100000000000001" customHeight="1" x14ac:dyDescent="0.2">
      <c r="A96" s="287">
        <v>26</v>
      </c>
      <c r="B96" s="288" t="s">
        <v>294</v>
      </c>
      <c r="C96" s="295">
        <f>data!Q94</f>
        <v>19.541807692307692</v>
      </c>
      <c r="D96" s="295">
        <f>data!R94</f>
        <v>0</v>
      </c>
      <c r="E96" s="295">
        <f>data!S94</f>
        <v>8.2432692307692318E-2</v>
      </c>
      <c r="F96" s="295">
        <f>data!T94</f>
        <v>5.4692500000000006</v>
      </c>
      <c r="G96" s="295">
        <f>data!U94</f>
        <v>0</v>
      </c>
      <c r="H96" s="295">
        <f>data!V94</f>
        <v>1.0035865384615386</v>
      </c>
      <c r="I96" s="295">
        <f>data!W94</f>
        <v>0</v>
      </c>
    </row>
    <row r="97" spans="1:9" customFormat="1" ht="20.100000000000001" customHeight="1" x14ac:dyDescent="0.2">
      <c r="A97" s="281" t="s">
        <v>1001</v>
      </c>
      <c r="B97" s="282"/>
      <c r="C97" s="282"/>
      <c r="D97" s="282"/>
      <c r="E97" s="282"/>
      <c r="F97" s="282"/>
      <c r="G97" s="282"/>
      <c r="H97" s="282"/>
      <c r="I97" s="281"/>
    </row>
    <row r="98" spans="1:9" customFormat="1" ht="20.100000000000001" customHeight="1" x14ac:dyDescent="0.2">
      <c r="D98" s="283"/>
      <c r="I98" s="284" t="s">
        <v>1028</v>
      </c>
    </row>
    <row r="99" spans="1:9" customFormat="1" ht="20.100000000000001" customHeight="1" x14ac:dyDescent="0.2">
      <c r="A99" s="283"/>
    </row>
    <row r="100" spans="1:9" customFormat="1" ht="20.100000000000001" customHeight="1" x14ac:dyDescent="0.2">
      <c r="A100" s="285" t="str">
        <f>"Hospital: "&amp;data!C98</f>
        <v>Hospital: St. Francis Hospital</v>
      </c>
      <c r="G100" s="286"/>
      <c r="H100" s="285" t="str">
        <f>"FYE: "&amp;data!C96</f>
        <v>FYE: 6/30/2024</v>
      </c>
    </row>
    <row r="101" spans="1:9" customFormat="1" ht="20.100000000000001" customHeight="1" x14ac:dyDescent="0.2">
      <c r="A101" s="287">
        <v>1</v>
      </c>
      <c r="B101" s="288" t="s">
        <v>236</v>
      </c>
      <c r="C101" s="290" t="s">
        <v>57</v>
      </c>
      <c r="D101" s="290" t="s">
        <v>58</v>
      </c>
      <c r="E101" s="290" t="s">
        <v>59</v>
      </c>
      <c r="F101" s="290" t="s">
        <v>60</v>
      </c>
      <c r="G101" s="290" t="s">
        <v>61</v>
      </c>
      <c r="H101" s="290" t="s">
        <v>62</v>
      </c>
      <c r="I101" s="290" t="s">
        <v>63</v>
      </c>
    </row>
    <row r="102" spans="1:9" customFormat="1" ht="20.100000000000001" customHeight="1" x14ac:dyDescent="0.2">
      <c r="A102" s="291">
        <v>2</v>
      </c>
      <c r="B102" s="292" t="s">
        <v>1003</v>
      </c>
      <c r="C102" s="294" t="s">
        <v>1029</v>
      </c>
      <c r="D102" s="294" t="s">
        <v>1030</v>
      </c>
      <c r="E102" s="294" t="s">
        <v>1030</v>
      </c>
      <c r="F102" s="294" t="s">
        <v>141</v>
      </c>
      <c r="G102" s="294"/>
      <c r="H102" s="294" t="s">
        <v>143</v>
      </c>
      <c r="I102" s="294"/>
    </row>
    <row r="103" spans="1:9" customFormat="1" ht="20.100000000000001" customHeight="1" x14ac:dyDescent="0.2">
      <c r="A103" s="291"/>
      <c r="B103" s="292"/>
      <c r="C103" s="294" t="s">
        <v>202</v>
      </c>
      <c r="D103" s="294" t="s">
        <v>203</v>
      </c>
      <c r="E103" s="294" t="s">
        <v>204</v>
      </c>
      <c r="F103" s="294" t="s">
        <v>205</v>
      </c>
      <c r="G103" s="294" t="s">
        <v>142</v>
      </c>
      <c r="H103" s="294" t="s">
        <v>199</v>
      </c>
      <c r="I103" s="294" t="s">
        <v>144</v>
      </c>
    </row>
    <row r="104" spans="1:9" customFormat="1" ht="20.100000000000001" customHeight="1" x14ac:dyDescent="0.2">
      <c r="A104" s="287">
        <v>3</v>
      </c>
      <c r="B104" s="288" t="s">
        <v>1007</v>
      </c>
      <c r="C104" s="289" t="s">
        <v>251</v>
      </c>
      <c r="D104" s="290" t="s">
        <v>1031</v>
      </c>
      <c r="E104" s="290" t="s">
        <v>1031</v>
      </c>
      <c r="F104" s="290" t="s">
        <v>1031</v>
      </c>
      <c r="G104" s="300"/>
      <c r="H104" s="290" t="s">
        <v>253</v>
      </c>
      <c r="I104" s="290" t="s">
        <v>254</v>
      </c>
    </row>
    <row r="105" spans="1:9" customFormat="1" ht="20.100000000000001" customHeight="1" x14ac:dyDescent="0.2">
      <c r="A105" s="287">
        <v>4</v>
      </c>
      <c r="B105" s="288" t="s">
        <v>261</v>
      </c>
      <c r="C105" s="288">
        <f>data!X59</f>
        <v>26551.399999999998</v>
      </c>
      <c r="D105" s="288">
        <f>data!Y59</f>
        <v>26583.960000000003</v>
      </c>
      <c r="E105" s="288">
        <f>data!Z59</f>
        <v>423545.5</v>
      </c>
      <c r="F105" s="288">
        <f>data!AA59</f>
        <v>3361</v>
      </c>
      <c r="G105" s="300"/>
      <c r="H105" s="288">
        <f>data!AC59</f>
        <v>77243.8</v>
      </c>
      <c r="I105" s="288">
        <f>data!AD59</f>
        <v>0</v>
      </c>
    </row>
    <row r="106" spans="1:9" customFormat="1" ht="20.100000000000001" customHeight="1" x14ac:dyDescent="0.2">
      <c r="A106" s="287">
        <v>5</v>
      </c>
      <c r="B106" s="288" t="s">
        <v>262</v>
      </c>
      <c r="C106" s="295">
        <f>data!X60</f>
        <v>5.9234375000000004</v>
      </c>
      <c r="D106" s="295">
        <f>data!Y60</f>
        <v>32.78246153846154</v>
      </c>
      <c r="E106" s="295">
        <f>data!Z60</f>
        <v>6.0322355769230764</v>
      </c>
      <c r="F106" s="295">
        <f>data!AA60</f>
        <v>2.3363750000000003</v>
      </c>
      <c r="G106" s="295">
        <f>data!AB60</f>
        <v>26.662096153846157</v>
      </c>
      <c r="H106" s="295">
        <f>data!AC60</f>
        <v>13.354014423076926</v>
      </c>
      <c r="I106" s="295">
        <f>data!AD60</f>
        <v>0</v>
      </c>
    </row>
    <row r="107" spans="1:9" customFormat="1" ht="20.100000000000001" customHeight="1" x14ac:dyDescent="0.2">
      <c r="A107" s="287">
        <v>6</v>
      </c>
      <c r="B107" s="288" t="s">
        <v>263</v>
      </c>
      <c r="C107" s="288">
        <f>data!X61</f>
        <v>862359.43</v>
      </c>
      <c r="D107" s="288">
        <f>data!Y61</f>
        <v>3903409.0100000002</v>
      </c>
      <c r="E107" s="288">
        <f>data!Z61</f>
        <v>921999.85000000021</v>
      </c>
      <c r="F107" s="288">
        <f>data!AA61</f>
        <v>312165.7699999999</v>
      </c>
      <c r="G107" s="288">
        <f>data!AB61</f>
        <v>3668490.15</v>
      </c>
      <c r="H107" s="288">
        <f>data!AC61</f>
        <v>1638060.9899999998</v>
      </c>
      <c r="I107" s="288">
        <f>data!AD61</f>
        <v>0</v>
      </c>
    </row>
    <row r="108" spans="1:9" customFormat="1" ht="20.100000000000001" customHeight="1" x14ac:dyDescent="0.2">
      <c r="A108" s="287">
        <v>7</v>
      </c>
      <c r="B108" s="288" t="s">
        <v>11</v>
      </c>
      <c r="C108" s="288">
        <f>data!X62</f>
        <v>194385</v>
      </c>
      <c r="D108" s="288">
        <f>data!Y62</f>
        <v>880014</v>
      </c>
      <c r="E108" s="288">
        <f>data!Z62</f>
        <v>207829</v>
      </c>
      <c r="F108" s="288">
        <f>data!AA62</f>
        <v>70366</v>
      </c>
      <c r="G108" s="288">
        <f>data!AB62</f>
        <v>827367</v>
      </c>
      <c r="H108" s="288">
        <f>data!AC62</f>
        <v>371572</v>
      </c>
      <c r="I108" s="288">
        <f>data!AD62</f>
        <v>0</v>
      </c>
    </row>
    <row r="109" spans="1:9" customFormat="1" ht="20.100000000000001" customHeight="1" x14ac:dyDescent="0.2">
      <c r="A109" s="287">
        <v>8</v>
      </c>
      <c r="B109" s="288" t="s">
        <v>264</v>
      </c>
      <c r="C109" s="288">
        <f>data!X63</f>
        <v>0</v>
      </c>
      <c r="D109" s="288">
        <f>data!Y63</f>
        <v>36062.5</v>
      </c>
      <c r="E109" s="288">
        <f>data!Z63</f>
        <v>0</v>
      </c>
      <c r="F109" s="288">
        <f>data!AA63</f>
        <v>0</v>
      </c>
      <c r="G109" s="288">
        <f>data!AB63</f>
        <v>0</v>
      </c>
      <c r="H109" s="288">
        <f>data!AC63</f>
        <v>270</v>
      </c>
      <c r="I109" s="288">
        <f>data!AD63</f>
        <v>0</v>
      </c>
    </row>
    <row r="110" spans="1:9" customFormat="1" ht="20.100000000000001" customHeight="1" x14ac:dyDescent="0.2">
      <c r="A110" s="287">
        <v>9</v>
      </c>
      <c r="B110" s="288" t="s">
        <v>265</v>
      </c>
      <c r="C110" s="288">
        <f>data!X64</f>
        <v>281963.38</v>
      </c>
      <c r="D110" s="288">
        <f>data!Y64</f>
        <v>196390.03</v>
      </c>
      <c r="E110" s="288">
        <f>data!Z64</f>
        <v>28906.010000000002</v>
      </c>
      <c r="F110" s="288">
        <f>data!AA64</f>
        <v>156257.57000000004</v>
      </c>
      <c r="G110" s="288">
        <f>data!AB64</f>
        <v>9295326.9599999953</v>
      </c>
      <c r="H110" s="288">
        <f>data!AC64</f>
        <v>405967.10000000003</v>
      </c>
      <c r="I110" s="288">
        <f>data!AD64</f>
        <v>0</v>
      </c>
    </row>
    <row r="111" spans="1:9" customFormat="1" ht="20.100000000000001" customHeight="1" x14ac:dyDescent="0.2">
      <c r="A111" s="287">
        <v>10</v>
      </c>
      <c r="B111" s="288" t="s">
        <v>525</v>
      </c>
      <c r="C111" s="288">
        <f>data!X65</f>
        <v>0</v>
      </c>
      <c r="D111" s="288">
        <f>data!Y65</f>
        <v>5607.89</v>
      </c>
      <c r="E111" s="288">
        <f>data!Z65</f>
        <v>711.44</v>
      </c>
      <c r="F111" s="288">
        <f>data!AA65</f>
        <v>196.04</v>
      </c>
      <c r="G111" s="288">
        <f>data!AB65</f>
        <v>3354.58</v>
      </c>
      <c r="H111" s="288">
        <f>data!AC65</f>
        <v>802.64</v>
      </c>
      <c r="I111" s="288">
        <f>data!AD65</f>
        <v>0</v>
      </c>
    </row>
    <row r="112" spans="1:9" customFormat="1" ht="20.100000000000001" customHeight="1" x14ac:dyDescent="0.2">
      <c r="A112" s="287">
        <v>11</v>
      </c>
      <c r="B112" s="288" t="s">
        <v>526</v>
      </c>
      <c r="C112" s="288">
        <f>data!X66</f>
        <v>24599.16</v>
      </c>
      <c r="D112" s="288">
        <f>data!Y66</f>
        <v>789891.96</v>
      </c>
      <c r="E112" s="288">
        <f>data!Z66</f>
        <v>1028039.07</v>
      </c>
      <c r="F112" s="288">
        <f>data!AA66</f>
        <v>362488.22</v>
      </c>
      <c r="G112" s="288">
        <f>data!AB66</f>
        <v>176758.82</v>
      </c>
      <c r="H112" s="288">
        <f>data!AC66</f>
        <v>40744.400000000001</v>
      </c>
      <c r="I112" s="288">
        <f>data!AD66</f>
        <v>1076145.94</v>
      </c>
    </row>
    <row r="113" spans="1:9" customFormat="1" ht="20.100000000000001" customHeight="1" x14ac:dyDescent="0.2">
      <c r="A113" s="287">
        <v>12</v>
      </c>
      <c r="B113" s="288" t="s">
        <v>16</v>
      </c>
      <c r="C113" s="288">
        <f>data!X67</f>
        <v>17308</v>
      </c>
      <c r="D113" s="288">
        <f>data!Y67</f>
        <v>745712</v>
      </c>
      <c r="E113" s="288">
        <f>data!Z67</f>
        <v>653037</v>
      </c>
      <c r="F113" s="288">
        <f>data!AA67</f>
        <v>17033</v>
      </c>
      <c r="G113" s="288">
        <f>data!AB67</f>
        <v>122860</v>
      </c>
      <c r="H113" s="288">
        <f>data!AC67</f>
        <v>64347</v>
      </c>
      <c r="I113" s="288">
        <f>data!AD67</f>
        <v>24225</v>
      </c>
    </row>
    <row r="114" spans="1:9" customFormat="1" ht="20.100000000000001" customHeight="1" x14ac:dyDescent="0.2">
      <c r="A114" s="287">
        <v>13</v>
      </c>
      <c r="B114" s="288" t="s">
        <v>1008</v>
      </c>
      <c r="C114" s="288">
        <f>data!X68</f>
        <v>335.74</v>
      </c>
      <c r="D114" s="288">
        <f>data!Y68</f>
        <v>308588.71000000002</v>
      </c>
      <c r="E114" s="288">
        <f>data!Z68</f>
        <v>2617.4499999999998</v>
      </c>
      <c r="F114" s="288">
        <f>data!AA68</f>
        <v>707.88</v>
      </c>
      <c r="G114" s="288">
        <f>data!AB68</f>
        <v>267786.19</v>
      </c>
      <c r="H114" s="288">
        <f>data!AC68</f>
        <v>4114.49</v>
      </c>
      <c r="I114" s="288">
        <f>data!AD68</f>
        <v>0</v>
      </c>
    </row>
    <row r="115" spans="1:9" customFormat="1" ht="20.100000000000001" customHeight="1" x14ac:dyDescent="0.2">
      <c r="A115" s="287">
        <v>14</v>
      </c>
      <c r="B115" s="288" t="s">
        <v>1009</v>
      </c>
      <c r="C115" s="288">
        <f>data!X69</f>
        <v>589785.1</v>
      </c>
      <c r="D115" s="288">
        <f>data!Y69</f>
        <v>171883.93</v>
      </c>
      <c r="E115" s="288">
        <f>data!Z69</f>
        <v>346089.41000000003</v>
      </c>
      <c r="F115" s="288">
        <f>data!AA69</f>
        <v>0</v>
      </c>
      <c r="G115" s="288">
        <f>data!AB69</f>
        <v>2235033.13</v>
      </c>
      <c r="H115" s="288">
        <f>data!AC69</f>
        <v>10834.91</v>
      </c>
      <c r="I115" s="288">
        <f>data!AD69</f>
        <v>0</v>
      </c>
    </row>
    <row r="116" spans="1:9" customFormat="1" ht="20.100000000000001" customHeight="1" x14ac:dyDescent="0.2">
      <c r="A116" s="287">
        <v>15</v>
      </c>
      <c r="B116" s="288" t="s">
        <v>284</v>
      </c>
      <c r="C116" s="288">
        <f>-data!X84</f>
        <v>0</v>
      </c>
      <c r="D116" s="288">
        <f>-data!Y84</f>
        <v>-4863.5</v>
      </c>
      <c r="E116" s="288">
        <f>-data!Z84</f>
        <v>0</v>
      </c>
      <c r="F116" s="288">
        <f>-data!AA84</f>
        <v>0</v>
      </c>
      <c r="G116" s="288">
        <f>-data!AB84</f>
        <v>-3369273.4800000004</v>
      </c>
      <c r="H116" s="288">
        <f>-data!AC84</f>
        <v>0</v>
      </c>
      <c r="I116" s="288">
        <f>-data!AD84</f>
        <v>0</v>
      </c>
    </row>
    <row r="117" spans="1:9" customFormat="1" ht="20.100000000000001" customHeight="1" x14ac:dyDescent="0.2">
      <c r="A117" s="287">
        <v>16</v>
      </c>
      <c r="B117" s="296" t="s">
        <v>1010</v>
      </c>
      <c r="C117" s="288">
        <f>data!X85</f>
        <v>1970735.81</v>
      </c>
      <c r="D117" s="288">
        <f>data!Y85</f>
        <v>7032696.5299999993</v>
      </c>
      <c r="E117" s="288">
        <f>data!Z85</f>
        <v>3189229.2300000004</v>
      </c>
      <c r="F117" s="288">
        <f>data!AA85</f>
        <v>919214.48</v>
      </c>
      <c r="G117" s="288">
        <f>data!AB85</f>
        <v>13227703.349999994</v>
      </c>
      <c r="H117" s="288">
        <f>data!AC85</f>
        <v>2536713.5300000003</v>
      </c>
      <c r="I117" s="288">
        <f>data!AD85</f>
        <v>1100370.94</v>
      </c>
    </row>
    <row r="118" spans="1:9" customFormat="1" ht="20.100000000000001" customHeight="1" x14ac:dyDescent="0.2">
      <c r="A118" s="287">
        <v>17</v>
      </c>
      <c r="B118" s="288" t="s">
        <v>286</v>
      </c>
      <c r="C118" s="298"/>
      <c r="D118" s="298"/>
      <c r="E118" s="298"/>
      <c r="F118" s="298"/>
      <c r="G118" s="298"/>
      <c r="H118" s="298"/>
      <c r="I118" s="298"/>
    </row>
    <row r="119" spans="1:9" customFormat="1" ht="20.100000000000001" customHeight="1" x14ac:dyDescent="0.2">
      <c r="A119" s="287">
        <v>18</v>
      </c>
      <c r="B119" s="288" t="s">
        <v>1011</v>
      </c>
      <c r="C119" s="296">
        <f>+data!M689</f>
        <v>3042763</v>
      </c>
      <c r="D119" s="296">
        <f>+data!M690</f>
        <v>4625350</v>
      </c>
      <c r="E119" s="296">
        <f>+data!M691</f>
        <v>832730</v>
      </c>
      <c r="F119" s="296">
        <f>+data!M692</f>
        <v>369113</v>
      </c>
      <c r="G119" s="296">
        <f>+data!M693</f>
        <v>5016045</v>
      </c>
      <c r="H119" s="296">
        <f>+data!M694</f>
        <v>1067691</v>
      </c>
      <c r="I119" s="296">
        <f>+data!M695</f>
        <v>180447</v>
      </c>
    </row>
    <row r="120" spans="1:9" customFormat="1" ht="20.100000000000001" customHeight="1" x14ac:dyDescent="0.2">
      <c r="A120" s="287">
        <v>19</v>
      </c>
      <c r="B120" s="296" t="s">
        <v>1012</v>
      </c>
      <c r="C120" s="288">
        <f>data!X87</f>
        <v>57626607.169999994</v>
      </c>
      <c r="D120" s="288">
        <f>data!Y87</f>
        <v>14762263.679999996</v>
      </c>
      <c r="E120" s="288">
        <f>data!Z87</f>
        <v>282138.32</v>
      </c>
      <c r="F120" s="288">
        <f>data!AA87</f>
        <v>2138665.9900000002</v>
      </c>
      <c r="G120" s="288">
        <f>data!AB87</f>
        <v>101768270.36999999</v>
      </c>
      <c r="H120" s="288">
        <f>data!AC87</f>
        <v>32535890.250000004</v>
      </c>
      <c r="I120" s="288">
        <f>data!AD87</f>
        <v>4433093.42</v>
      </c>
    </row>
    <row r="121" spans="1:9" customFormat="1" ht="20.100000000000001" customHeight="1" x14ac:dyDescent="0.2">
      <c r="A121" s="287">
        <v>20</v>
      </c>
      <c r="B121" s="296" t="s">
        <v>1013</v>
      </c>
      <c r="C121" s="288">
        <f>data!X88</f>
        <v>119425945.37000002</v>
      </c>
      <c r="D121" s="288">
        <f>data!Y88</f>
        <v>42637825.380000003</v>
      </c>
      <c r="E121" s="288">
        <f>data!Z88</f>
        <v>30380788.079999998</v>
      </c>
      <c r="F121" s="288">
        <f>data!AA88</f>
        <v>9164743.8000000007</v>
      </c>
      <c r="G121" s="288">
        <f>data!AB88</f>
        <v>92983794.86999999</v>
      </c>
      <c r="H121" s="288">
        <f>data!AC88</f>
        <v>8247042.1400000006</v>
      </c>
      <c r="I121" s="288">
        <f>data!AD88</f>
        <v>116665.21999999999</v>
      </c>
    </row>
    <row r="122" spans="1:9" customFormat="1" ht="20.100000000000001" customHeight="1" x14ac:dyDescent="0.2">
      <c r="A122" s="287">
        <v>21</v>
      </c>
      <c r="B122" s="296" t="s">
        <v>1014</v>
      </c>
      <c r="C122" s="288">
        <f>data!X89</f>
        <v>177052552.54000002</v>
      </c>
      <c r="D122" s="288">
        <f>data!Y89</f>
        <v>57400089.060000002</v>
      </c>
      <c r="E122" s="288">
        <f>data!Z89</f>
        <v>30662926.399999999</v>
      </c>
      <c r="F122" s="288">
        <f>data!AA89</f>
        <v>11303409.790000001</v>
      </c>
      <c r="G122" s="288">
        <f>data!AB89</f>
        <v>194752065.23999998</v>
      </c>
      <c r="H122" s="288">
        <f>data!AC89</f>
        <v>40782932.390000001</v>
      </c>
      <c r="I122" s="288">
        <f>data!AD89</f>
        <v>4549758.6399999997</v>
      </c>
    </row>
    <row r="123" spans="1:9" customFormat="1" ht="20.100000000000001" customHeight="1" x14ac:dyDescent="0.2">
      <c r="A123" s="287" t="s">
        <v>1015</v>
      </c>
      <c r="B123" s="288"/>
      <c r="C123" s="298"/>
      <c r="D123" s="298"/>
      <c r="E123" s="298"/>
      <c r="F123" s="298"/>
      <c r="G123" s="298"/>
      <c r="H123" s="298"/>
      <c r="I123" s="298"/>
    </row>
    <row r="124" spans="1:9" customFormat="1" ht="20.100000000000001" customHeight="1" x14ac:dyDescent="0.2">
      <c r="A124" s="287">
        <v>22</v>
      </c>
      <c r="B124" s="288" t="s">
        <v>1016</v>
      </c>
      <c r="C124" s="288">
        <f>data!X90</f>
        <v>787</v>
      </c>
      <c r="D124" s="288">
        <f>data!Y90</f>
        <v>24598.18</v>
      </c>
      <c r="E124" s="288">
        <f>data!Z90</f>
        <v>0</v>
      </c>
      <c r="F124" s="288">
        <f>data!AA90</f>
        <v>788</v>
      </c>
      <c r="G124" s="288">
        <f>data!AB90</f>
        <v>3720</v>
      </c>
      <c r="H124" s="288">
        <f>data!AC90</f>
        <v>1185</v>
      </c>
      <c r="I124" s="288">
        <f>data!AD90</f>
        <v>0</v>
      </c>
    </row>
    <row r="125" spans="1:9" customFormat="1" ht="20.100000000000001" customHeight="1" x14ac:dyDescent="0.2">
      <c r="A125" s="287">
        <v>23</v>
      </c>
      <c r="B125" s="288" t="s">
        <v>1017</v>
      </c>
      <c r="C125" s="288">
        <f>data!X91</f>
        <v>0</v>
      </c>
      <c r="D125" s="288">
        <f>data!Y91</f>
        <v>4</v>
      </c>
      <c r="E125" s="288">
        <f>data!Z91</f>
        <v>0</v>
      </c>
      <c r="F125" s="288">
        <f>data!AA91</f>
        <v>0</v>
      </c>
      <c r="G125" s="288">
        <f>data!AB91</f>
        <v>0</v>
      </c>
      <c r="H125" s="288">
        <f>data!AC91</f>
        <v>0</v>
      </c>
      <c r="I125" s="288">
        <f>data!AD91</f>
        <v>0</v>
      </c>
    </row>
    <row r="126" spans="1:9" customFormat="1" ht="20.100000000000001" customHeight="1" x14ac:dyDescent="0.2">
      <c r="A126" s="287">
        <v>24</v>
      </c>
      <c r="B126" s="288" t="s">
        <v>1018</v>
      </c>
      <c r="C126" s="288">
        <f>data!X92</f>
        <v>288.4785794333385</v>
      </c>
      <c r="D126" s="288">
        <f>data!Y92</f>
        <v>9016.5794447846984</v>
      </c>
      <c r="E126" s="288">
        <f>data!Z92</f>
        <v>0</v>
      </c>
      <c r="F126" s="288">
        <f>data!AA92</f>
        <v>288.8451341721356</v>
      </c>
      <c r="G126" s="288">
        <f>data!AB92</f>
        <v>1475.9665767204783</v>
      </c>
      <c r="H126" s="288">
        <f>data!AC92</f>
        <v>434.36736547459475</v>
      </c>
      <c r="I126" s="288">
        <f>data!AD92</f>
        <v>0</v>
      </c>
    </row>
    <row r="127" spans="1:9" customFormat="1" ht="20.100000000000001" customHeight="1" x14ac:dyDescent="0.2">
      <c r="A127" s="287">
        <v>25</v>
      </c>
      <c r="B127" s="288" t="s">
        <v>1019</v>
      </c>
      <c r="C127" s="288">
        <f>data!X93</f>
        <v>0</v>
      </c>
      <c r="D127" s="288">
        <f>data!Y93</f>
        <v>52619.68</v>
      </c>
      <c r="E127" s="288">
        <f>data!Z93</f>
        <v>0</v>
      </c>
      <c r="F127" s="288">
        <f>data!AA93</f>
        <v>0</v>
      </c>
      <c r="G127" s="288">
        <f>data!AB93</f>
        <v>0</v>
      </c>
      <c r="H127" s="288">
        <f>data!AC93</f>
        <v>0</v>
      </c>
      <c r="I127" s="288">
        <f>data!AD93</f>
        <v>0</v>
      </c>
    </row>
    <row r="128" spans="1:9" customFormat="1" ht="20.100000000000001" customHeight="1" x14ac:dyDescent="0.2">
      <c r="A128" s="287">
        <v>26</v>
      </c>
      <c r="B128" s="288" t="s">
        <v>294</v>
      </c>
      <c r="C128" s="295">
        <f>data!X94</f>
        <v>4.2052884615384617E-2</v>
      </c>
      <c r="D128" s="295">
        <f>data!Y94</f>
        <v>4.5336538461538461E-3</v>
      </c>
      <c r="E128" s="295">
        <f>data!Z94</f>
        <v>1.6432548076923079</v>
      </c>
      <c r="F128" s="295">
        <f>data!AA94</f>
        <v>0</v>
      </c>
      <c r="G128" s="295">
        <f>data!AB94</f>
        <v>6.1298076923076922E-3</v>
      </c>
      <c r="H128" s="295">
        <f>data!AC94</f>
        <v>0</v>
      </c>
      <c r="I128" s="295">
        <f>data!AD94</f>
        <v>0</v>
      </c>
    </row>
    <row r="129" spans="1:14" customFormat="1" ht="20.100000000000001" customHeight="1" x14ac:dyDescent="0.2">
      <c r="A129" s="281" t="s">
        <v>1001</v>
      </c>
      <c r="B129" s="282"/>
      <c r="C129" s="282"/>
      <c r="D129" s="282"/>
      <c r="E129" s="282"/>
      <c r="F129" s="282"/>
      <c r="G129" s="282"/>
      <c r="H129" s="282"/>
      <c r="I129" s="281"/>
    </row>
    <row r="130" spans="1:14" customFormat="1" ht="20.100000000000001" customHeight="1" x14ac:dyDescent="0.2">
      <c r="D130" s="283"/>
      <c r="I130" s="284" t="s">
        <v>1032</v>
      </c>
    </row>
    <row r="131" spans="1:14" customFormat="1" ht="20.100000000000001" customHeight="1" x14ac:dyDescent="0.2">
      <c r="A131" s="283"/>
    </row>
    <row r="132" spans="1:14" customFormat="1" ht="20.100000000000001" customHeight="1" x14ac:dyDescent="0.2">
      <c r="A132" s="285" t="str">
        <f>"Hospital: "&amp;data!C98</f>
        <v>Hospital: St. Francis Hospital</v>
      </c>
      <c r="G132" s="286"/>
      <c r="H132" s="285" t="str">
        <f>"FYE: "&amp;data!C96</f>
        <v>FYE: 6/30/2024</v>
      </c>
    </row>
    <row r="133" spans="1:14" customFormat="1" ht="20.100000000000001" customHeight="1" x14ac:dyDescent="0.2">
      <c r="A133" s="287">
        <v>1</v>
      </c>
      <c r="B133" s="288" t="s">
        <v>236</v>
      </c>
      <c r="C133" s="290" t="s">
        <v>64</v>
      </c>
      <c r="D133" s="290" t="s">
        <v>65</v>
      </c>
      <c r="E133" s="290" t="s">
        <v>66</v>
      </c>
      <c r="F133" s="290" t="s">
        <v>67</v>
      </c>
      <c r="G133" s="290" t="s">
        <v>68</v>
      </c>
      <c r="H133" s="290" t="s">
        <v>69</v>
      </c>
      <c r="I133" s="290" t="s">
        <v>70</v>
      </c>
    </row>
    <row r="134" spans="1:14" customFormat="1" ht="20.100000000000001" customHeight="1" x14ac:dyDescent="0.2">
      <c r="A134" s="291">
        <v>2</v>
      </c>
      <c r="B134" s="292" t="s">
        <v>1003</v>
      </c>
      <c r="C134" s="294" t="s">
        <v>122</v>
      </c>
      <c r="D134" s="294" t="s">
        <v>123</v>
      </c>
      <c r="E134" s="294" t="s">
        <v>145</v>
      </c>
      <c r="F134" s="294"/>
      <c r="G134" s="294" t="s">
        <v>1033</v>
      </c>
      <c r="H134" s="294"/>
      <c r="I134" s="294" t="s">
        <v>149</v>
      </c>
    </row>
    <row r="135" spans="1:14" customFormat="1" ht="20.100000000000001" customHeight="1" x14ac:dyDescent="0.2">
      <c r="A135" s="291"/>
      <c r="B135" s="292"/>
      <c r="C135" s="294" t="s">
        <v>199</v>
      </c>
      <c r="D135" s="294" t="s">
        <v>206</v>
      </c>
      <c r="E135" s="294" t="s">
        <v>198</v>
      </c>
      <c r="F135" s="294" t="s">
        <v>146</v>
      </c>
      <c r="G135" s="294" t="s">
        <v>207</v>
      </c>
      <c r="H135" s="294" t="s">
        <v>148</v>
      </c>
      <c r="I135" s="294" t="s">
        <v>199</v>
      </c>
    </row>
    <row r="136" spans="1:14" customFormat="1" ht="20.100000000000001" customHeight="1" x14ac:dyDescent="0.2">
      <c r="A136" s="287">
        <v>3</v>
      </c>
      <c r="B136" s="288" t="s">
        <v>1007</v>
      </c>
      <c r="C136" s="290" t="s">
        <v>253</v>
      </c>
      <c r="D136" s="290" t="s">
        <v>255</v>
      </c>
      <c r="E136" s="290" t="s">
        <v>255</v>
      </c>
      <c r="F136" s="290" t="s">
        <v>256</v>
      </c>
      <c r="G136" s="289" t="s">
        <v>1034</v>
      </c>
      <c r="H136" s="290" t="s">
        <v>255</v>
      </c>
      <c r="I136" s="290" t="s">
        <v>253</v>
      </c>
    </row>
    <row r="137" spans="1:14" customFormat="1" ht="20.100000000000001" customHeight="1" x14ac:dyDescent="0.25">
      <c r="A137" s="287">
        <v>4</v>
      </c>
      <c r="B137" s="288" t="s">
        <v>261</v>
      </c>
      <c r="C137" s="288">
        <f>data!AE59</f>
        <v>23444</v>
      </c>
      <c r="D137" s="288">
        <f>data!AF59</f>
        <v>0</v>
      </c>
      <c r="E137" s="288">
        <f>data!AG59</f>
        <v>44351</v>
      </c>
      <c r="F137" s="288">
        <f>data!AH59</f>
        <v>0</v>
      </c>
      <c r="G137" s="288">
        <f>data!AI59</f>
        <v>0</v>
      </c>
      <c r="H137" s="288">
        <f>data!AJ59</f>
        <v>347764.98000000004</v>
      </c>
      <c r="I137" s="288">
        <f>data!AK59</f>
        <v>11749</v>
      </c>
      <c r="K137" s="299"/>
      <c r="L137" s="301"/>
      <c r="M137" s="301"/>
      <c r="N137" s="301"/>
    </row>
    <row r="138" spans="1:14" customFormat="1" ht="20.100000000000001" customHeight="1" x14ac:dyDescent="0.2">
      <c r="A138" s="287">
        <v>5</v>
      </c>
      <c r="B138" s="288" t="s">
        <v>262</v>
      </c>
      <c r="C138" s="295">
        <f>data!AE60</f>
        <v>6.3868701923076925</v>
      </c>
      <c r="D138" s="295">
        <f>data!AF60</f>
        <v>0</v>
      </c>
      <c r="E138" s="295">
        <f>data!AG60</f>
        <v>66.103245192307696</v>
      </c>
      <c r="F138" s="295">
        <f>data!AH60</f>
        <v>0</v>
      </c>
      <c r="G138" s="295">
        <f>data!AI60</f>
        <v>0</v>
      </c>
      <c r="H138" s="295">
        <f>data!AJ60</f>
        <v>396.56195192307683</v>
      </c>
      <c r="I138" s="295">
        <f>data!AK60</f>
        <v>2.729466346153846</v>
      </c>
    </row>
    <row r="139" spans="1:14" customFormat="1" ht="20.100000000000001" customHeight="1" x14ac:dyDescent="0.2">
      <c r="A139" s="287">
        <v>6</v>
      </c>
      <c r="B139" s="288" t="s">
        <v>263</v>
      </c>
      <c r="C139" s="288">
        <f>data!AE61</f>
        <v>872712.36999999988</v>
      </c>
      <c r="D139" s="288">
        <f>data!AF61</f>
        <v>0</v>
      </c>
      <c r="E139" s="288">
        <f>data!AG61</f>
        <v>7623712.1000000006</v>
      </c>
      <c r="F139" s="288">
        <f>data!AH61</f>
        <v>0</v>
      </c>
      <c r="G139" s="288">
        <f>data!AI61</f>
        <v>0</v>
      </c>
      <c r="H139" s="288">
        <f>data!AJ61</f>
        <v>49251679.329999976</v>
      </c>
      <c r="I139" s="288">
        <f>data!AK61</f>
        <v>298510.95</v>
      </c>
    </row>
    <row r="140" spans="1:14" customFormat="1" ht="20.100000000000001" customHeight="1" x14ac:dyDescent="0.2">
      <c r="A140" s="287">
        <v>7</v>
      </c>
      <c r="B140" s="288" t="s">
        <v>11</v>
      </c>
      <c r="C140" s="288">
        <f>data!AE62</f>
        <v>196719</v>
      </c>
      <c r="D140" s="288">
        <f>data!AF62</f>
        <v>0</v>
      </c>
      <c r="E140" s="288">
        <f>data!AG62</f>
        <v>1719115</v>
      </c>
      <c r="F140" s="288">
        <f>data!AH62</f>
        <v>0</v>
      </c>
      <c r="G140" s="288">
        <f>data!AI62</f>
        <v>0</v>
      </c>
      <c r="H140" s="288">
        <f>data!AJ62</f>
        <v>11101858</v>
      </c>
      <c r="I140" s="288">
        <f>data!AK62</f>
        <v>67288</v>
      </c>
    </row>
    <row r="141" spans="1:14" customFormat="1" ht="20.100000000000001" customHeight="1" x14ac:dyDescent="0.2">
      <c r="A141" s="287">
        <v>8</v>
      </c>
      <c r="B141" s="288" t="s">
        <v>264</v>
      </c>
      <c r="C141" s="288">
        <f>data!AE63</f>
        <v>0</v>
      </c>
      <c r="D141" s="288">
        <f>data!AF63</f>
        <v>0</v>
      </c>
      <c r="E141" s="288">
        <f>data!AG63</f>
        <v>728333.16000000015</v>
      </c>
      <c r="F141" s="288">
        <f>data!AH63</f>
        <v>0</v>
      </c>
      <c r="G141" s="288">
        <f>data!AI63</f>
        <v>0</v>
      </c>
      <c r="H141" s="288">
        <f>data!AJ63</f>
        <v>568165.9800000001</v>
      </c>
      <c r="I141" s="288">
        <f>data!AK63</f>
        <v>0</v>
      </c>
    </row>
    <row r="142" spans="1:14" customFormat="1" ht="20.100000000000001" customHeight="1" x14ac:dyDescent="0.2">
      <c r="A142" s="287">
        <v>9</v>
      </c>
      <c r="B142" s="288" t="s">
        <v>265</v>
      </c>
      <c r="C142" s="288">
        <f>data!AE64</f>
        <v>5496.94</v>
      </c>
      <c r="D142" s="288">
        <f>data!AF64</f>
        <v>0</v>
      </c>
      <c r="E142" s="288">
        <f>data!AG64</f>
        <v>1977900.8999999997</v>
      </c>
      <c r="F142" s="288">
        <f>data!AH64</f>
        <v>0</v>
      </c>
      <c r="G142" s="288">
        <f>data!AI64</f>
        <v>0</v>
      </c>
      <c r="H142" s="288">
        <f>data!AJ64</f>
        <v>2693840.7800000003</v>
      </c>
      <c r="I142" s="288">
        <f>data!AK64</f>
        <v>1977.76</v>
      </c>
    </row>
    <row r="143" spans="1:14" customFormat="1" ht="20.100000000000001" customHeight="1" x14ac:dyDescent="0.2">
      <c r="A143" s="287">
        <v>10</v>
      </c>
      <c r="B143" s="288" t="s">
        <v>525</v>
      </c>
      <c r="C143" s="288">
        <f>data!AE65</f>
        <v>2996.1</v>
      </c>
      <c r="D143" s="288">
        <f>data!AF65</f>
        <v>0</v>
      </c>
      <c r="E143" s="288">
        <f>data!AG65</f>
        <v>294.06</v>
      </c>
      <c r="F143" s="288">
        <f>data!AH65</f>
        <v>0</v>
      </c>
      <c r="G143" s="288">
        <f>data!AI65</f>
        <v>0</v>
      </c>
      <c r="H143" s="288">
        <f>data!AJ65</f>
        <v>80823.73</v>
      </c>
      <c r="I143" s="288">
        <f>data!AK65</f>
        <v>0</v>
      </c>
    </row>
    <row r="144" spans="1:14" customFormat="1" ht="20.100000000000001" customHeight="1" x14ac:dyDescent="0.2">
      <c r="A144" s="287">
        <v>11</v>
      </c>
      <c r="B144" s="288" t="s">
        <v>526</v>
      </c>
      <c r="C144" s="288">
        <f>data!AE66</f>
        <v>680.56999999999994</v>
      </c>
      <c r="D144" s="288">
        <f>data!AF66</f>
        <v>0</v>
      </c>
      <c r="E144" s="288">
        <f>data!AG66</f>
        <v>119866.69</v>
      </c>
      <c r="F144" s="288">
        <f>data!AH66</f>
        <v>0</v>
      </c>
      <c r="G144" s="288">
        <f>data!AI66</f>
        <v>0</v>
      </c>
      <c r="H144" s="288">
        <f>data!AJ66</f>
        <v>8175688.6300000008</v>
      </c>
      <c r="I144" s="288">
        <f>data!AK66</f>
        <v>0</v>
      </c>
    </row>
    <row r="145" spans="1:9" customFormat="1" ht="20.100000000000001" customHeight="1" x14ac:dyDescent="0.2">
      <c r="A145" s="287">
        <v>12</v>
      </c>
      <c r="B145" s="288" t="s">
        <v>16</v>
      </c>
      <c r="C145" s="288">
        <f>data!AE67</f>
        <v>181958</v>
      </c>
      <c r="D145" s="288">
        <f>data!AF67</f>
        <v>0</v>
      </c>
      <c r="E145" s="288">
        <f>data!AG67</f>
        <v>268753</v>
      </c>
      <c r="F145" s="288">
        <f>data!AH67</f>
        <v>0</v>
      </c>
      <c r="G145" s="288">
        <f>data!AI67</f>
        <v>0</v>
      </c>
      <c r="H145" s="288">
        <f>data!AJ67</f>
        <v>2141180</v>
      </c>
      <c r="I145" s="288">
        <f>data!AK67</f>
        <v>60727</v>
      </c>
    </row>
    <row r="146" spans="1:9" customFormat="1" ht="20.100000000000001" customHeight="1" x14ac:dyDescent="0.2">
      <c r="A146" s="287">
        <v>13</v>
      </c>
      <c r="B146" s="288" t="s">
        <v>1008</v>
      </c>
      <c r="C146" s="288">
        <f>data!AE68</f>
        <v>191221.08</v>
      </c>
      <c r="D146" s="288">
        <f>data!AF68</f>
        <v>0</v>
      </c>
      <c r="E146" s="288">
        <f>data!AG68</f>
        <v>54535.61</v>
      </c>
      <c r="F146" s="288">
        <f>data!AH68</f>
        <v>0</v>
      </c>
      <c r="G146" s="288">
        <f>data!AI68</f>
        <v>0</v>
      </c>
      <c r="H146" s="288">
        <f>data!AJ68</f>
        <v>5673350.9100000001</v>
      </c>
      <c r="I146" s="288">
        <f>data!AK68</f>
        <v>0</v>
      </c>
    </row>
    <row r="147" spans="1:9" customFormat="1" ht="20.100000000000001" customHeight="1" x14ac:dyDescent="0.2">
      <c r="A147" s="287">
        <v>14</v>
      </c>
      <c r="B147" s="288" t="s">
        <v>1009</v>
      </c>
      <c r="C147" s="288">
        <f>data!AE69</f>
        <v>40</v>
      </c>
      <c r="D147" s="288">
        <f>data!AF69</f>
        <v>0</v>
      </c>
      <c r="E147" s="288">
        <f>data!AG69</f>
        <v>178786.12</v>
      </c>
      <c r="F147" s="288">
        <f>data!AH69</f>
        <v>0</v>
      </c>
      <c r="G147" s="288">
        <f>data!AI69</f>
        <v>0</v>
      </c>
      <c r="H147" s="288">
        <f>data!AJ69</f>
        <v>4622814.9999999981</v>
      </c>
      <c r="I147" s="288">
        <f>data!AK69</f>
        <v>0</v>
      </c>
    </row>
    <row r="148" spans="1:9" customFormat="1" ht="20.100000000000001" customHeight="1" x14ac:dyDescent="0.2">
      <c r="A148" s="287">
        <v>15</v>
      </c>
      <c r="B148" s="288" t="s">
        <v>284</v>
      </c>
      <c r="C148" s="288">
        <f>-data!AE84</f>
        <v>0</v>
      </c>
      <c r="D148" s="288">
        <f>-data!AF84</f>
        <v>0</v>
      </c>
      <c r="E148" s="288">
        <f>-data!AG84</f>
        <v>3000</v>
      </c>
      <c r="F148" s="288">
        <f>-data!AH84</f>
        <v>0</v>
      </c>
      <c r="G148" s="288">
        <f>-data!AI84</f>
        <v>0</v>
      </c>
      <c r="H148" s="288">
        <f>-data!AJ84</f>
        <v>-712879.75</v>
      </c>
      <c r="I148" s="288">
        <f>-data!AK84</f>
        <v>0</v>
      </c>
    </row>
    <row r="149" spans="1:9" customFormat="1" ht="20.100000000000001" customHeight="1" x14ac:dyDescent="0.2">
      <c r="A149" s="287">
        <v>16</v>
      </c>
      <c r="B149" s="296" t="s">
        <v>1010</v>
      </c>
      <c r="C149" s="288">
        <f>data!AE85</f>
        <v>1451824.06</v>
      </c>
      <c r="D149" s="288">
        <f>data!AF85</f>
        <v>0</v>
      </c>
      <c r="E149" s="288">
        <f>data!AG85</f>
        <v>12674296.640000001</v>
      </c>
      <c r="F149" s="288">
        <f>data!AH85</f>
        <v>0</v>
      </c>
      <c r="G149" s="288">
        <f>data!AI85</f>
        <v>0</v>
      </c>
      <c r="H149" s="288">
        <f>data!AJ85</f>
        <v>83596522.60999997</v>
      </c>
      <c r="I149" s="288">
        <f>data!AK85</f>
        <v>428503.71</v>
      </c>
    </row>
    <row r="150" spans="1:9" customFormat="1" ht="20.100000000000001" customHeight="1" x14ac:dyDescent="0.2">
      <c r="A150" s="287">
        <v>17</v>
      </c>
      <c r="B150" s="288" t="s">
        <v>286</v>
      </c>
      <c r="C150" s="298"/>
      <c r="D150" s="298"/>
      <c r="E150" s="298"/>
      <c r="F150" s="298"/>
      <c r="G150" s="298"/>
      <c r="H150" s="298"/>
      <c r="I150" s="298"/>
    </row>
    <row r="151" spans="1:9" customFormat="1" ht="20.100000000000001" customHeight="1" x14ac:dyDescent="0.2">
      <c r="A151" s="287">
        <v>18</v>
      </c>
      <c r="B151" s="288" t="s">
        <v>1011</v>
      </c>
      <c r="C151" s="296">
        <f>+data!M696</f>
        <v>1417871</v>
      </c>
      <c r="D151" s="296">
        <f>+data!M697</f>
        <v>0</v>
      </c>
      <c r="E151" s="296">
        <f>+data!M698</f>
        <v>6927319</v>
      </c>
      <c r="F151" s="296">
        <f>+data!M699</f>
        <v>0</v>
      </c>
      <c r="G151" s="296">
        <f>+data!M700</f>
        <v>0</v>
      </c>
      <c r="H151" s="296">
        <f>+data!M701</f>
        <v>12384214</v>
      </c>
      <c r="I151" s="296">
        <f>+data!M702</f>
        <v>490943</v>
      </c>
    </row>
    <row r="152" spans="1:9" customFormat="1" ht="20.100000000000001" customHeight="1" x14ac:dyDescent="0.2">
      <c r="A152" s="287">
        <v>19</v>
      </c>
      <c r="B152" s="296" t="s">
        <v>1012</v>
      </c>
      <c r="C152" s="288">
        <f>data!AE87</f>
        <v>5018756.7500000009</v>
      </c>
      <c r="D152" s="288">
        <f>data!AF87</f>
        <v>0</v>
      </c>
      <c r="E152" s="288">
        <f>data!AG87</f>
        <v>52653603.459999993</v>
      </c>
      <c r="F152" s="288">
        <f>data!AH87</f>
        <v>0</v>
      </c>
      <c r="G152" s="288">
        <f>data!AI87</f>
        <v>0</v>
      </c>
      <c r="H152" s="288">
        <f>data!AJ87</f>
        <v>115445.70999999999</v>
      </c>
      <c r="I152" s="288">
        <f>data!AK87</f>
        <v>2824504.6199999996</v>
      </c>
    </row>
    <row r="153" spans="1:9" customFormat="1" ht="20.100000000000001" customHeight="1" x14ac:dyDescent="0.2">
      <c r="A153" s="287">
        <v>20</v>
      </c>
      <c r="B153" s="296" t="s">
        <v>1013</v>
      </c>
      <c r="C153" s="288">
        <f>data!AE88</f>
        <v>530947.92999999993</v>
      </c>
      <c r="D153" s="288">
        <f>data!AF88</f>
        <v>0</v>
      </c>
      <c r="E153" s="288">
        <f>data!AG88</f>
        <v>152115257.33999997</v>
      </c>
      <c r="F153" s="288">
        <f>data!AH88</f>
        <v>0</v>
      </c>
      <c r="G153" s="288">
        <f>data!AI88</f>
        <v>0</v>
      </c>
      <c r="H153" s="288">
        <f>data!AJ88</f>
        <v>136259496.48000002</v>
      </c>
      <c r="I153" s="288">
        <f>data!AK88</f>
        <v>371893.78999999992</v>
      </c>
    </row>
    <row r="154" spans="1:9" customFormat="1" ht="20.100000000000001" customHeight="1" x14ac:dyDescent="0.2">
      <c r="A154" s="287">
        <v>21</v>
      </c>
      <c r="B154" s="296" t="s">
        <v>1014</v>
      </c>
      <c r="C154" s="288">
        <f>data!AE89</f>
        <v>5549704.6800000006</v>
      </c>
      <c r="D154" s="288">
        <f>data!AF89</f>
        <v>0</v>
      </c>
      <c r="E154" s="288">
        <f>data!AG89</f>
        <v>204768860.79999995</v>
      </c>
      <c r="F154" s="288">
        <f>data!AH89</f>
        <v>0</v>
      </c>
      <c r="G154" s="288">
        <f>data!AI89</f>
        <v>0</v>
      </c>
      <c r="H154" s="288">
        <f>data!AJ89</f>
        <v>136374942.19000003</v>
      </c>
      <c r="I154" s="288">
        <f>data!AK89</f>
        <v>3196398.4099999997</v>
      </c>
    </row>
    <row r="155" spans="1:9" customFormat="1" ht="20.100000000000001" customHeight="1" x14ac:dyDescent="0.2">
      <c r="A155" s="287" t="s">
        <v>1015</v>
      </c>
      <c r="B155" s="288"/>
      <c r="C155" s="298"/>
      <c r="D155" s="298"/>
      <c r="E155" s="298"/>
      <c r="F155" s="298"/>
      <c r="G155" s="298"/>
      <c r="H155" s="298"/>
      <c r="I155" s="298"/>
    </row>
    <row r="156" spans="1:9" customFormat="1" ht="20.100000000000001" customHeight="1" x14ac:dyDescent="0.2">
      <c r="A156" s="287">
        <v>22</v>
      </c>
      <c r="B156" s="288" t="s">
        <v>1016</v>
      </c>
      <c r="C156" s="288">
        <f>data!AE90</f>
        <v>9857.14</v>
      </c>
      <c r="D156" s="288">
        <f>data!AF90</f>
        <v>0</v>
      </c>
      <c r="E156" s="288">
        <f>data!AG90</f>
        <v>10167</v>
      </c>
      <c r="F156" s="288">
        <f>data!AH90</f>
        <v>0</v>
      </c>
      <c r="G156" s="288">
        <f>data!AI90</f>
        <v>0</v>
      </c>
      <c r="H156" s="288">
        <f>data!AJ90</f>
        <v>1109</v>
      </c>
      <c r="I156" s="288">
        <f>data!AK90</f>
        <v>3298</v>
      </c>
    </row>
    <row r="157" spans="1:9" customFormat="1" ht="20.100000000000001" customHeight="1" x14ac:dyDescent="0.2">
      <c r="A157" s="287">
        <v>23</v>
      </c>
      <c r="B157" s="288" t="s">
        <v>1017</v>
      </c>
      <c r="C157" s="288">
        <f>data!AE91</f>
        <v>0</v>
      </c>
      <c r="D157" s="288">
        <f>data!AF91</f>
        <v>0</v>
      </c>
      <c r="E157" s="288">
        <f>data!AG91</f>
        <v>12597</v>
      </c>
      <c r="F157" s="288">
        <f>data!AH91</f>
        <v>0</v>
      </c>
      <c r="G157" s="288">
        <f>data!AI91</f>
        <v>0</v>
      </c>
      <c r="H157" s="288">
        <f>data!AJ91</f>
        <v>188</v>
      </c>
      <c r="I157" s="288">
        <f>data!AK91</f>
        <v>0</v>
      </c>
    </row>
    <row r="158" spans="1:9" customFormat="1" ht="20.100000000000001" customHeight="1" x14ac:dyDescent="0.2">
      <c r="A158" s="287">
        <v>24</v>
      </c>
      <c r="B158" s="288" t="s">
        <v>1018</v>
      </c>
      <c r="C158" s="288">
        <f>data!AE92</f>
        <v>3613.1813779867066</v>
      </c>
      <c r="D158" s="288">
        <f>data!AF92</f>
        <v>0</v>
      </c>
      <c r="E158" s="288">
        <f>data!AG92</f>
        <v>4297.0222331392379</v>
      </c>
      <c r="F158" s="288">
        <f>data!AH92</f>
        <v>0</v>
      </c>
      <c r="G158" s="288">
        <f>data!AI92</f>
        <v>0</v>
      </c>
      <c r="H158" s="288">
        <f>data!AJ92</f>
        <v>215.50220592202177</v>
      </c>
      <c r="I158" s="288">
        <f>data!AK92</f>
        <v>1208.8975285529229</v>
      </c>
    </row>
    <row r="159" spans="1:9" customFormat="1" ht="20.100000000000001" customHeight="1" x14ac:dyDescent="0.2">
      <c r="A159" s="287">
        <v>25</v>
      </c>
      <c r="B159" s="288" t="s">
        <v>1019</v>
      </c>
      <c r="C159" s="288">
        <f>data!AE93</f>
        <v>0</v>
      </c>
      <c r="D159" s="288">
        <f>data!AF93</f>
        <v>0</v>
      </c>
      <c r="E159" s="288">
        <f>data!AG93</f>
        <v>212765.62</v>
      </c>
      <c r="F159" s="288">
        <f>data!AH93</f>
        <v>0</v>
      </c>
      <c r="G159" s="288">
        <f>data!AI93</f>
        <v>0</v>
      </c>
      <c r="H159" s="288">
        <f>data!AJ93</f>
        <v>25571.06</v>
      </c>
      <c r="I159" s="288">
        <f>data!AK93</f>
        <v>0</v>
      </c>
    </row>
    <row r="160" spans="1:9" customFormat="1" ht="20.100000000000001" customHeight="1" x14ac:dyDescent="0.2">
      <c r="A160" s="287">
        <v>26</v>
      </c>
      <c r="B160" s="288" t="s">
        <v>294</v>
      </c>
      <c r="C160" s="295">
        <f>data!AE94</f>
        <v>0</v>
      </c>
      <c r="D160" s="295">
        <f>data!AF94</f>
        <v>0</v>
      </c>
      <c r="E160" s="295">
        <f>data!AG94</f>
        <v>43.954173076923077</v>
      </c>
      <c r="F160" s="295">
        <f>data!AH94</f>
        <v>0</v>
      </c>
      <c r="G160" s="295">
        <f>data!AI94</f>
        <v>0</v>
      </c>
      <c r="H160" s="295">
        <f>data!AJ94</f>
        <v>44.317076923076918</v>
      </c>
      <c r="I160" s="295">
        <f>data!AK94</f>
        <v>0</v>
      </c>
    </row>
    <row r="161" spans="1:9" customFormat="1" ht="20.100000000000001" customHeight="1" x14ac:dyDescent="0.2">
      <c r="A161" s="281" t="s">
        <v>1001</v>
      </c>
      <c r="B161" s="282"/>
      <c r="C161" s="282"/>
      <c r="D161" s="282"/>
      <c r="E161" s="282"/>
      <c r="F161" s="282"/>
      <c r="G161" s="282"/>
      <c r="H161" s="282"/>
      <c r="I161" s="281"/>
    </row>
    <row r="162" spans="1:9" customFormat="1" ht="20.100000000000001" customHeight="1" x14ac:dyDescent="0.2">
      <c r="D162" s="283"/>
      <c r="I162" s="284" t="s">
        <v>1035</v>
      </c>
    </row>
    <row r="163" spans="1:9" customFormat="1" ht="20.100000000000001" customHeight="1" x14ac:dyDescent="0.2">
      <c r="A163" s="283"/>
    </row>
    <row r="164" spans="1:9" customFormat="1" ht="20.100000000000001" customHeight="1" x14ac:dyDescent="0.2">
      <c r="A164" s="285" t="str">
        <f>"Hospital: "&amp;data!C98</f>
        <v>Hospital: St. Francis Hospital</v>
      </c>
      <c r="G164" s="286"/>
      <c r="H164" s="285" t="str">
        <f>"FYE: "&amp;data!C96</f>
        <v>FYE: 6/30/2024</v>
      </c>
    </row>
    <row r="165" spans="1:9" customFormat="1" ht="20.100000000000001" customHeight="1" x14ac:dyDescent="0.2">
      <c r="A165" s="287">
        <v>1</v>
      </c>
      <c r="B165" s="288" t="s">
        <v>236</v>
      </c>
      <c r="C165" s="290" t="s">
        <v>71</v>
      </c>
      <c r="D165" s="290" t="s">
        <v>72</v>
      </c>
      <c r="E165" s="290" t="s">
        <v>73</v>
      </c>
      <c r="F165" s="290" t="s">
        <v>74</v>
      </c>
      <c r="G165" s="290" t="s">
        <v>75</v>
      </c>
      <c r="H165" s="290" t="s">
        <v>76</v>
      </c>
      <c r="I165" s="290" t="s">
        <v>77</v>
      </c>
    </row>
    <row r="166" spans="1:9" customFormat="1" ht="20.100000000000001" customHeight="1" x14ac:dyDescent="0.2">
      <c r="A166" s="291">
        <v>2</v>
      </c>
      <c r="B166" s="292" t="s">
        <v>1003</v>
      </c>
      <c r="C166" s="294" t="s">
        <v>150</v>
      </c>
      <c r="D166" s="294" t="s">
        <v>151</v>
      </c>
      <c r="E166" s="294" t="s">
        <v>137</v>
      </c>
      <c r="F166" s="294" t="s">
        <v>152</v>
      </c>
      <c r="G166" s="294" t="s">
        <v>1036</v>
      </c>
      <c r="H166" s="294" t="s">
        <v>154</v>
      </c>
      <c r="I166" s="294" t="s">
        <v>155</v>
      </c>
    </row>
    <row r="167" spans="1:9" customFormat="1" ht="20.100000000000001" customHeight="1" x14ac:dyDescent="0.2">
      <c r="A167" s="291"/>
      <c r="B167" s="292"/>
      <c r="C167" s="294" t="s">
        <v>199</v>
      </c>
      <c r="D167" s="294" t="s">
        <v>199</v>
      </c>
      <c r="E167" s="294" t="s">
        <v>1037</v>
      </c>
      <c r="F167" s="294" t="s">
        <v>209</v>
      </c>
      <c r="G167" s="294" t="s">
        <v>148</v>
      </c>
      <c r="H167" s="293" t="s">
        <v>1038</v>
      </c>
      <c r="I167" s="294" t="s">
        <v>196</v>
      </c>
    </row>
    <row r="168" spans="1:9" customFormat="1" ht="20.100000000000001" customHeight="1" x14ac:dyDescent="0.2">
      <c r="A168" s="287">
        <v>3</v>
      </c>
      <c r="B168" s="288" t="s">
        <v>1007</v>
      </c>
      <c r="C168" s="290" t="s">
        <v>253</v>
      </c>
      <c r="D168" s="290" t="s">
        <v>253</v>
      </c>
      <c r="E168" s="290" t="s">
        <v>244</v>
      </c>
      <c r="F168" s="290" t="s">
        <v>254</v>
      </c>
      <c r="G168" s="290" t="s">
        <v>255</v>
      </c>
      <c r="H168" s="290" t="s">
        <v>256</v>
      </c>
      <c r="I168" s="290" t="s">
        <v>255</v>
      </c>
    </row>
    <row r="169" spans="1:9" customFormat="1" ht="20.100000000000001" customHeight="1" x14ac:dyDescent="0.2">
      <c r="A169" s="287">
        <v>4</v>
      </c>
      <c r="B169" s="288" t="s">
        <v>261</v>
      </c>
      <c r="C169" s="288">
        <f>data!AL59</f>
        <v>2444</v>
      </c>
      <c r="D169" s="288">
        <f>data!AM59</f>
        <v>0</v>
      </c>
      <c r="E169" s="288">
        <f>data!AN59</f>
        <v>0</v>
      </c>
      <c r="F169" s="288">
        <f>data!AO59</f>
        <v>0</v>
      </c>
      <c r="G169" s="288">
        <f>data!AP59</f>
        <v>0</v>
      </c>
      <c r="H169" s="288">
        <f>data!AQ59</f>
        <v>0</v>
      </c>
      <c r="I169" s="288">
        <f>data!AR59</f>
        <v>0</v>
      </c>
    </row>
    <row r="170" spans="1:9" customFormat="1" ht="20.100000000000001" customHeight="1" x14ac:dyDescent="0.2">
      <c r="A170" s="287">
        <v>5</v>
      </c>
      <c r="B170" s="288" t="s">
        <v>262</v>
      </c>
      <c r="C170" s="295">
        <f>data!AL60</f>
        <v>0.75537019230769231</v>
      </c>
      <c r="D170" s="295">
        <f>data!AM60</f>
        <v>0</v>
      </c>
      <c r="E170" s="295">
        <f>data!AN60</f>
        <v>0</v>
      </c>
      <c r="F170" s="295">
        <f>data!AO60</f>
        <v>0</v>
      </c>
      <c r="G170" s="295">
        <f>data!AP60</f>
        <v>0.33845192307692307</v>
      </c>
      <c r="H170" s="295">
        <f>data!AQ60</f>
        <v>0</v>
      </c>
      <c r="I170" s="295">
        <f>data!AR60</f>
        <v>0</v>
      </c>
    </row>
    <row r="171" spans="1:9" customFormat="1" ht="20.100000000000001" customHeight="1" x14ac:dyDescent="0.2">
      <c r="A171" s="287">
        <v>6</v>
      </c>
      <c r="B171" s="288" t="s">
        <v>263</v>
      </c>
      <c r="C171" s="288">
        <f>data!AL61</f>
        <v>82901.02</v>
      </c>
      <c r="D171" s="288">
        <f>data!AM61</f>
        <v>0</v>
      </c>
      <c r="E171" s="288">
        <f>data!AN61</f>
        <v>0</v>
      </c>
      <c r="F171" s="288">
        <f>data!AO61</f>
        <v>0</v>
      </c>
      <c r="G171" s="288">
        <f>data!AP61</f>
        <v>46150.67</v>
      </c>
      <c r="H171" s="288">
        <f>data!AQ61</f>
        <v>0</v>
      </c>
      <c r="I171" s="288">
        <f>data!AR61</f>
        <v>0</v>
      </c>
    </row>
    <row r="172" spans="1:9" customFormat="1" ht="20.100000000000001" customHeight="1" x14ac:dyDescent="0.2">
      <c r="A172" s="287">
        <v>7</v>
      </c>
      <c r="B172" s="288" t="s">
        <v>11</v>
      </c>
      <c r="C172" s="288">
        <f>data!AL62</f>
        <v>18687</v>
      </c>
      <c r="D172" s="288">
        <f>data!AM62</f>
        <v>0</v>
      </c>
      <c r="E172" s="288">
        <f>data!AN62</f>
        <v>0</v>
      </c>
      <c r="F172" s="288">
        <f>data!AO62</f>
        <v>0</v>
      </c>
      <c r="G172" s="288">
        <f>data!AP62</f>
        <v>10403</v>
      </c>
      <c r="H172" s="288">
        <f>data!AQ62</f>
        <v>0</v>
      </c>
      <c r="I172" s="288">
        <f>data!AR62</f>
        <v>0</v>
      </c>
    </row>
    <row r="173" spans="1:9" customFormat="1" ht="20.100000000000001" customHeight="1" x14ac:dyDescent="0.2">
      <c r="A173" s="287">
        <v>8</v>
      </c>
      <c r="B173" s="288" t="s">
        <v>264</v>
      </c>
      <c r="C173" s="288">
        <f>data!AL63</f>
        <v>0</v>
      </c>
      <c r="D173" s="288">
        <f>data!AM63</f>
        <v>0</v>
      </c>
      <c r="E173" s="288">
        <f>data!AN63</f>
        <v>0</v>
      </c>
      <c r="F173" s="288">
        <f>data!AO63</f>
        <v>0</v>
      </c>
      <c r="G173" s="288">
        <f>data!AP63</f>
        <v>0</v>
      </c>
      <c r="H173" s="288">
        <f>data!AQ63</f>
        <v>0</v>
      </c>
      <c r="I173" s="288">
        <f>data!AR63</f>
        <v>0</v>
      </c>
    </row>
    <row r="174" spans="1:9" customFormat="1" ht="20.100000000000001" customHeight="1" x14ac:dyDescent="0.2">
      <c r="A174" s="287">
        <v>9</v>
      </c>
      <c r="B174" s="288" t="s">
        <v>265</v>
      </c>
      <c r="C174" s="288">
        <f>data!AL64</f>
        <v>8.23</v>
      </c>
      <c r="D174" s="288">
        <f>data!AM64</f>
        <v>0</v>
      </c>
      <c r="E174" s="288">
        <f>data!AN64</f>
        <v>0</v>
      </c>
      <c r="F174" s="288">
        <f>data!AO64</f>
        <v>0</v>
      </c>
      <c r="G174" s="288">
        <f>data!AP64</f>
        <v>0</v>
      </c>
      <c r="H174" s="288">
        <f>data!AQ64</f>
        <v>0</v>
      </c>
      <c r="I174" s="288">
        <f>data!AR64</f>
        <v>0</v>
      </c>
    </row>
    <row r="175" spans="1:9" customFormat="1" ht="20.100000000000001" customHeight="1" x14ac:dyDescent="0.2">
      <c r="A175" s="287">
        <v>10</v>
      </c>
      <c r="B175" s="288" t="s">
        <v>525</v>
      </c>
      <c r="C175" s="288">
        <f>data!AL65</f>
        <v>0</v>
      </c>
      <c r="D175" s="288">
        <f>data!AM65</f>
        <v>0</v>
      </c>
      <c r="E175" s="288">
        <f>data!AN65</f>
        <v>0</v>
      </c>
      <c r="F175" s="288">
        <f>data!AO65</f>
        <v>0</v>
      </c>
      <c r="G175" s="288">
        <f>data!AP65</f>
        <v>0</v>
      </c>
      <c r="H175" s="288">
        <f>data!AQ65</f>
        <v>0</v>
      </c>
      <c r="I175" s="288">
        <f>data!AR65</f>
        <v>0</v>
      </c>
    </row>
    <row r="176" spans="1:9" customFormat="1" ht="20.100000000000001" customHeight="1" x14ac:dyDescent="0.2">
      <c r="A176" s="287">
        <v>11</v>
      </c>
      <c r="B176" s="288" t="s">
        <v>526</v>
      </c>
      <c r="C176" s="288">
        <f>data!AL66</f>
        <v>0</v>
      </c>
      <c r="D176" s="288">
        <f>data!AM66</f>
        <v>0</v>
      </c>
      <c r="E176" s="288">
        <f>data!AN66</f>
        <v>0</v>
      </c>
      <c r="F176" s="288">
        <f>data!AO66</f>
        <v>0</v>
      </c>
      <c r="G176" s="288">
        <f>data!AP66</f>
        <v>0</v>
      </c>
      <c r="H176" s="288">
        <f>data!AQ66</f>
        <v>0</v>
      </c>
      <c r="I176" s="288">
        <f>data!AR66</f>
        <v>106701.85</v>
      </c>
    </row>
    <row r="177" spans="1:9" customFormat="1" ht="20.100000000000001" customHeight="1" x14ac:dyDescent="0.2">
      <c r="A177" s="287">
        <v>12</v>
      </c>
      <c r="B177" s="288" t="s">
        <v>16</v>
      </c>
      <c r="C177" s="288">
        <f>data!AL67</f>
        <v>12705</v>
      </c>
      <c r="D177" s="288">
        <f>data!AM67</f>
        <v>0</v>
      </c>
      <c r="E177" s="288">
        <f>data!AN67</f>
        <v>0</v>
      </c>
      <c r="F177" s="288">
        <f>data!AO67</f>
        <v>0</v>
      </c>
      <c r="G177" s="288">
        <f>data!AP67</f>
        <v>0</v>
      </c>
      <c r="H177" s="288">
        <f>data!AQ67</f>
        <v>0</v>
      </c>
      <c r="I177" s="288">
        <f>data!AR67</f>
        <v>0</v>
      </c>
    </row>
    <row r="178" spans="1:9" customFormat="1" ht="20.100000000000001" customHeight="1" x14ac:dyDescent="0.2">
      <c r="A178" s="287">
        <v>13</v>
      </c>
      <c r="B178" s="288" t="s">
        <v>1008</v>
      </c>
      <c r="C178" s="288">
        <f>data!AL68</f>
        <v>0</v>
      </c>
      <c r="D178" s="288">
        <f>data!AM68</f>
        <v>0</v>
      </c>
      <c r="E178" s="288">
        <f>data!AN68</f>
        <v>0</v>
      </c>
      <c r="F178" s="288">
        <f>data!AO68</f>
        <v>0</v>
      </c>
      <c r="G178" s="288">
        <f>data!AP68</f>
        <v>0</v>
      </c>
      <c r="H178" s="288">
        <f>data!AQ68</f>
        <v>0</v>
      </c>
      <c r="I178" s="288">
        <f>data!AR68</f>
        <v>0</v>
      </c>
    </row>
    <row r="179" spans="1:9" customFormat="1" ht="20.100000000000001" customHeight="1" x14ac:dyDescent="0.2">
      <c r="A179" s="287">
        <v>14</v>
      </c>
      <c r="B179" s="288" t="s">
        <v>1009</v>
      </c>
      <c r="C179" s="288">
        <f>data!AL69</f>
        <v>8349.619999999999</v>
      </c>
      <c r="D179" s="288">
        <f>data!AM69</f>
        <v>0</v>
      </c>
      <c r="E179" s="288">
        <f>data!AN69</f>
        <v>0</v>
      </c>
      <c r="F179" s="288">
        <f>data!AO69</f>
        <v>0</v>
      </c>
      <c r="G179" s="288">
        <f>data!AP69</f>
        <v>0</v>
      </c>
      <c r="H179" s="288">
        <f>data!AQ69</f>
        <v>0</v>
      </c>
      <c r="I179" s="288">
        <f>data!AR69</f>
        <v>0</v>
      </c>
    </row>
    <row r="180" spans="1:9" customFormat="1" ht="20.100000000000001" customHeight="1" x14ac:dyDescent="0.2">
      <c r="A180" s="287">
        <v>15</v>
      </c>
      <c r="B180" s="288" t="s">
        <v>284</v>
      </c>
      <c r="C180" s="288">
        <f>-data!AL84</f>
        <v>0</v>
      </c>
      <c r="D180" s="288">
        <f>-data!AM84</f>
        <v>0</v>
      </c>
      <c r="E180" s="288">
        <f>-data!AN84</f>
        <v>0</v>
      </c>
      <c r="F180" s="288">
        <f>-data!AO84</f>
        <v>0</v>
      </c>
      <c r="G180" s="288">
        <f>-data!AP84</f>
        <v>0</v>
      </c>
      <c r="H180" s="288">
        <f>-data!AQ84</f>
        <v>0</v>
      </c>
      <c r="I180" s="288">
        <f>-data!AR84</f>
        <v>0</v>
      </c>
    </row>
    <row r="181" spans="1:9" customFormat="1" ht="20.100000000000001" customHeight="1" x14ac:dyDescent="0.2">
      <c r="A181" s="287">
        <v>16</v>
      </c>
      <c r="B181" s="296" t="s">
        <v>1010</v>
      </c>
      <c r="C181" s="288">
        <f>data!AL85</f>
        <v>122650.87</v>
      </c>
      <c r="D181" s="288">
        <f>data!AM85</f>
        <v>0</v>
      </c>
      <c r="E181" s="288">
        <f>data!AN85</f>
        <v>0</v>
      </c>
      <c r="F181" s="288">
        <f>data!AO85</f>
        <v>0</v>
      </c>
      <c r="G181" s="288">
        <f>data!AP85</f>
        <v>56553.67</v>
      </c>
      <c r="H181" s="288">
        <f>data!AQ85</f>
        <v>0</v>
      </c>
      <c r="I181" s="288">
        <f>data!AR85</f>
        <v>106701.85</v>
      </c>
    </row>
    <row r="182" spans="1:9" customFormat="1" ht="20.100000000000001" customHeight="1" x14ac:dyDescent="0.2">
      <c r="A182" s="287">
        <v>17</v>
      </c>
      <c r="B182" s="288" t="s">
        <v>286</v>
      </c>
      <c r="C182" s="298"/>
      <c r="D182" s="298"/>
      <c r="E182" s="298"/>
      <c r="F182" s="298"/>
      <c r="G182" s="298"/>
      <c r="H182" s="298"/>
      <c r="I182" s="298"/>
    </row>
    <row r="183" spans="1:9" customFormat="1" ht="20.100000000000001" customHeight="1" x14ac:dyDescent="0.2">
      <c r="A183" s="287">
        <v>18</v>
      </c>
      <c r="B183" s="288" t="s">
        <v>1011</v>
      </c>
      <c r="C183" s="296">
        <f>+data!M703</f>
        <v>114122</v>
      </c>
      <c r="D183" s="296">
        <f>+data!M704</f>
        <v>0</v>
      </c>
      <c r="E183" s="296">
        <f>+data!M705</f>
        <v>0</v>
      </c>
      <c r="F183" s="296">
        <f>+data!M706</f>
        <v>0</v>
      </c>
      <c r="G183" s="296">
        <f>+data!M707</f>
        <v>6601</v>
      </c>
      <c r="H183" s="296">
        <f>+data!M708</f>
        <v>0</v>
      </c>
      <c r="I183" s="296">
        <f>+data!M709</f>
        <v>10695</v>
      </c>
    </row>
    <row r="184" spans="1:9" customFormat="1" ht="20.100000000000001" customHeight="1" x14ac:dyDescent="0.2">
      <c r="A184" s="287">
        <v>19</v>
      </c>
      <c r="B184" s="296" t="s">
        <v>1012</v>
      </c>
      <c r="C184" s="288">
        <f>data!AL87</f>
        <v>1141752.52</v>
      </c>
      <c r="D184" s="288">
        <f>data!AM87</f>
        <v>0</v>
      </c>
      <c r="E184" s="288">
        <f>data!AN87</f>
        <v>0</v>
      </c>
      <c r="F184" s="288">
        <f>data!AO87</f>
        <v>0</v>
      </c>
      <c r="G184" s="288">
        <f>data!AP87</f>
        <v>0</v>
      </c>
      <c r="H184" s="288">
        <f>data!AQ87</f>
        <v>0</v>
      </c>
      <c r="I184" s="288">
        <f>data!AR87</f>
        <v>0</v>
      </c>
    </row>
    <row r="185" spans="1:9" customFormat="1" ht="20.100000000000001" customHeight="1" x14ac:dyDescent="0.2">
      <c r="A185" s="287">
        <v>20</v>
      </c>
      <c r="B185" s="296" t="s">
        <v>1013</v>
      </c>
      <c r="C185" s="288">
        <f>data!AL88</f>
        <v>19895.11</v>
      </c>
      <c r="D185" s="288">
        <f>data!AM88</f>
        <v>0</v>
      </c>
      <c r="E185" s="288">
        <f>data!AN88</f>
        <v>0</v>
      </c>
      <c r="F185" s="288">
        <f>data!AO88</f>
        <v>0</v>
      </c>
      <c r="G185" s="288">
        <f>data!AP88</f>
        <v>0</v>
      </c>
      <c r="H185" s="288">
        <f>data!AQ88</f>
        <v>0</v>
      </c>
      <c r="I185" s="288">
        <f>data!AR88</f>
        <v>0</v>
      </c>
    </row>
    <row r="186" spans="1:9" customFormat="1" ht="20.100000000000001" customHeight="1" x14ac:dyDescent="0.2">
      <c r="A186" s="287">
        <v>21</v>
      </c>
      <c r="B186" s="296" t="s">
        <v>1014</v>
      </c>
      <c r="C186" s="288">
        <f>data!AL89</f>
        <v>1161647.6300000001</v>
      </c>
      <c r="D186" s="288">
        <f>data!AM89</f>
        <v>0</v>
      </c>
      <c r="E186" s="288">
        <f>data!AN89</f>
        <v>0</v>
      </c>
      <c r="F186" s="288">
        <f>data!AO89</f>
        <v>0</v>
      </c>
      <c r="G186" s="288">
        <f>data!AP89</f>
        <v>0</v>
      </c>
      <c r="H186" s="288">
        <f>data!AQ89</f>
        <v>0</v>
      </c>
      <c r="I186" s="288">
        <f>data!AR89</f>
        <v>0</v>
      </c>
    </row>
    <row r="187" spans="1:9" customFormat="1" ht="20.100000000000001" customHeight="1" x14ac:dyDescent="0.2">
      <c r="A187" s="287" t="s">
        <v>1015</v>
      </c>
      <c r="B187" s="288"/>
      <c r="C187" s="298"/>
      <c r="D187" s="298"/>
      <c r="E187" s="298"/>
      <c r="F187" s="298"/>
      <c r="G187" s="298"/>
      <c r="H187" s="298"/>
      <c r="I187" s="298"/>
    </row>
    <row r="188" spans="1:9" customFormat="1" ht="20.100000000000001" customHeight="1" x14ac:dyDescent="0.2">
      <c r="A188" s="287">
        <v>22</v>
      </c>
      <c r="B188" s="288" t="s">
        <v>1016</v>
      </c>
      <c r="C188" s="288">
        <f>data!AL90</f>
        <v>690</v>
      </c>
      <c r="D188" s="288">
        <f>data!AM90</f>
        <v>0</v>
      </c>
      <c r="E188" s="288">
        <f>data!AN90</f>
        <v>0</v>
      </c>
      <c r="F188" s="288">
        <f>data!AO90</f>
        <v>0</v>
      </c>
      <c r="G188" s="288">
        <f>data!AP90</f>
        <v>0</v>
      </c>
      <c r="H188" s="288">
        <f>data!AQ90</f>
        <v>0</v>
      </c>
      <c r="I188" s="288">
        <f>data!AR90</f>
        <v>0</v>
      </c>
    </row>
    <row r="189" spans="1:9" customFormat="1" ht="20.100000000000001" customHeight="1" x14ac:dyDescent="0.2">
      <c r="A189" s="287">
        <v>23</v>
      </c>
      <c r="B189" s="288" t="s">
        <v>1017</v>
      </c>
      <c r="C189" s="288">
        <f>data!AL91</f>
        <v>0</v>
      </c>
      <c r="D189" s="288">
        <f>data!AM91</f>
        <v>0</v>
      </c>
      <c r="E189" s="288">
        <f>data!AN91</f>
        <v>0</v>
      </c>
      <c r="F189" s="288">
        <f>data!AO91</f>
        <v>0</v>
      </c>
      <c r="G189" s="288">
        <f>data!AP91</f>
        <v>0</v>
      </c>
      <c r="H189" s="288">
        <f>data!AQ91</f>
        <v>0</v>
      </c>
      <c r="I189" s="288">
        <f>data!AR91</f>
        <v>0</v>
      </c>
    </row>
    <row r="190" spans="1:9" customFormat="1" ht="20.100000000000001" customHeight="1" x14ac:dyDescent="0.2">
      <c r="A190" s="287">
        <v>24</v>
      </c>
      <c r="B190" s="288" t="s">
        <v>1018</v>
      </c>
      <c r="C190" s="288">
        <f>data!AL92</f>
        <v>252.9227697700172</v>
      </c>
      <c r="D190" s="288">
        <f>data!AM92</f>
        <v>0</v>
      </c>
      <c r="E190" s="288">
        <f>data!AN92</f>
        <v>0</v>
      </c>
      <c r="F190" s="288">
        <f>data!AO92</f>
        <v>0</v>
      </c>
      <c r="G190" s="288">
        <f>data!AP92</f>
        <v>0</v>
      </c>
      <c r="H190" s="288">
        <f>data!AQ92</f>
        <v>0</v>
      </c>
      <c r="I190" s="288">
        <f>data!AR92</f>
        <v>0</v>
      </c>
    </row>
    <row r="191" spans="1:9" customFormat="1" ht="20.100000000000001" customHeight="1" x14ac:dyDescent="0.2">
      <c r="A191" s="287">
        <v>25</v>
      </c>
      <c r="B191" s="288" t="s">
        <v>1019</v>
      </c>
      <c r="C191" s="288">
        <f>data!AL93</f>
        <v>0</v>
      </c>
      <c r="D191" s="288">
        <f>data!AM93</f>
        <v>0</v>
      </c>
      <c r="E191" s="288">
        <f>data!AN93</f>
        <v>0</v>
      </c>
      <c r="F191" s="288">
        <f>data!AO93</f>
        <v>0</v>
      </c>
      <c r="G191" s="288">
        <f>data!AP93</f>
        <v>0</v>
      </c>
      <c r="H191" s="288">
        <f>data!AQ93</f>
        <v>0</v>
      </c>
      <c r="I191" s="288">
        <f>data!AR93</f>
        <v>0</v>
      </c>
    </row>
    <row r="192" spans="1:9" customFormat="1" ht="20.100000000000001" customHeight="1" x14ac:dyDescent="0.2">
      <c r="A192" s="287">
        <v>26</v>
      </c>
      <c r="B192" s="288" t="s">
        <v>294</v>
      </c>
      <c r="C192" s="295">
        <f>data!AL94</f>
        <v>0</v>
      </c>
      <c r="D192" s="295">
        <f>data!AM94</f>
        <v>0</v>
      </c>
      <c r="E192" s="295">
        <f>data!AN94</f>
        <v>0</v>
      </c>
      <c r="F192" s="295">
        <f>data!AO94</f>
        <v>0</v>
      </c>
      <c r="G192" s="295">
        <f>data!AP94</f>
        <v>0</v>
      </c>
      <c r="H192" s="295">
        <f>data!AQ94</f>
        <v>0</v>
      </c>
      <c r="I192" s="295">
        <f>data!AR94</f>
        <v>0</v>
      </c>
    </row>
    <row r="193" spans="1:9" customFormat="1" ht="20.100000000000001" customHeight="1" x14ac:dyDescent="0.2">
      <c r="A193" s="281" t="s">
        <v>1001</v>
      </c>
      <c r="B193" s="282"/>
      <c r="C193" s="282"/>
      <c r="D193" s="282"/>
      <c r="E193" s="282"/>
      <c r="F193" s="282"/>
      <c r="G193" s="282"/>
      <c r="H193" s="282"/>
      <c r="I193" s="281"/>
    </row>
    <row r="194" spans="1:9" customFormat="1" ht="20.100000000000001" customHeight="1" x14ac:dyDescent="0.2">
      <c r="D194" s="283"/>
      <c r="I194" s="284" t="s">
        <v>1039</v>
      </c>
    </row>
    <row r="195" spans="1:9" customFormat="1" ht="20.100000000000001" customHeight="1" x14ac:dyDescent="0.2">
      <c r="A195" s="283"/>
    </row>
    <row r="196" spans="1:9" customFormat="1" ht="20.100000000000001" customHeight="1" x14ac:dyDescent="0.2">
      <c r="A196" s="285" t="str">
        <f>"Hospital: "&amp;data!C98</f>
        <v>Hospital: St. Francis Hospital</v>
      </c>
      <c r="G196" s="286"/>
      <c r="H196" s="285" t="str">
        <f>"FYE: "&amp;data!C96</f>
        <v>FYE: 6/30/2024</v>
      </c>
    </row>
    <row r="197" spans="1:9" customFormat="1" ht="20.100000000000001" customHeight="1" x14ac:dyDescent="0.2">
      <c r="A197" s="287">
        <v>1</v>
      </c>
      <c r="B197" s="288" t="s">
        <v>236</v>
      </c>
      <c r="C197" s="290" t="s">
        <v>78</v>
      </c>
      <c r="D197" s="290" t="s">
        <v>79</v>
      </c>
      <c r="E197" s="290" t="s">
        <v>80</v>
      </c>
      <c r="F197" s="290" t="s">
        <v>81</v>
      </c>
      <c r="G197" s="290" t="s">
        <v>82</v>
      </c>
      <c r="H197" s="290" t="s">
        <v>83</v>
      </c>
      <c r="I197" s="290" t="s">
        <v>84</v>
      </c>
    </row>
    <row r="198" spans="1:9" customFormat="1" ht="20.100000000000001" customHeight="1" x14ac:dyDescent="0.2">
      <c r="A198" s="291">
        <v>2</v>
      </c>
      <c r="B198" s="292" t="s">
        <v>1003</v>
      </c>
      <c r="C198" s="294"/>
      <c r="D198" s="294" t="s">
        <v>157</v>
      </c>
      <c r="E198" s="294" t="s">
        <v>158</v>
      </c>
      <c r="F198" s="294" t="s">
        <v>159</v>
      </c>
      <c r="G198" s="294" t="s">
        <v>1040</v>
      </c>
      <c r="H198" s="294" t="s">
        <v>161</v>
      </c>
      <c r="I198" s="294"/>
    </row>
    <row r="199" spans="1:9" customFormat="1" ht="20.100000000000001" customHeight="1" x14ac:dyDescent="0.2">
      <c r="A199" s="291"/>
      <c r="B199" s="292"/>
      <c r="C199" s="294" t="s">
        <v>156</v>
      </c>
      <c r="D199" s="294" t="s">
        <v>258</v>
      </c>
      <c r="E199" s="294" t="s">
        <v>1041</v>
      </c>
      <c r="F199" s="294" t="s">
        <v>213</v>
      </c>
      <c r="G199" s="294" t="s">
        <v>228</v>
      </c>
      <c r="H199" s="294" t="s">
        <v>215</v>
      </c>
      <c r="I199" s="294" t="s">
        <v>162</v>
      </c>
    </row>
    <row r="200" spans="1:9" customFormat="1" ht="20.100000000000001" customHeight="1" x14ac:dyDescent="0.2">
      <c r="A200" s="287">
        <v>3</v>
      </c>
      <c r="B200" s="288" t="s">
        <v>1007</v>
      </c>
      <c r="C200" s="290" t="s">
        <v>253</v>
      </c>
      <c r="D200" s="290" t="s">
        <v>258</v>
      </c>
      <c r="E200" s="290" t="s">
        <v>255</v>
      </c>
      <c r="F200" s="300"/>
      <c r="G200" s="300"/>
      <c r="H200" s="300"/>
      <c r="I200" s="290" t="s">
        <v>259</v>
      </c>
    </row>
    <row r="201" spans="1:9" customFormat="1" ht="20.100000000000001" customHeight="1" x14ac:dyDescent="0.2">
      <c r="A201" s="287">
        <v>4</v>
      </c>
      <c r="B201" s="288" t="s">
        <v>261</v>
      </c>
      <c r="C201" s="288">
        <f>data!AS59</f>
        <v>0</v>
      </c>
      <c r="D201" s="288">
        <f>data!AT59</f>
        <v>0</v>
      </c>
      <c r="E201" s="288">
        <f>data!AU59</f>
        <v>0</v>
      </c>
      <c r="F201" s="300"/>
      <c r="G201" s="300"/>
      <c r="H201" s="300"/>
      <c r="I201" s="288">
        <f>data!AY59</f>
        <v>124186</v>
      </c>
    </row>
    <row r="202" spans="1:9" customFormat="1" ht="20.100000000000001" customHeight="1" x14ac:dyDescent="0.2">
      <c r="A202" s="287">
        <v>5</v>
      </c>
      <c r="B202" s="288" t="s">
        <v>262</v>
      </c>
      <c r="C202" s="295">
        <f>data!AS60</f>
        <v>0</v>
      </c>
      <c r="D202" s="295">
        <f>data!AT60</f>
        <v>0</v>
      </c>
      <c r="E202" s="295">
        <f>data!AU60</f>
        <v>0</v>
      </c>
      <c r="F202" s="295">
        <f>data!AV60</f>
        <v>18.532769230769233</v>
      </c>
      <c r="G202" s="295">
        <f>data!AW60</f>
        <v>0</v>
      </c>
      <c r="H202" s="295">
        <f>data!AX60</f>
        <v>0</v>
      </c>
      <c r="I202" s="295">
        <f>data!AY60</f>
        <v>29.101802884615385</v>
      </c>
    </row>
    <row r="203" spans="1:9" customFormat="1" ht="20.100000000000001" customHeight="1" x14ac:dyDescent="0.2">
      <c r="A203" s="287">
        <v>6</v>
      </c>
      <c r="B203" s="288" t="s">
        <v>263</v>
      </c>
      <c r="C203" s="288">
        <f>data!AS61</f>
        <v>0</v>
      </c>
      <c r="D203" s="288">
        <f>data!AT61</f>
        <v>0</v>
      </c>
      <c r="E203" s="288">
        <f>data!AU61</f>
        <v>0</v>
      </c>
      <c r="F203" s="288">
        <f>data!AV61</f>
        <v>2150412.2100000009</v>
      </c>
      <c r="G203" s="288">
        <f>data!AW61</f>
        <v>0</v>
      </c>
      <c r="H203" s="288">
        <f>data!AX61</f>
        <v>0</v>
      </c>
      <c r="I203" s="288">
        <f>data!AY61</f>
        <v>1903789.7299999997</v>
      </c>
    </row>
    <row r="204" spans="1:9" customFormat="1" ht="20.100000000000001" customHeight="1" x14ac:dyDescent="0.2">
      <c r="A204" s="287">
        <v>7</v>
      </c>
      <c r="B204" s="288" t="s">
        <v>11</v>
      </c>
      <c r="C204" s="288">
        <f>data!AS62</f>
        <v>0</v>
      </c>
      <c r="D204" s="288">
        <f>data!AT62</f>
        <v>0</v>
      </c>
      <c r="E204" s="288">
        <f>data!AU62</f>
        <v>0</v>
      </c>
      <c r="F204" s="288">
        <f>data!AV62</f>
        <v>485112</v>
      </c>
      <c r="G204" s="288">
        <f>data!AW62</f>
        <v>0</v>
      </c>
      <c r="H204" s="288">
        <f>data!AX62</f>
        <v>0</v>
      </c>
      <c r="I204" s="288">
        <f>data!AY62</f>
        <v>429327</v>
      </c>
    </row>
    <row r="205" spans="1:9" customFormat="1" ht="20.100000000000001" customHeight="1" x14ac:dyDescent="0.2">
      <c r="A205" s="287">
        <v>8</v>
      </c>
      <c r="B205" s="288" t="s">
        <v>264</v>
      </c>
      <c r="C205" s="288">
        <f>data!AS63</f>
        <v>0</v>
      </c>
      <c r="D205" s="288">
        <f>data!AT63</f>
        <v>0</v>
      </c>
      <c r="E205" s="288">
        <f>data!AU63</f>
        <v>0</v>
      </c>
      <c r="F205" s="288">
        <f>data!AV63</f>
        <v>52730.400000000001</v>
      </c>
      <c r="G205" s="288">
        <f>data!AW63</f>
        <v>0</v>
      </c>
      <c r="H205" s="288">
        <f>data!AX63</f>
        <v>0</v>
      </c>
      <c r="I205" s="288">
        <f>data!AY63</f>
        <v>0</v>
      </c>
    </row>
    <row r="206" spans="1:9" customFormat="1" ht="20.100000000000001" customHeight="1" x14ac:dyDescent="0.2">
      <c r="A206" s="287">
        <v>9</v>
      </c>
      <c r="B206" s="288" t="s">
        <v>265</v>
      </c>
      <c r="C206" s="288">
        <f>data!AS64</f>
        <v>0</v>
      </c>
      <c r="D206" s="288">
        <f>data!AT64</f>
        <v>0</v>
      </c>
      <c r="E206" s="288">
        <f>data!AU64</f>
        <v>0</v>
      </c>
      <c r="F206" s="288">
        <f>data!AV64</f>
        <v>16540.78</v>
      </c>
      <c r="G206" s="288">
        <f>data!AW64</f>
        <v>0</v>
      </c>
      <c r="H206" s="288">
        <f>data!AX64</f>
        <v>0</v>
      </c>
      <c r="I206" s="288">
        <f>data!AY64</f>
        <v>1080635.7199999997</v>
      </c>
    </row>
    <row r="207" spans="1:9" customFormat="1" ht="20.100000000000001" customHeight="1" x14ac:dyDescent="0.2">
      <c r="A207" s="287">
        <v>10</v>
      </c>
      <c r="B207" s="288" t="s">
        <v>525</v>
      </c>
      <c r="C207" s="288">
        <f>data!AS65</f>
        <v>0</v>
      </c>
      <c r="D207" s="288">
        <f>data!AT65</f>
        <v>0</v>
      </c>
      <c r="E207" s="288">
        <f>data!AU65</f>
        <v>0</v>
      </c>
      <c r="F207" s="288">
        <f>data!AV65</f>
        <v>932.13</v>
      </c>
      <c r="G207" s="288">
        <f>data!AW65</f>
        <v>0</v>
      </c>
      <c r="H207" s="288">
        <f>data!AX65</f>
        <v>0</v>
      </c>
      <c r="I207" s="288">
        <f>data!AY65</f>
        <v>196.04</v>
      </c>
    </row>
    <row r="208" spans="1:9" customFormat="1" ht="20.100000000000001" customHeight="1" x14ac:dyDescent="0.2">
      <c r="A208" s="287">
        <v>11</v>
      </c>
      <c r="B208" s="288" t="s">
        <v>526</v>
      </c>
      <c r="C208" s="288">
        <f>data!AS66</f>
        <v>0</v>
      </c>
      <c r="D208" s="288">
        <f>data!AT66</f>
        <v>0</v>
      </c>
      <c r="E208" s="288">
        <f>data!AU66</f>
        <v>0</v>
      </c>
      <c r="F208" s="288">
        <f>data!AV66</f>
        <v>1451205.5700000005</v>
      </c>
      <c r="G208" s="288">
        <f>data!AW66</f>
        <v>0</v>
      </c>
      <c r="H208" s="288">
        <f>data!AX66</f>
        <v>160120.15</v>
      </c>
      <c r="I208" s="288">
        <f>data!AY66</f>
        <v>157261.57999999999</v>
      </c>
    </row>
    <row r="209" spans="1:9" customFormat="1" ht="20.100000000000001" customHeight="1" x14ac:dyDescent="0.2">
      <c r="A209" s="287">
        <v>12</v>
      </c>
      <c r="B209" s="288" t="s">
        <v>16</v>
      </c>
      <c r="C209" s="288">
        <f>data!AS67</f>
        <v>0</v>
      </c>
      <c r="D209" s="288">
        <f>data!AT67</f>
        <v>0</v>
      </c>
      <c r="E209" s="288">
        <f>data!AU67</f>
        <v>0</v>
      </c>
      <c r="F209" s="288">
        <f>data!AV67</f>
        <v>14780</v>
      </c>
      <c r="G209" s="288">
        <f>data!AW67</f>
        <v>0</v>
      </c>
      <c r="H209" s="288">
        <f>data!AX67</f>
        <v>0</v>
      </c>
      <c r="I209" s="288">
        <f>data!AY67</f>
        <v>36387</v>
      </c>
    </row>
    <row r="210" spans="1:9" customFormat="1" ht="20.100000000000001" customHeight="1" x14ac:dyDescent="0.2">
      <c r="A210" s="287">
        <v>13</v>
      </c>
      <c r="B210" s="288" t="s">
        <v>1008</v>
      </c>
      <c r="C210" s="288">
        <f>data!AS68</f>
        <v>0</v>
      </c>
      <c r="D210" s="288">
        <f>data!AT68</f>
        <v>0</v>
      </c>
      <c r="E210" s="288">
        <f>data!AU68</f>
        <v>0</v>
      </c>
      <c r="F210" s="288">
        <f>data!AV68</f>
        <v>73228.44</v>
      </c>
      <c r="G210" s="288">
        <f>data!AW68</f>
        <v>0</v>
      </c>
      <c r="H210" s="288">
        <f>data!AX68</f>
        <v>0</v>
      </c>
      <c r="I210" s="288">
        <f>data!AY68</f>
        <v>4600.22</v>
      </c>
    </row>
    <row r="211" spans="1:9" customFormat="1" ht="20.100000000000001" customHeight="1" x14ac:dyDescent="0.2">
      <c r="A211" s="287">
        <v>14</v>
      </c>
      <c r="B211" s="288" t="s">
        <v>1009</v>
      </c>
      <c r="C211" s="288">
        <f>data!AS69</f>
        <v>0</v>
      </c>
      <c r="D211" s="288">
        <f>data!AT69</f>
        <v>0</v>
      </c>
      <c r="E211" s="288">
        <f>data!AU69</f>
        <v>0</v>
      </c>
      <c r="F211" s="288">
        <f>data!AV69</f>
        <v>13471.260000000002</v>
      </c>
      <c r="G211" s="288">
        <f>data!AW69</f>
        <v>0</v>
      </c>
      <c r="H211" s="288">
        <f>data!AX69</f>
        <v>0</v>
      </c>
      <c r="I211" s="288">
        <f>data!AY69</f>
        <v>69471.039999999994</v>
      </c>
    </row>
    <row r="212" spans="1:9" customFormat="1" ht="20.100000000000001" customHeight="1" x14ac:dyDescent="0.2">
      <c r="A212" s="287">
        <v>15</v>
      </c>
      <c r="B212" s="288" t="s">
        <v>284</v>
      </c>
      <c r="C212" s="288">
        <f>-data!AS84</f>
        <v>0</v>
      </c>
      <c r="D212" s="288">
        <f>-data!AT84</f>
        <v>0</v>
      </c>
      <c r="E212" s="288">
        <f>-data!AU84</f>
        <v>0</v>
      </c>
      <c r="F212" s="288">
        <f>-data!AV84</f>
        <v>-2033623.58</v>
      </c>
      <c r="G212" s="288">
        <f>-data!AW84</f>
        <v>0</v>
      </c>
      <c r="H212" s="288">
        <f>-data!AX84</f>
        <v>0</v>
      </c>
      <c r="I212" s="288">
        <f>-data!AY84</f>
        <v>-755457.33</v>
      </c>
    </row>
    <row r="213" spans="1:9" customFormat="1" ht="20.100000000000001" customHeight="1" x14ac:dyDescent="0.2">
      <c r="A213" s="287">
        <v>16</v>
      </c>
      <c r="B213" s="296" t="s">
        <v>1010</v>
      </c>
      <c r="C213" s="288">
        <f>data!AS85</f>
        <v>0</v>
      </c>
      <c r="D213" s="288">
        <f>data!AT85</f>
        <v>0</v>
      </c>
      <c r="E213" s="288">
        <f>data!AU85</f>
        <v>0</v>
      </c>
      <c r="F213" s="288">
        <f>data!AV85</f>
        <v>2224789.2100000009</v>
      </c>
      <c r="G213" s="288">
        <f>data!AW85</f>
        <v>0</v>
      </c>
      <c r="H213" s="288">
        <f>data!AX85</f>
        <v>160120.15</v>
      </c>
      <c r="I213" s="288">
        <f>data!AY85</f>
        <v>2926210.9999999995</v>
      </c>
    </row>
    <row r="214" spans="1:9" customFormat="1" ht="20.100000000000001" customHeight="1" x14ac:dyDescent="0.2">
      <c r="A214" s="287">
        <v>17</v>
      </c>
      <c r="B214" s="288" t="s">
        <v>286</v>
      </c>
      <c r="C214" s="298"/>
      <c r="D214" s="298"/>
      <c r="E214" s="298"/>
      <c r="F214" s="298"/>
      <c r="G214" s="298"/>
      <c r="H214" s="298"/>
      <c r="I214" s="298"/>
    </row>
    <row r="215" spans="1:9" customFormat="1" ht="20.100000000000001" customHeight="1" x14ac:dyDescent="0.2">
      <c r="A215" s="287">
        <v>18</v>
      </c>
      <c r="B215" s="288" t="s">
        <v>1011</v>
      </c>
      <c r="C215" s="296">
        <f>+data!M710</f>
        <v>0</v>
      </c>
      <c r="D215" s="296">
        <f>+data!M711</f>
        <v>0</v>
      </c>
      <c r="E215" s="296">
        <f>+data!M712</f>
        <v>0</v>
      </c>
      <c r="F215" s="296">
        <f>+data!M713</f>
        <v>968379</v>
      </c>
      <c r="G215" s="302"/>
      <c r="H215" s="288"/>
      <c r="I215" s="288"/>
    </row>
    <row r="216" spans="1:9" customFormat="1" ht="20.100000000000001" customHeight="1" x14ac:dyDescent="0.2">
      <c r="A216" s="287">
        <v>19</v>
      </c>
      <c r="B216" s="296" t="s">
        <v>1012</v>
      </c>
      <c r="C216" s="288">
        <f>data!AS87</f>
        <v>0</v>
      </c>
      <c r="D216" s="288">
        <f>data!AT87</f>
        <v>0</v>
      </c>
      <c r="E216" s="288">
        <f>data!AU87</f>
        <v>0</v>
      </c>
      <c r="F216" s="288">
        <f>data!AV87</f>
        <v>771690.83</v>
      </c>
      <c r="G216" s="303" t="str">
        <f>IF(data!AW87&gt;0,data!AW87,"")</f>
        <v>x</v>
      </c>
      <c r="H216" s="303" t="str">
        <f>IF(data!AX87&gt;0,data!AX87,"")</f>
        <v>x</v>
      </c>
      <c r="I216" s="303" t="str">
        <f>IF(data!AY87&gt;0,data!AY87,"")</f>
        <v>x</v>
      </c>
    </row>
    <row r="217" spans="1:9" customFormat="1" ht="20.100000000000001" customHeight="1" x14ac:dyDescent="0.2">
      <c r="A217" s="287">
        <v>20</v>
      </c>
      <c r="B217" s="296" t="s">
        <v>1013</v>
      </c>
      <c r="C217" s="288">
        <f>data!AS88</f>
        <v>0</v>
      </c>
      <c r="D217" s="288">
        <f>data!AT88</f>
        <v>0</v>
      </c>
      <c r="E217" s="288">
        <f>data!AU88</f>
        <v>0</v>
      </c>
      <c r="F217" s="288">
        <f>data!AV88</f>
        <v>-8875.68</v>
      </c>
      <c r="G217" s="303" t="str">
        <f>IF(data!AW88&gt;0,data!AW88,"")</f>
        <v>x</v>
      </c>
      <c r="H217" s="303" t="str">
        <f>IF(data!AX88&gt;0,data!AX88,"")</f>
        <v>x</v>
      </c>
      <c r="I217" s="303" t="str">
        <f>IF(data!AY88&gt;0,data!AY88,"")</f>
        <v>x</v>
      </c>
    </row>
    <row r="218" spans="1:9" customFormat="1" ht="20.100000000000001" customHeight="1" x14ac:dyDescent="0.2">
      <c r="A218" s="287">
        <v>21</v>
      </c>
      <c r="B218" s="296" t="s">
        <v>1014</v>
      </c>
      <c r="C218" s="288">
        <f>data!AS89</f>
        <v>0</v>
      </c>
      <c r="D218" s="288">
        <f>data!AT89</f>
        <v>0</v>
      </c>
      <c r="E218" s="288">
        <f>data!AU89</f>
        <v>0</v>
      </c>
      <c r="F218" s="288">
        <f>data!AV89</f>
        <v>762815.14999999991</v>
      </c>
      <c r="G218" s="303" t="str">
        <f>IF(data!AW89&gt;0,data!AW89,"")</f>
        <v>x</v>
      </c>
      <c r="H218" s="303" t="str">
        <f>IF(data!AX89&gt;0,data!AX89,"")</f>
        <v>x</v>
      </c>
      <c r="I218" s="303" t="str">
        <f>IF(data!AY89&gt;0,data!AY89,"")</f>
        <v>x</v>
      </c>
    </row>
    <row r="219" spans="1:9" customFormat="1" ht="20.100000000000001" customHeight="1" x14ac:dyDescent="0.2">
      <c r="A219" s="287" t="s">
        <v>1015</v>
      </c>
      <c r="B219" s="288"/>
      <c r="C219" s="298"/>
      <c r="D219" s="298"/>
      <c r="E219" s="298"/>
      <c r="F219" s="298"/>
      <c r="G219" s="298"/>
      <c r="H219" s="298"/>
      <c r="I219" s="298"/>
    </row>
    <row r="220" spans="1:9" customFormat="1" ht="20.100000000000001" customHeight="1" x14ac:dyDescent="0.2">
      <c r="A220" s="287">
        <v>22</v>
      </c>
      <c r="B220" s="288" t="s">
        <v>1016</v>
      </c>
      <c r="C220" s="288">
        <f>data!AS90</f>
        <v>0</v>
      </c>
      <c r="D220" s="288">
        <f>data!AT90</f>
        <v>0</v>
      </c>
      <c r="E220" s="288">
        <f>data!AU90</f>
        <v>0</v>
      </c>
      <c r="F220" s="288">
        <f>data!AV90</f>
        <v>802.66666666666674</v>
      </c>
      <c r="G220" s="288">
        <f>data!AW90</f>
        <v>0</v>
      </c>
      <c r="H220" s="288">
        <f>data!AX90</f>
        <v>0</v>
      </c>
      <c r="I220" s="288">
        <f>data!AY90</f>
        <v>0</v>
      </c>
    </row>
    <row r="221" spans="1:9" customFormat="1" ht="20.100000000000001" customHeight="1" x14ac:dyDescent="0.2">
      <c r="A221" s="287">
        <v>23</v>
      </c>
      <c r="B221" s="288" t="s">
        <v>1017</v>
      </c>
      <c r="C221" s="288">
        <f>data!AS91</f>
        <v>0</v>
      </c>
      <c r="D221" s="288">
        <f>data!AT91</f>
        <v>0</v>
      </c>
      <c r="E221" s="288">
        <f>data!AU91</f>
        <v>0</v>
      </c>
      <c r="F221" s="288">
        <f>data!AV91</f>
        <v>10103</v>
      </c>
      <c r="G221" s="288">
        <f>data!AW91</f>
        <v>0</v>
      </c>
      <c r="H221" s="303" t="str">
        <f>IF(data!AX91&gt;0,data!AX91,"")</f>
        <v>x</v>
      </c>
      <c r="I221" s="303" t="str">
        <f>IF(data!AY91&gt;0,data!AY91,"")</f>
        <v>x</v>
      </c>
    </row>
    <row r="222" spans="1:9" customFormat="1" ht="20.100000000000001" customHeight="1" x14ac:dyDescent="0.2">
      <c r="A222" s="287">
        <v>24</v>
      </c>
      <c r="B222" s="288" t="s">
        <v>1018</v>
      </c>
      <c r="C222" s="288">
        <f>data!AS92</f>
        <v>0</v>
      </c>
      <c r="D222" s="288">
        <f>data!AT92</f>
        <v>0</v>
      </c>
      <c r="E222" s="288">
        <f>data!AU92</f>
        <v>0</v>
      </c>
      <c r="F222" s="288">
        <f>data!AV92</f>
        <v>307.8607202431474</v>
      </c>
      <c r="G222" s="288">
        <f>data!AW92</f>
        <v>0</v>
      </c>
      <c r="H222" s="303" t="str">
        <f>IF(data!AX92&gt;0,data!AX92,"")</f>
        <v>x</v>
      </c>
      <c r="I222" s="303" t="str">
        <f>IF(data!AY92&gt;0,data!AY92,"")</f>
        <v>x</v>
      </c>
    </row>
    <row r="223" spans="1:9" customFormat="1" ht="20.100000000000001" customHeight="1" x14ac:dyDescent="0.2">
      <c r="A223" s="287">
        <v>25</v>
      </c>
      <c r="B223" s="288" t="s">
        <v>1019</v>
      </c>
      <c r="C223" s="288">
        <f>data!AS93</f>
        <v>0</v>
      </c>
      <c r="D223" s="288">
        <f>data!AT93</f>
        <v>0</v>
      </c>
      <c r="E223" s="288">
        <f>data!AU93</f>
        <v>0</v>
      </c>
      <c r="F223" s="288">
        <f>data!AV93</f>
        <v>0</v>
      </c>
      <c r="G223" s="288">
        <f>data!AW93</f>
        <v>0</v>
      </c>
      <c r="H223" s="303" t="str">
        <f>IF(data!AX93&gt;0,data!AX93,"")</f>
        <v>x</v>
      </c>
      <c r="I223" s="303" t="str">
        <f>IF(data!AY93&gt;0,data!AY93,"")</f>
        <v>x</v>
      </c>
    </row>
    <row r="224" spans="1:9" customFormat="1" ht="20.100000000000001" customHeight="1" x14ac:dyDescent="0.2">
      <c r="A224" s="287">
        <v>26</v>
      </c>
      <c r="B224" s="288" t="s">
        <v>294</v>
      </c>
      <c r="C224" s="295">
        <f>data!AS94</f>
        <v>0</v>
      </c>
      <c r="D224" s="295">
        <f>data!AT94</f>
        <v>0</v>
      </c>
      <c r="E224" s="295">
        <f>data!AU94</f>
        <v>0</v>
      </c>
      <c r="F224" s="295">
        <f>data!AV94</f>
        <v>22.927240384615384</v>
      </c>
      <c r="G224" s="303" t="str">
        <f>IF(data!AW94&gt;0,data!AW94,"")</f>
        <v>x</v>
      </c>
      <c r="H224" s="303" t="str">
        <f>IF(data!AX94&gt;0,data!AX94,"")</f>
        <v>x</v>
      </c>
      <c r="I224" s="303" t="str">
        <f>IF(data!AY94&gt;0,data!AY94,"")</f>
        <v>x</v>
      </c>
    </row>
    <row r="225" spans="1:9" customFormat="1" ht="20.100000000000001" customHeight="1" x14ac:dyDescent="0.2">
      <c r="A225" s="281" t="s">
        <v>1001</v>
      </c>
      <c r="B225" s="282"/>
      <c r="C225" s="282"/>
      <c r="D225" s="282"/>
      <c r="E225" s="282"/>
      <c r="F225" s="282"/>
      <c r="G225" s="282"/>
      <c r="H225" s="282"/>
      <c r="I225" s="281"/>
    </row>
    <row r="226" spans="1:9" customFormat="1" ht="20.100000000000001" customHeight="1" x14ac:dyDescent="0.2">
      <c r="D226" s="283"/>
      <c r="I226" s="284" t="s">
        <v>1042</v>
      </c>
    </row>
    <row r="227" spans="1:9" customFormat="1" ht="20.100000000000001" customHeight="1" x14ac:dyDescent="0.2">
      <c r="A227" s="283"/>
    </row>
    <row r="228" spans="1:9" customFormat="1" ht="20.100000000000001" customHeight="1" x14ac:dyDescent="0.2">
      <c r="A228" s="285" t="str">
        <f>"Hospital: "&amp;data!C98</f>
        <v>Hospital: St. Francis Hospital</v>
      </c>
      <c r="G228" s="286"/>
      <c r="H228" s="285" t="str">
        <f>"FYE: "&amp;data!C96</f>
        <v>FYE: 6/30/2024</v>
      </c>
    </row>
    <row r="229" spans="1:9" customFormat="1" ht="20.100000000000001" customHeight="1" x14ac:dyDescent="0.2">
      <c r="A229" s="287">
        <v>1</v>
      </c>
      <c r="B229" s="288" t="s">
        <v>236</v>
      </c>
      <c r="C229" s="290" t="s">
        <v>85</v>
      </c>
      <c r="D229" s="290" t="s">
        <v>86</v>
      </c>
      <c r="E229" s="290" t="s">
        <v>87</v>
      </c>
      <c r="F229" s="290" t="s">
        <v>88</v>
      </c>
      <c r="G229" s="290" t="s">
        <v>89</v>
      </c>
      <c r="H229" s="290" t="s">
        <v>90</v>
      </c>
      <c r="I229" s="290" t="s">
        <v>91</v>
      </c>
    </row>
    <row r="230" spans="1:9" customFormat="1" ht="20.100000000000001" customHeight="1" x14ac:dyDescent="0.2">
      <c r="A230" s="291">
        <v>2</v>
      </c>
      <c r="B230" s="292" t="s">
        <v>1003</v>
      </c>
      <c r="C230" s="294"/>
      <c r="D230" s="294" t="s">
        <v>164</v>
      </c>
      <c r="E230" s="294" t="s">
        <v>165</v>
      </c>
      <c r="F230" s="294" t="s">
        <v>134</v>
      </c>
      <c r="G230" s="294"/>
      <c r="H230" s="294"/>
      <c r="I230" s="294"/>
    </row>
    <row r="231" spans="1:9" customFormat="1" ht="20.100000000000001" customHeight="1" x14ac:dyDescent="0.2">
      <c r="A231" s="291"/>
      <c r="B231" s="292"/>
      <c r="C231" s="294" t="s">
        <v>163</v>
      </c>
      <c r="D231" s="294" t="s">
        <v>216</v>
      </c>
      <c r="E231" s="294" t="s">
        <v>1043</v>
      </c>
      <c r="F231" s="294" t="s">
        <v>1044</v>
      </c>
      <c r="G231" s="294" t="s">
        <v>166</v>
      </c>
      <c r="H231" s="294" t="s">
        <v>167</v>
      </c>
      <c r="I231" s="294" t="s">
        <v>168</v>
      </c>
    </row>
    <row r="232" spans="1:9" customFormat="1" ht="20.100000000000001" customHeight="1" x14ac:dyDescent="0.2">
      <c r="A232" s="287">
        <v>3</v>
      </c>
      <c r="B232" s="288" t="s">
        <v>1007</v>
      </c>
      <c r="C232" s="290" t="s">
        <v>1045</v>
      </c>
      <c r="D232" s="290" t="s">
        <v>1046</v>
      </c>
      <c r="E232" s="300"/>
      <c r="F232" s="300"/>
      <c r="G232" s="300"/>
      <c r="H232" s="290" t="s">
        <v>260</v>
      </c>
      <c r="I232" s="300"/>
    </row>
    <row r="233" spans="1:9" customFormat="1" ht="20.100000000000001" customHeight="1" x14ac:dyDescent="0.2">
      <c r="A233" s="287">
        <v>4</v>
      </c>
      <c r="B233" s="288" t="s">
        <v>261</v>
      </c>
      <c r="C233" s="288">
        <f>data!AZ59</f>
        <v>92598</v>
      </c>
      <c r="D233" s="288">
        <f>data!BA59</f>
        <v>0</v>
      </c>
      <c r="E233" s="300"/>
      <c r="F233" s="300"/>
      <c r="G233" s="300"/>
      <c r="H233" s="288">
        <f>data!BE59</f>
        <v>261900</v>
      </c>
      <c r="I233" s="300"/>
    </row>
    <row r="234" spans="1:9" customFormat="1" ht="20.100000000000001" customHeight="1" x14ac:dyDescent="0.2">
      <c r="A234" s="287">
        <v>5</v>
      </c>
      <c r="B234" s="288" t="s">
        <v>262</v>
      </c>
      <c r="C234" s="295">
        <f>data!AZ60</f>
        <v>0</v>
      </c>
      <c r="D234" s="295">
        <f>data!BA60</f>
        <v>-1.6942307692307694E-2</v>
      </c>
      <c r="E234" s="295">
        <f>data!BB60</f>
        <v>0</v>
      </c>
      <c r="F234" s="295">
        <f>data!BC60</f>
        <v>4.3352211538461543</v>
      </c>
      <c r="G234" s="295">
        <f>data!BD60</f>
        <v>0</v>
      </c>
      <c r="H234" s="295">
        <f>data!BE60</f>
        <v>22.351413461538463</v>
      </c>
      <c r="I234" s="295">
        <f>data!BF60</f>
        <v>28.709105769230771</v>
      </c>
    </row>
    <row r="235" spans="1:9" customFormat="1" ht="20.100000000000001" customHeight="1" x14ac:dyDescent="0.2">
      <c r="A235" s="287">
        <v>6</v>
      </c>
      <c r="B235" s="288" t="s">
        <v>263</v>
      </c>
      <c r="C235" s="288">
        <f>data!AZ61</f>
        <v>0</v>
      </c>
      <c r="D235" s="288">
        <f>data!BA61</f>
        <v>-532.55999999999995</v>
      </c>
      <c r="E235" s="288">
        <f>data!BB61</f>
        <v>0</v>
      </c>
      <c r="F235" s="288">
        <f>data!BC61</f>
        <v>306281.59999999998</v>
      </c>
      <c r="G235" s="288">
        <f>data!BD61</f>
        <v>0</v>
      </c>
      <c r="H235" s="288">
        <f>data!BE61</f>
        <v>1528623.24</v>
      </c>
      <c r="I235" s="288">
        <f>data!BF61</f>
        <v>1780039.55</v>
      </c>
    </row>
    <row r="236" spans="1:9" customFormat="1" ht="20.100000000000001" customHeight="1" x14ac:dyDescent="0.2">
      <c r="A236" s="287">
        <v>7</v>
      </c>
      <c r="B236" s="288" t="s">
        <v>11</v>
      </c>
      <c r="C236" s="288">
        <f>data!AZ62</f>
        <v>0</v>
      </c>
      <c r="D236" s="288">
        <f>data!BA62</f>
        <v>-120</v>
      </c>
      <c r="E236" s="288">
        <f>data!BB62</f>
        <v>0</v>
      </c>
      <c r="F236" s="288">
        <f>data!BC62</f>
        <v>69039</v>
      </c>
      <c r="G236" s="288">
        <f>data!BD62</f>
        <v>0</v>
      </c>
      <c r="H236" s="288">
        <f>data!BE62</f>
        <v>344568</v>
      </c>
      <c r="I236" s="288">
        <f>data!BF62</f>
        <v>401240</v>
      </c>
    </row>
    <row r="237" spans="1:9" customFormat="1" ht="20.100000000000001" customHeight="1" x14ac:dyDescent="0.2">
      <c r="A237" s="287">
        <v>8</v>
      </c>
      <c r="B237" s="288" t="s">
        <v>264</v>
      </c>
      <c r="C237" s="288">
        <f>data!AZ63</f>
        <v>0</v>
      </c>
      <c r="D237" s="288">
        <f>data!BA63</f>
        <v>0</v>
      </c>
      <c r="E237" s="288">
        <f>data!BB63</f>
        <v>0</v>
      </c>
      <c r="F237" s="288">
        <f>data!BC63</f>
        <v>0</v>
      </c>
      <c r="G237" s="288">
        <f>data!BD63</f>
        <v>0</v>
      </c>
      <c r="H237" s="288">
        <f>data!BE63</f>
        <v>0</v>
      </c>
      <c r="I237" s="288">
        <f>data!BF63</f>
        <v>0</v>
      </c>
    </row>
    <row r="238" spans="1:9" customFormat="1" ht="20.100000000000001" customHeight="1" x14ac:dyDescent="0.2">
      <c r="A238" s="287">
        <v>9</v>
      </c>
      <c r="B238" s="288" t="s">
        <v>265</v>
      </c>
      <c r="C238" s="288">
        <f>data!AZ64</f>
        <v>0</v>
      </c>
      <c r="D238" s="288">
        <f>data!BA64</f>
        <v>0</v>
      </c>
      <c r="E238" s="288">
        <f>data!BB64</f>
        <v>0</v>
      </c>
      <c r="F238" s="288">
        <f>data!BC64</f>
        <v>1958.02</v>
      </c>
      <c r="G238" s="288">
        <f>data!BD64</f>
        <v>842.29</v>
      </c>
      <c r="H238" s="288">
        <f>data!BE64</f>
        <v>22819.920000000002</v>
      </c>
      <c r="I238" s="288">
        <f>data!BF64</f>
        <v>231325.13</v>
      </c>
    </row>
    <row r="239" spans="1:9" customFormat="1" ht="20.100000000000001" customHeight="1" x14ac:dyDescent="0.2">
      <c r="A239" s="287">
        <v>10</v>
      </c>
      <c r="B239" s="288" t="s">
        <v>525</v>
      </c>
      <c r="C239" s="288">
        <f>data!AZ65</f>
        <v>0</v>
      </c>
      <c r="D239" s="288">
        <f>data!BA65</f>
        <v>0</v>
      </c>
      <c r="E239" s="288">
        <f>data!BB65</f>
        <v>0</v>
      </c>
      <c r="F239" s="288">
        <f>data!BC65</f>
        <v>588.12</v>
      </c>
      <c r="G239" s="288">
        <f>data!BD65</f>
        <v>0</v>
      </c>
      <c r="H239" s="288">
        <f>data!BE65</f>
        <v>1507099.0100000002</v>
      </c>
      <c r="I239" s="288">
        <f>data!BF65</f>
        <v>0</v>
      </c>
    </row>
    <row r="240" spans="1:9" customFormat="1" ht="20.100000000000001" customHeight="1" x14ac:dyDescent="0.2">
      <c r="A240" s="287">
        <v>11</v>
      </c>
      <c r="B240" s="288" t="s">
        <v>526</v>
      </c>
      <c r="C240" s="288">
        <f>data!AZ66</f>
        <v>0</v>
      </c>
      <c r="D240" s="288">
        <f>data!BA66</f>
        <v>123555.64</v>
      </c>
      <c r="E240" s="288">
        <f>data!BB66</f>
        <v>0</v>
      </c>
      <c r="F240" s="288">
        <f>data!BC66</f>
        <v>64041.41</v>
      </c>
      <c r="G240" s="288">
        <f>data!BD66</f>
        <v>394773.49</v>
      </c>
      <c r="H240" s="288">
        <f>data!BE66</f>
        <v>3991178.97</v>
      </c>
      <c r="I240" s="288">
        <f>data!BF66</f>
        <v>287110.65999999997</v>
      </c>
    </row>
    <row r="241" spans="1:9" customFormat="1" ht="20.100000000000001" customHeight="1" x14ac:dyDescent="0.2">
      <c r="A241" s="287">
        <v>12</v>
      </c>
      <c r="B241" s="288" t="s">
        <v>16</v>
      </c>
      <c r="C241" s="288">
        <f>data!AZ67</f>
        <v>105103</v>
      </c>
      <c r="D241" s="288">
        <f>data!BA67</f>
        <v>39754</v>
      </c>
      <c r="E241" s="288">
        <f>data!BB67</f>
        <v>0</v>
      </c>
      <c r="F241" s="288">
        <f>data!BC67</f>
        <v>0</v>
      </c>
      <c r="G241" s="288">
        <f>data!BD67</f>
        <v>0</v>
      </c>
      <c r="H241" s="288">
        <f>data!BE67</f>
        <v>1567512</v>
      </c>
      <c r="I241" s="288">
        <f>data!BF67</f>
        <v>18688</v>
      </c>
    </row>
    <row r="242" spans="1:9" customFormat="1" ht="20.100000000000001" customHeight="1" x14ac:dyDescent="0.2">
      <c r="A242" s="287">
        <v>13</v>
      </c>
      <c r="B242" s="288" t="s">
        <v>1008</v>
      </c>
      <c r="C242" s="288">
        <f>data!AZ68</f>
        <v>0</v>
      </c>
      <c r="D242" s="288">
        <f>data!BA68</f>
        <v>0</v>
      </c>
      <c r="E242" s="288">
        <f>data!BB68</f>
        <v>0</v>
      </c>
      <c r="F242" s="288">
        <f>data!BC68</f>
        <v>0</v>
      </c>
      <c r="G242" s="288">
        <f>data!BD68</f>
        <v>325301.26</v>
      </c>
      <c r="H242" s="288">
        <f>data!BE68</f>
        <v>3301.59</v>
      </c>
      <c r="I242" s="288">
        <f>data!BF68</f>
        <v>1341.39</v>
      </c>
    </row>
    <row r="243" spans="1:9" customFormat="1" ht="20.100000000000001" customHeight="1" x14ac:dyDescent="0.2">
      <c r="A243" s="287">
        <v>14</v>
      </c>
      <c r="B243" s="288" t="s">
        <v>1009</v>
      </c>
      <c r="C243" s="288">
        <f>data!AZ69</f>
        <v>0</v>
      </c>
      <c r="D243" s="288">
        <f>data!BA69</f>
        <v>31584</v>
      </c>
      <c r="E243" s="288">
        <f>data!BB69</f>
        <v>0</v>
      </c>
      <c r="F243" s="288">
        <f>data!BC69</f>
        <v>0</v>
      </c>
      <c r="G243" s="288">
        <f>data!BD69</f>
        <v>0</v>
      </c>
      <c r="H243" s="288">
        <f>data!BE69</f>
        <v>913262.2799999998</v>
      </c>
      <c r="I243" s="288">
        <f>data!BF69</f>
        <v>189846.76</v>
      </c>
    </row>
    <row r="244" spans="1:9" customFormat="1" ht="20.100000000000001" customHeight="1" x14ac:dyDescent="0.2">
      <c r="A244" s="287">
        <v>15</v>
      </c>
      <c r="B244" s="288" t="s">
        <v>284</v>
      </c>
      <c r="C244" s="288">
        <f>-data!AZ84</f>
        <v>0</v>
      </c>
      <c r="D244" s="288">
        <f>-data!BA84</f>
        <v>0</v>
      </c>
      <c r="E244" s="288">
        <f>-data!BB84</f>
        <v>0</v>
      </c>
      <c r="F244" s="288">
        <f>-data!BC84</f>
        <v>0</v>
      </c>
      <c r="G244" s="288">
        <f>-data!BD84</f>
        <v>0</v>
      </c>
      <c r="H244" s="288">
        <f>-data!BE84</f>
        <v>-37181.619999999995</v>
      </c>
      <c r="I244" s="288">
        <f>-data!BF84</f>
        <v>0</v>
      </c>
    </row>
    <row r="245" spans="1:9" customFormat="1" ht="20.100000000000001" customHeight="1" x14ac:dyDescent="0.2">
      <c r="A245" s="287">
        <v>16</v>
      </c>
      <c r="B245" s="296" t="s">
        <v>1010</v>
      </c>
      <c r="C245" s="288">
        <f>data!AZ85</f>
        <v>105103</v>
      </c>
      <c r="D245" s="288">
        <f>data!BA85</f>
        <v>194241.08000000002</v>
      </c>
      <c r="E245" s="288">
        <f>data!BB85</f>
        <v>0</v>
      </c>
      <c r="F245" s="288">
        <f>data!BC85</f>
        <v>441908.15</v>
      </c>
      <c r="G245" s="288">
        <f>data!BD85</f>
        <v>720917.04</v>
      </c>
      <c r="H245" s="288">
        <f>data!BE85</f>
        <v>9841183.3900000006</v>
      </c>
      <c r="I245" s="288">
        <f>data!BF85</f>
        <v>2909591.49</v>
      </c>
    </row>
    <row r="246" spans="1:9" customFormat="1" ht="20.100000000000001" customHeight="1" x14ac:dyDescent="0.2">
      <c r="A246" s="287">
        <v>17</v>
      </c>
      <c r="B246" s="288" t="s">
        <v>286</v>
      </c>
      <c r="C246" s="298"/>
      <c r="D246" s="298"/>
      <c r="E246" s="298"/>
      <c r="F246" s="298"/>
      <c r="G246" s="298"/>
      <c r="H246" s="298"/>
      <c r="I246" s="298"/>
    </row>
    <row r="247" spans="1:9" customFormat="1" ht="20.100000000000001" customHeight="1" x14ac:dyDescent="0.2">
      <c r="A247" s="287">
        <v>18</v>
      </c>
      <c r="B247" s="288" t="s">
        <v>1011</v>
      </c>
      <c r="C247" s="288"/>
      <c r="D247" s="288"/>
      <c r="E247" s="288"/>
      <c r="F247" s="288"/>
      <c r="G247" s="288"/>
      <c r="H247" s="288"/>
      <c r="I247" s="288"/>
    </row>
    <row r="248" spans="1:9" customFormat="1" ht="20.100000000000001" customHeight="1" x14ac:dyDescent="0.2">
      <c r="A248" s="287">
        <v>19</v>
      </c>
      <c r="B248" s="296" t="s">
        <v>1012</v>
      </c>
      <c r="C248" s="303" t="str">
        <f>IF(data!AZ87&gt;0,data!AZ87,"")</f>
        <v>x</v>
      </c>
      <c r="D248" s="303" t="str">
        <f>IF(data!BA87&gt;0,data!BA87,"")</f>
        <v>x</v>
      </c>
      <c r="E248" s="303" t="str">
        <f>IF(data!BB87&gt;0,data!BB87,"")</f>
        <v>x</v>
      </c>
      <c r="F248" s="303" t="str">
        <f>IF(data!BC87&gt;0,data!BC87,"")</f>
        <v>x</v>
      </c>
      <c r="G248" s="303" t="str">
        <f>IF(data!BD87&gt;0,data!BD87,"")</f>
        <v>x</v>
      </c>
      <c r="H248" s="303" t="str">
        <f>IF(data!BE87&gt;0,data!BE87,"")</f>
        <v>x</v>
      </c>
      <c r="I248" s="303" t="str">
        <f>IF(data!BF87&gt;0,data!BF87,"")</f>
        <v>x</v>
      </c>
    </row>
    <row r="249" spans="1:9" customFormat="1" ht="20.100000000000001" customHeight="1" x14ac:dyDescent="0.2">
      <c r="A249" s="287">
        <v>20</v>
      </c>
      <c r="B249" s="296" t="s">
        <v>1013</v>
      </c>
      <c r="C249" s="303" t="str">
        <f>IF(data!AZ88&gt;0,data!AZ88,"")</f>
        <v>x</v>
      </c>
      <c r="D249" s="303" t="str">
        <f>IF(data!BA88&gt;0,data!BA88,"")</f>
        <v>x</v>
      </c>
      <c r="E249" s="303" t="str">
        <f>IF(data!BB88&gt;0,data!BB88,"")</f>
        <v>x</v>
      </c>
      <c r="F249" s="303" t="str">
        <f>IF(data!BC88&gt;0,data!BC88,"")</f>
        <v>x</v>
      </c>
      <c r="G249" s="303" t="str">
        <f>IF(data!BD88&gt;0,data!BD88,"")</f>
        <v>x</v>
      </c>
      <c r="H249" s="303" t="str">
        <f>IF(data!BE88&gt;0,data!BE88,"")</f>
        <v>x</v>
      </c>
      <c r="I249" s="303" t="str">
        <f>IF(data!BF88&gt;0,data!BF88,"")</f>
        <v>x</v>
      </c>
    </row>
    <row r="250" spans="1:9" customFormat="1" ht="20.100000000000001" customHeight="1" x14ac:dyDescent="0.2">
      <c r="A250" s="287">
        <v>21</v>
      </c>
      <c r="B250" s="296" t="s">
        <v>1014</v>
      </c>
      <c r="C250" s="303" t="str">
        <f>IF(data!AZ89&gt;0,data!AZ89,"")</f>
        <v>x</v>
      </c>
      <c r="D250" s="303" t="str">
        <f>IF(data!BA89&gt;0,data!BA89,"")</f>
        <v>x</v>
      </c>
      <c r="E250" s="303" t="str">
        <f>IF(data!BB89&gt;0,data!BB89,"")</f>
        <v>x</v>
      </c>
      <c r="F250" s="303" t="str">
        <f>IF(data!BC89&gt;0,data!BC89,"")</f>
        <v>x</v>
      </c>
      <c r="G250" s="303" t="str">
        <f>IF(data!BD89&gt;0,data!BD89,"")</f>
        <v>x</v>
      </c>
      <c r="H250" s="303" t="str">
        <f>IF(data!BE89&gt;0,data!BE89,"")</f>
        <v>x</v>
      </c>
      <c r="I250" s="303" t="str">
        <f>IF(data!BF89&gt;0,data!BF89,"")</f>
        <v>x</v>
      </c>
    </row>
    <row r="251" spans="1:9" customFormat="1" ht="20.100000000000001" customHeight="1" x14ac:dyDescent="0.2">
      <c r="A251" s="287" t="s">
        <v>1015</v>
      </c>
      <c r="B251" s="288"/>
      <c r="C251" s="298"/>
      <c r="D251" s="298"/>
      <c r="E251" s="298"/>
      <c r="F251" s="298"/>
      <c r="G251" s="298"/>
      <c r="H251" s="298"/>
      <c r="I251" s="298"/>
    </row>
    <row r="252" spans="1:9" customFormat="1" ht="20.100000000000001" customHeight="1" x14ac:dyDescent="0.2">
      <c r="A252" s="287">
        <v>22</v>
      </c>
      <c r="B252" s="288" t="s">
        <v>1016</v>
      </c>
      <c r="C252" s="304">
        <f>data!AZ90</f>
        <v>5708</v>
      </c>
      <c r="D252" s="304">
        <f>data!BA90</f>
        <v>2159</v>
      </c>
      <c r="E252" s="304">
        <f>data!BB90</f>
        <v>0</v>
      </c>
      <c r="F252" s="304">
        <f>data!BC90</f>
        <v>0</v>
      </c>
      <c r="G252" s="304">
        <f>data!BD90</f>
        <v>0</v>
      </c>
      <c r="H252" s="304">
        <f>data!BE90</f>
        <v>60387</v>
      </c>
      <c r="I252" s="304">
        <f>data!BF90</f>
        <v>625</v>
      </c>
    </row>
    <row r="253" spans="1:9" customFormat="1" ht="20.100000000000001" customHeight="1" x14ac:dyDescent="0.2">
      <c r="A253" s="287">
        <v>23</v>
      </c>
      <c r="B253" s="288" t="s">
        <v>1017</v>
      </c>
      <c r="C253" s="304">
        <f>data!AZ91</f>
        <v>0</v>
      </c>
      <c r="D253" s="304">
        <f>data!BA91</f>
        <v>0</v>
      </c>
      <c r="E253" s="304">
        <f>data!BB91</f>
        <v>0</v>
      </c>
      <c r="F253" s="304">
        <f>data!BC91</f>
        <v>0</v>
      </c>
      <c r="G253" s="303" t="str">
        <f>IF(data!BD91&gt;0,data!BD91,"")</f>
        <v>x</v>
      </c>
      <c r="H253" s="303" t="str">
        <f>IF(data!BE91&gt;0,data!BE91,"")</f>
        <v>x</v>
      </c>
      <c r="I253" s="304">
        <f>data!BF91</f>
        <v>0</v>
      </c>
    </row>
    <row r="254" spans="1:9" customFormat="1" ht="20.100000000000001" customHeight="1" x14ac:dyDescent="0.2">
      <c r="A254" s="287">
        <v>24</v>
      </c>
      <c r="B254" s="288" t="s">
        <v>1018</v>
      </c>
      <c r="C254" s="303" t="str">
        <f>IF(data!AZ92&gt;0,data!AZ92,"")</f>
        <v>x</v>
      </c>
      <c r="D254" s="304">
        <f>data!BA92</f>
        <v>791.39168106299587</v>
      </c>
      <c r="E254" s="304">
        <f>data!BB92</f>
        <v>0</v>
      </c>
      <c r="F254" s="304">
        <f>data!BC92</f>
        <v>0</v>
      </c>
      <c r="G254" s="303" t="str">
        <f>IF(data!BD92&gt;0,data!BD92,"")</f>
        <v>x</v>
      </c>
      <c r="H254" s="303" t="str">
        <f>IF(data!BE92&gt;0,data!BE92,"")</f>
        <v>x</v>
      </c>
      <c r="I254" s="303" t="str">
        <f>IF(data!BF92&gt;0,data!BF92,"")</f>
        <v>x</v>
      </c>
    </row>
    <row r="255" spans="1:9" customFormat="1" ht="20.100000000000001" customHeight="1" x14ac:dyDescent="0.2">
      <c r="A255" s="287">
        <v>25</v>
      </c>
      <c r="B255" s="288" t="s">
        <v>1019</v>
      </c>
      <c r="C255" s="303" t="str">
        <f>IF(data!AZ93&gt;0,data!AZ93,"")</f>
        <v>x</v>
      </c>
      <c r="D255" s="303" t="str">
        <f>IF(data!BA93&gt;0,data!BA93,"")</f>
        <v>x</v>
      </c>
      <c r="E255" s="304">
        <f>data!BB93</f>
        <v>0</v>
      </c>
      <c r="F255" s="304">
        <f>data!BC93</f>
        <v>0</v>
      </c>
      <c r="G255" s="303" t="str">
        <f>IF(data!BD93&gt;0,data!BD93,"")</f>
        <v>x</v>
      </c>
      <c r="H255" s="303" t="str">
        <f>IF(data!BE93&gt;0,data!BE93,"")</f>
        <v>x</v>
      </c>
      <c r="I255" s="303" t="str">
        <f>IF(data!BF93&gt;0,data!BF93,"")</f>
        <v>x</v>
      </c>
    </row>
    <row r="256" spans="1:9" customFormat="1" ht="20.100000000000001" customHeight="1" x14ac:dyDescent="0.2">
      <c r="A256" s="287">
        <v>26</v>
      </c>
      <c r="B256" s="288" t="s">
        <v>294</v>
      </c>
      <c r="C256" s="303" t="str">
        <f>IF(data!AZ94&gt;0,data!AZ94,"")</f>
        <v>x</v>
      </c>
      <c r="D256" s="303" t="str">
        <f>IF(data!BA94&gt;0,data!BA94,"")</f>
        <v>x</v>
      </c>
      <c r="E256" s="303" t="str">
        <f>IF(data!BB94&gt;0,data!BB94,"")</f>
        <v>x</v>
      </c>
      <c r="F256" s="303" t="str">
        <f>IF(data!BC94&gt;0,data!BC94,"")</f>
        <v>x</v>
      </c>
      <c r="G256" s="303" t="str">
        <f>IF(data!BD94&gt;0,data!BD94,"")</f>
        <v>x</v>
      </c>
      <c r="H256" s="303" t="str">
        <f>IF(data!BE94&gt;0,data!BE94,"")</f>
        <v>x</v>
      </c>
      <c r="I256" s="303" t="str">
        <f>IF(data!BF94&gt;0,data!BF94,"")</f>
        <v>x</v>
      </c>
    </row>
    <row r="257" spans="1:9" customFormat="1" ht="20.100000000000001" customHeight="1" x14ac:dyDescent="0.2">
      <c r="A257" s="281" t="s">
        <v>1001</v>
      </c>
      <c r="B257" s="282"/>
      <c r="C257" s="282"/>
      <c r="D257" s="282"/>
      <c r="E257" s="282"/>
      <c r="F257" s="282"/>
      <c r="G257" s="282"/>
      <c r="H257" s="282"/>
      <c r="I257" s="281"/>
    </row>
    <row r="258" spans="1:9" customFormat="1" ht="20.100000000000001" customHeight="1" x14ac:dyDescent="0.2">
      <c r="D258" s="283"/>
      <c r="I258" s="284" t="s">
        <v>1047</v>
      </c>
    </row>
    <row r="259" spans="1:9" customFormat="1" ht="20.100000000000001" customHeight="1" x14ac:dyDescent="0.2">
      <c r="A259" s="283"/>
    </row>
    <row r="260" spans="1:9" customFormat="1" ht="20.100000000000001" customHeight="1" x14ac:dyDescent="0.2">
      <c r="A260" s="285" t="str">
        <f>"Hospital: "&amp;data!C98</f>
        <v>Hospital: St. Francis Hospital</v>
      </c>
      <c r="G260" s="286"/>
      <c r="H260" s="285" t="str">
        <f>"FYE: "&amp;data!C96</f>
        <v>FYE: 6/30/2024</v>
      </c>
    </row>
    <row r="261" spans="1:9" customFormat="1" ht="20.100000000000001" customHeight="1" x14ac:dyDescent="0.2">
      <c r="A261" s="287">
        <v>1</v>
      </c>
      <c r="B261" s="288" t="s">
        <v>236</v>
      </c>
      <c r="C261" s="290" t="s">
        <v>92</v>
      </c>
      <c r="D261" s="290" t="s">
        <v>93</v>
      </c>
      <c r="E261" s="290" t="s">
        <v>94</v>
      </c>
      <c r="F261" s="290" t="s">
        <v>95</v>
      </c>
      <c r="G261" s="290" t="s">
        <v>96</v>
      </c>
      <c r="H261" s="290" t="s">
        <v>97</v>
      </c>
      <c r="I261" s="290" t="s">
        <v>98</v>
      </c>
    </row>
    <row r="262" spans="1:9" customFormat="1" ht="20.100000000000001" customHeight="1" x14ac:dyDescent="0.2">
      <c r="A262" s="291">
        <v>2</v>
      </c>
      <c r="B262" s="292" t="s">
        <v>1003</v>
      </c>
      <c r="C262" s="294" t="s">
        <v>1048</v>
      </c>
      <c r="D262" s="294" t="s">
        <v>170</v>
      </c>
      <c r="E262" s="294" t="s">
        <v>171</v>
      </c>
      <c r="F262" s="294"/>
      <c r="G262" s="294" t="s">
        <v>173</v>
      </c>
      <c r="H262" s="294"/>
      <c r="I262" s="294" t="s">
        <v>159</v>
      </c>
    </row>
    <row r="263" spans="1:9" customFormat="1" ht="20.100000000000001" customHeight="1" x14ac:dyDescent="0.2">
      <c r="A263" s="291"/>
      <c r="B263" s="292"/>
      <c r="C263" s="294" t="s">
        <v>1049</v>
      </c>
      <c r="D263" s="294" t="s">
        <v>217</v>
      </c>
      <c r="E263" s="294" t="s">
        <v>196</v>
      </c>
      <c r="F263" s="294" t="s">
        <v>172</v>
      </c>
      <c r="G263" s="294" t="s">
        <v>218</v>
      </c>
      <c r="H263" s="294" t="s">
        <v>174</v>
      </c>
      <c r="I263" s="294" t="s">
        <v>1050</v>
      </c>
    </row>
    <row r="264" spans="1:9" customFormat="1" ht="20.100000000000001" customHeight="1" x14ac:dyDescent="0.2">
      <c r="A264" s="287">
        <v>3</v>
      </c>
      <c r="B264" s="288" t="s">
        <v>1007</v>
      </c>
      <c r="C264" s="300"/>
      <c r="D264" s="300"/>
      <c r="E264" s="300"/>
      <c r="F264" s="300"/>
      <c r="G264" s="300"/>
      <c r="H264" s="300"/>
      <c r="I264" s="300"/>
    </row>
    <row r="265" spans="1:9" customFormat="1" ht="20.100000000000001" customHeight="1" x14ac:dyDescent="0.2">
      <c r="A265" s="287">
        <v>4</v>
      </c>
      <c r="B265" s="288" t="s">
        <v>261</v>
      </c>
      <c r="C265" s="300"/>
      <c r="D265" s="300"/>
      <c r="E265" s="300"/>
      <c r="F265" s="300"/>
      <c r="G265" s="300"/>
      <c r="H265" s="300"/>
      <c r="I265" s="300"/>
    </row>
    <row r="266" spans="1:9" customFormat="1" ht="20.100000000000001" customHeight="1" x14ac:dyDescent="0.2">
      <c r="A266" s="287">
        <v>5</v>
      </c>
      <c r="B266" s="288" t="s">
        <v>262</v>
      </c>
      <c r="C266" s="295">
        <f>data!BG60</f>
        <v>0</v>
      </c>
      <c r="D266" s="295">
        <f>data!BH60</f>
        <v>0</v>
      </c>
      <c r="E266" s="295">
        <f>data!BI60</f>
        <v>0</v>
      </c>
      <c r="F266" s="295">
        <f>data!BJ60</f>
        <v>1.2450384615384613</v>
      </c>
      <c r="G266" s="295">
        <f>data!BK60</f>
        <v>0</v>
      </c>
      <c r="H266" s="295">
        <f>data!BL60</f>
        <v>1.8461538461538463</v>
      </c>
      <c r="I266" s="295">
        <f>data!BM60</f>
        <v>0.78176442307692318</v>
      </c>
    </row>
    <row r="267" spans="1:9" customFormat="1" ht="20.100000000000001" customHeight="1" x14ac:dyDescent="0.2">
      <c r="A267" s="287">
        <v>6</v>
      </c>
      <c r="B267" s="288" t="s">
        <v>263</v>
      </c>
      <c r="C267" s="288">
        <f>data!BG61</f>
        <v>0</v>
      </c>
      <c r="D267" s="288">
        <f>data!BH61</f>
        <v>0</v>
      </c>
      <c r="E267" s="288">
        <f>data!BI61</f>
        <v>0</v>
      </c>
      <c r="F267" s="288">
        <f>data!BJ61</f>
        <v>198257.58</v>
      </c>
      <c r="G267" s="288">
        <f>data!BK61</f>
        <v>0</v>
      </c>
      <c r="H267" s="288">
        <f>data!BL61</f>
        <v>89894.399999999994</v>
      </c>
      <c r="I267" s="288">
        <f>data!BM61</f>
        <v>118859.91</v>
      </c>
    </row>
    <row r="268" spans="1:9" customFormat="1" ht="20.100000000000001" customHeight="1" x14ac:dyDescent="0.2">
      <c r="A268" s="287">
        <v>7</v>
      </c>
      <c r="B268" s="288" t="s">
        <v>11</v>
      </c>
      <c r="C268" s="288">
        <f>data!BG62</f>
        <v>0</v>
      </c>
      <c r="D268" s="288">
        <f>data!BH62</f>
        <v>0</v>
      </c>
      <c r="E268" s="288">
        <f>data!BI62</f>
        <v>0</v>
      </c>
      <c r="F268" s="288">
        <f>data!BJ62</f>
        <v>44689</v>
      </c>
      <c r="G268" s="288">
        <f>data!BK62</f>
        <v>0</v>
      </c>
      <c r="H268" s="288">
        <f>data!BL62</f>
        <v>20263</v>
      </c>
      <c r="I268" s="288">
        <f>data!BM62</f>
        <v>26792</v>
      </c>
    </row>
    <row r="269" spans="1:9" customFormat="1" ht="20.100000000000001" customHeight="1" x14ac:dyDescent="0.2">
      <c r="A269" s="287">
        <v>8</v>
      </c>
      <c r="B269" s="288" t="s">
        <v>264</v>
      </c>
      <c r="C269" s="288">
        <f>data!BG63</f>
        <v>0</v>
      </c>
      <c r="D269" s="288">
        <f>data!BH63</f>
        <v>0</v>
      </c>
      <c r="E269" s="288">
        <f>data!BI63</f>
        <v>0</v>
      </c>
      <c r="F269" s="288">
        <f>data!BJ63</f>
        <v>0</v>
      </c>
      <c r="G269" s="288">
        <f>data!BK63</f>
        <v>0</v>
      </c>
      <c r="H269" s="288">
        <f>data!BL63</f>
        <v>0</v>
      </c>
      <c r="I269" s="288">
        <f>data!BM63</f>
        <v>0</v>
      </c>
    </row>
    <row r="270" spans="1:9" customFormat="1" ht="20.100000000000001" customHeight="1" x14ac:dyDescent="0.2">
      <c r="A270" s="287">
        <v>9</v>
      </c>
      <c r="B270" s="288" t="s">
        <v>265</v>
      </c>
      <c r="C270" s="288">
        <f>data!BG64</f>
        <v>0</v>
      </c>
      <c r="D270" s="288">
        <f>data!BH64</f>
        <v>0</v>
      </c>
      <c r="E270" s="288">
        <f>data!BI64</f>
        <v>0</v>
      </c>
      <c r="F270" s="288">
        <f>data!BJ64</f>
        <v>0</v>
      </c>
      <c r="G270" s="288">
        <f>data!BK64</f>
        <v>0</v>
      </c>
      <c r="H270" s="288">
        <f>data!BL64</f>
        <v>17974.63</v>
      </c>
      <c r="I270" s="288">
        <f>data!BM64</f>
        <v>0</v>
      </c>
    </row>
    <row r="271" spans="1:9" customFormat="1" ht="20.100000000000001" customHeight="1" x14ac:dyDescent="0.2">
      <c r="A271" s="287">
        <v>10</v>
      </c>
      <c r="B271" s="288" t="s">
        <v>525</v>
      </c>
      <c r="C271" s="288">
        <f>data!BG65</f>
        <v>0</v>
      </c>
      <c r="D271" s="288">
        <f>data!BH65</f>
        <v>0</v>
      </c>
      <c r="E271" s="288">
        <f>data!BI65</f>
        <v>0</v>
      </c>
      <c r="F271" s="288">
        <f>data!BJ65</f>
        <v>0</v>
      </c>
      <c r="G271" s="288">
        <f>data!BK65</f>
        <v>0</v>
      </c>
      <c r="H271" s="288">
        <f>data!BL65</f>
        <v>257</v>
      </c>
      <c r="I271" s="288">
        <f>data!BM65</f>
        <v>0</v>
      </c>
    </row>
    <row r="272" spans="1:9" customFormat="1" ht="20.100000000000001" customHeight="1" x14ac:dyDescent="0.2">
      <c r="A272" s="287">
        <v>11</v>
      </c>
      <c r="B272" s="288" t="s">
        <v>526</v>
      </c>
      <c r="C272" s="288">
        <f>data!BG66</f>
        <v>378896.46</v>
      </c>
      <c r="D272" s="288">
        <f>data!BH66</f>
        <v>316819.01</v>
      </c>
      <c r="E272" s="288">
        <f>data!BI66</f>
        <v>0</v>
      </c>
      <c r="F272" s="288">
        <f>data!BJ66</f>
        <v>1496.4700000000089</v>
      </c>
      <c r="G272" s="288">
        <f>data!BK66</f>
        <v>15580271.76</v>
      </c>
      <c r="H272" s="288">
        <f>data!BL66</f>
        <v>5543155.2400000002</v>
      </c>
      <c r="I272" s="288">
        <f>data!BM66</f>
        <v>0</v>
      </c>
    </row>
    <row r="273" spans="1:9" customFormat="1" ht="20.100000000000001" customHeight="1" x14ac:dyDescent="0.2">
      <c r="A273" s="287">
        <v>12</v>
      </c>
      <c r="B273" s="288" t="s">
        <v>16</v>
      </c>
      <c r="C273" s="288">
        <f>data!BG67</f>
        <v>0</v>
      </c>
      <c r="D273" s="288">
        <f>data!BH67</f>
        <v>0</v>
      </c>
      <c r="E273" s="288">
        <f>data!BI67</f>
        <v>8912</v>
      </c>
      <c r="F273" s="288">
        <f>data!BJ67</f>
        <v>0</v>
      </c>
      <c r="G273" s="288">
        <f>data!BK67</f>
        <v>0</v>
      </c>
      <c r="H273" s="288">
        <f>data!BL67</f>
        <v>2132</v>
      </c>
      <c r="I273" s="288">
        <f>data!BM67</f>
        <v>0</v>
      </c>
    </row>
    <row r="274" spans="1:9" customFormat="1" ht="20.100000000000001" customHeight="1" x14ac:dyDescent="0.2">
      <c r="A274" s="287">
        <v>13</v>
      </c>
      <c r="B274" s="288" t="s">
        <v>1008</v>
      </c>
      <c r="C274" s="288">
        <f>data!BG68</f>
        <v>0</v>
      </c>
      <c r="D274" s="288">
        <f>data!BH68</f>
        <v>0</v>
      </c>
      <c r="E274" s="288">
        <f>data!BI68</f>
        <v>0</v>
      </c>
      <c r="F274" s="288">
        <f>data!BJ68</f>
        <v>0</v>
      </c>
      <c r="G274" s="288">
        <f>data!BK68</f>
        <v>0</v>
      </c>
      <c r="H274" s="288">
        <f>data!BL68</f>
        <v>5900.43</v>
      </c>
      <c r="I274" s="288">
        <f>data!BM68</f>
        <v>0</v>
      </c>
    </row>
    <row r="275" spans="1:9" customFormat="1" ht="20.100000000000001" customHeight="1" x14ac:dyDescent="0.2">
      <c r="A275" s="287">
        <v>14</v>
      </c>
      <c r="B275" s="288" t="s">
        <v>1009</v>
      </c>
      <c r="C275" s="288">
        <f>data!BG69</f>
        <v>0</v>
      </c>
      <c r="D275" s="288">
        <f>data!BH69</f>
        <v>0</v>
      </c>
      <c r="E275" s="288">
        <f>data!BI69</f>
        <v>0</v>
      </c>
      <c r="F275" s="288">
        <f>data!BJ69</f>
        <v>0</v>
      </c>
      <c r="G275" s="288">
        <f>data!BK69</f>
        <v>111683</v>
      </c>
      <c r="H275" s="288">
        <f>data!BL69</f>
        <v>3695.66</v>
      </c>
      <c r="I275" s="288">
        <f>data!BM69</f>
        <v>0</v>
      </c>
    </row>
    <row r="276" spans="1:9" customFormat="1" ht="20.100000000000001" customHeight="1" x14ac:dyDescent="0.2">
      <c r="A276" s="287">
        <v>15</v>
      </c>
      <c r="B276" s="288" t="s">
        <v>284</v>
      </c>
      <c r="C276" s="288">
        <f>-data!BG84</f>
        <v>0</v>
      </c>
      <c r="D276" s="288">
        <f>-data!BH84</f>
        <v>0</v>
      </c>
      <c r="E276" s="288">
        <f>-data!BI84</f>
        <v>-9.25</v>
      </c>
      <c r="F276" s="288">
        <f>-data!BJ84</f>
        <v>0</v>
      </c>
      <c r="G276" s="288">
        <f>-data!BK84</f>
        <v>0</v>
      </c>
      <c r="H276" s="288">
        <f>-data!BL84</f>
        <v>0</v>
      </c>
      <c r="I276" s="288">
        <f>-data!BM84</f>
        <v>0</v>
      </c>
    </row>
    <row r="277" spans="1:9" customFormat="1" ht="20.100000000000001" customHeight="1" x14ac:dyDescent="0.2">
      <c r="A277" s="287">
        <v>16</v>
      </c>
      <c r="B277" s="296" t="s">
        <v>1010</v>
      </c>
      <c r="C277" s="288">
        <f>data!BG85</f>
        <v>378896.46</v>
      </c>
      <c r="D277" s="288">
        <f>data!BH85</f>
        <v>316819.01</v>
      </c>
      <c r="E277" s="288">
        <f>data!BI85</f>
        <v>8902.75</v>
      </c>
      <c r="F277" s="288">
        <f>data!BJ85</f>
        <v>244443.05</v>
      </c>
      <c r="G277" s="288">
        <f>data!BK85</f>
        <v>15691954.76</v>
      </c>
      <c r="H277" s="288">
        <f>data!BL85</f>
        <v>5683272.3600000003</v>
      </c>
      <c r="I277" s="288">
        <f>data!BM85</f>
        <v>145651.91</v>
      </c>
    </row>
    <row r="278" spans="1:9" customFormat="1" ht="20.100000000000001" customHeight="1" x14ac:dyDescent="0.2">
      <c r="A278" s="287">
        <v>17</v>
      </c>
      <c r="B278" s="288" t="s">
        <v>286</v>
      </c>
      <c r="C278" s="298"/>
      <c r="D278" s="298"/>
      <c r="E278" s="298"/>
      <c r="F278" s="298"/>
      <c r="G278" s="298"/>
      <c r="H278" s="298"/>
      <c r="I278" s="298"/>
    </row>
    <row r="279" spans="1:9" customFormat="1" ht="20.100000000000001" customHeight="1" x14ac:dyDescent="0.2">
      <c r="A279" s="287">
        <v>18</v>
      </c>
      <c r="B279" s="288" t="s">
        <v>1011</v>
      </c>
      <c r="C279" s="288"/>
      <c r="D279" s="288"/>
      <c r="E279" s="288"/>
      <c r="F279" s="288"/>
      <c r="G279" s="288"/>
      <c r="H279" s="288"/>
      <c r="I279" s="288"/>
    </row>
    <row r="280" spans="1:9" customFormat="1" ht="20.100000000000001" customHeight="1" x14ac:dyDescent="0.2">
      <c r="A280" s="287">
        <v>19</v>
      </c>
      <c r="B280" s="296" t="s">
        <v>1012</v>
      </c>
      <c r="C280" s="303" t="str">
        <f>IF(data!BG87&gt;0,data!BG87,"")</f>
        <v>x</v>
      </c>
      <c r="D280" s="303" t="str">
        <f>IF(data!BH87&gt;0,data!BH87,"")</f>
        <v>x</v>
      </c>
      <c r="E280" s="303" t="str">
        <f>IF(data!BI87&gt;0,data!BI87,"")</f>
        <v>x</v>
      </c>
      <c r="F280" s="303" t="str">
        <f>IF(data!BJ87&gt;0,data!BJ87,"")</f>
        <v>x</v>
      </c>
      <c r="G280" s="303" t="str">
        <f>IF(data!BK87&gt;0,data!BK87,"")</f>
        <v>x</v>
      </c>
      <c r="H280" s="303" t="str">
        <f>IF(data!BL87&gt;0,data!BL87,"")</f>
        <v>x</v>
      </c>
      <c r="I280" s="303" t="str">
        <f>IF(data!BM87&gt;0,data!BM87,"")</f>
        <v>x</v>
      </c>
    </row>
    <row r="281" spans="1:9" customFormat="1" ht="20.100000000000001" customHeight="1" x14ac:dyDescent="0.2">
      <c r="A281" s="287">
        <v>20</v>
      </c>
      <c r="B281" s="296" t="s">
        <v>1013</v>
      </c>
      <c r="C281" s="303" t="str">
        <f>IF(data!BG88&gt;0,data!BG88,"")</f>
        <v>x</v>
      </c>
      <c r="D281" s="303" t="str">
        <f>IF(data!BH88&gt;0,data!BH88,"")</f>
        <v>x</v>
      </c>
      <c r="E281" s="303" t="str">
        <f>IF(data!BI88&gt;0,data!BI88,"")</f>
        <v>x</v>
      </c>
      <c r="F281" s="303" t="str">
        <f>IF(data!BJ88&gt;0,data!BJ88,"")</f>
        <v>x</v>
      </c>
      <c r="G281" s="303" t="str">
        <f>IF(data!BK88&gt;0,data!BK88,"")</f>
        <v>x</v>
      </c>
      <c r="H281" s="303" t="str">
        <f>IF(data!BL88&gt;0,data!BL88,"")</f>
        <v>x</v>
      </c>
      <c r="I281" s="303" t="str">
        <f>IF(data!BM88&gt;0,data!BM88,"")</f>
        <v>x</v>
      </c>
    </row>
    <row r="282" spans="1:9" customFormat="1" ht="20.100000000000001" customHeight="1" x14ac:dyDescent="0.2">
      <c r="A282" s="287">
        <v>21</v>
      </c>
      <c r="B282" s="296" t="s">
        <v>1014</v>
      </c>
      <c r="C282" s="303" t="str">
        <f>IF(data!BG89&gt;0,data!BG89,"")</f>
        <v>x</v>
      </c>
      <c r="D282" s="303" t="str">
        <f>IF(data!BH89&gt;0,data!BH89,"")</f>
        <v>x</v>
      </c>
      <c r="E282" s="303" t="str">
        <f>IF(data!BI89&gt;0,data!BI89,"")</f>
        <v>x</v>
      </c>
      <c r="F282" s="303" t="str">
        <f>IF(data!BJ89&gt;0,data!BJ89,"")</f>
        <v>x</v>
      </c>
      <c r="G282" s="303" t="str">
        <f>IF(data!BK89&gt;0,data!BK89,"")</f>
        <v>x</v>
      </c>
      <c r="H282" s="303" t="str">
        <f>IF(data!BL89&gt;0,data!BL89,"")</f>
        <v>x</v>
      </c>
      <c r="I282" s="303" t="str">
        <f>IF(data!BM89&gt;0,data!BM89,"")</f>
        <v>x</v>
      </c>
    </row>
    <row r="283" spans="1:9" customFormat="1" ht="20.100000000000001" customHeight="1" x14ac:dyDescent="0.2">
      <c r="A283" s="287" t="s">
        <v>1015</v>
      </c>
      <c r="B283" s="288"/>
      <c r="C283" s="305"/>
      <c r="D283" s="305"/>
      <c r="E283" s="305"/>
      <c r="F283" s="305"/>
      <c r="G283" s="305"/>
      <c r="H283" s="305"/>
      <c r="I283" s="305"/>
    </row>
    <row r="284" spans="1:9" customFormat="1" ht="20.100000000000001" customHeight="1" x14ac:dyDescent="0.2">
      <c r="A284" s="287">
        <v>22</v>
      </c>
      <c r="B284" s="288" t="s">
        <v>1016</v>
      </c>
      <c r="C284" s="304">
        <f>data!BG90</f>
        <v>0</v>
      </c>
      <c r="D284" s="304">
        <f>data!BH90</f>
        <v>0</v>
      </c>
      <c r="E284" s="304">
        <f>data!BI90</f>
        <v>484</v>
      </c>
      <c r="F284" s="304">
        <f>data!BJ90</f>
        <v>0</v>
      </c>
      <c r="G284" s="304">
        <f>data!BK90</f>
        <v>0</v>
      </c>
      <c r="H284" s="304">
        <f>data!BL90</f>
        <v>0</v>
      </c>
      <c r="I284" s="304">
        <f>data!BM90</f>
        <v>0</v>
      </c>
    </row>
    <row r="285" spans="1:9" customFormat="1" ht="20.100000000000001" customHeight="1" x14ac:dyDescent="0.2">
      <c r="A285" s="287">
        <v>23</v>
      </c>
      <c r="B285" s="288" t="s">
        <v>1017</v>
      </c>
      <c r="C285" s="303" t="str">
        <f>IF(data!BG91&gt;0,data!BG91,"")</f>
        <v>x</v>
      </c>
      <c r="D285" s="304">
        <f>data!BH91</f>
        <v>0</v>
      </c>
      <c r="E285" s="304">
        <f>data!BI91</f>
        <v>0</v>
      </c>
      <c r="F285" s="303" t="str">
        <f>IF(data!BJ91&gt;0,data!BJ91,"")</f>
        <v>x</v>
      </c>
      <c r="G285" s="304">
        <f>data!BK91</f>
        <v>0</v>
      </c>
      <c r="H285" s="304">
        <f>data!BL91</f>
        <v>0</v>
      </c>
      <c r="I285" s="304">
        <f>data!BM91</f>
        <v>0</v>
      </c>
    </row>
    <row r="286" spans="1:9" customFormat="1" ht="20.100000000000001" customHeight="1" x14ac:dyDescent="0.2">
      <c r="A286" s="287">
        <v>24</v>
      </c>
      <c r="B286" s="288" t="s">
        <v>1018</v>
      </c>
      <c r="C286" s="303" t="str">
        <f>IF(data!BG92&gt;0,data!BG92,"")</f>
        <v>x</v>
      </c>
      <c r="D286" s="304">
        <f>data!BH92</f>
        <v>0</v>
      </c>
      <c r="E286" s="304">
        <f>data!BI92</f>
        <v>177.41249357780916</v>
      </c>
      <c r="F286" s="303" t="str">
        <f>IF(data!BJ92&gt;0,data!BJ92,"")</f>
        <v>x</v>
      </c>
      <c r="G286" s="304">
        <f>data!BK92</f>
        <v>0</v>
      </c>
      <c r="H286" s="304">
        <f>data!BL92</f>
        <v>0</v>
      </c>
      <c r="I286" s="304">
        <f>data!BM92</f>
        <v>0</v>
      </c>
    </row>
    <row r="287" spans="1:9" customFormat="1" ht="20.100000000000001" customHeight="1" x14ac:dyDescent="0.2">
      <c r="A287" s="287">
        <v>25</v>
      </c>
      <c r="B287" s="288" t="s">
        <v>1019</v>
      </c>
      <c r="C287" s="303" t="str">
        <f>IF(data!BG93&gt;0,data!BG93,"")</f>
        <v>x</v>
      </c>
      <c r="D287" s="304">
        <f>data!BH93</f>
        <v>0</v>
      </c>
      <c r="E287" s="304">
        <f>data!BI93</f>
        <v>0</v>
      </c>
      <c r="F287" s="303" t="str">
        <f>IF(data!BJ93&gt;0,data!BJ93,"")</f>
        <v>x</v>
      </c>
      <c r="G287" s="304">
        <f>data!BK93</f>
        <v>0</v>
      </c>
      <c r="H287" s="304">
        <f>data!BL93</f>
        <v>0</v>
      </c>
      <c r="I287" s="304">
        <f>data!BM93</f>
        <v>0</v>
      </c>
    </row>
    <row r="288" spans="1:9" customFormat="1" ht="20.100000000000001" customHeight="1" x14ac:dyDescent="0.2">
      <c r="A288" s="287">
        <v>26</v>
      </c>
      <c r="B288" s="288" t="s">
        <v>294</v>
      </c>
      <c r="C288" s="303" t="str">
        <f>IF(data!BG94&gt;0,data!BG94,"")</f>
        <v>x</v>
      </c>
      <c r="D288" s="303" t="str">
        <f>IF(data!BH94&gt;0,data!BH94,"")</f>
        <v>x</v>
      </c>
      <c r="E288" s="303" t="str">
        <f>IF(data!BI94&gt;0,data!BI94,"")</f>
        <v>x</v>
      </c>
      <c r="F288" s="303" t="str">
        <f>IF(data!BJ94&gt;0,data!BJ94,"")</f>
        <v>x</v>
      </c>
      <c r="G288" s="303" t="str">
        <f>IF(data!BK94&gt;0,data!BK94,"")</f>
        <v>x</v>
      </c>
      <c r="H288" s="303" t="str">
        <f>IF(data!BL94&gt;0,data!BL94,"")</f>
        <v>x</v>
      </c>
      <c r="I288" s="303" t="str">
        <f>IF(data!BM94&gt;0,data!BM94,"")</f>
        <v>x</v>
      </c>
    </row>
    <row r="289" spans="1:9" customFormat="1" ht="20.100000000000001" customHeight="1" x14ac:dyDescent="0.2">
      <c r="A289" s="281" t="s">
        <v>1001</v>
      </c>
      <c r="B289" s="282"/>
      <c r="C289" s="282"/>
      <c r="D289" s="282"/>
      <c r="E289" s="282"/>
      <c r="F289" s="282"/>
      <c r="G289" s="282"/>
      <c r="H289" s="282"/>
      <c r="I289" s="281"/>
    </row>
    <row r="290" spans="1:9" customFormat="1" ht="20.100000000000001" customHeight="1" x14ac:dyDescent="0.2">
      <c r="D290" s="283"/>
      <c r="I290" s="284" t="s">
        <v>1051</v>
      </c>
    </row>
    <row r="291" spans="1:9" customFormat="1" ht="20.100000000000001" customHeight="1" x14ac:dyDescent="0.2">
      <c r="A291" s="283"/>
    </row>
    <row r="292" spans="1:9" customFormat="1" ht="20.100000000000001" customHeight="1" x14ac:dyDescent="0.2">
      <c r="A292" s="285" t="str">
        <f>"Hospital: "&amp;data!C98</f>
        <v>Hospital: St. Francis Hospital</v>
      </c>
      <c r="G292" s="286"/>
      <c r="H292" s="285" t="str">
        <f>"FYE: "&amp;data!C96</f>
        <v>FYE: 6/30/2024</v>
      </c>
    </row>
    <row r="293" spans="1:9" customFormat="1" ht="20.100000000000001" customHeight="1" x14ac:dyDescent="0.2">
      <c r="A293" s="287">
        <v>1</v>
      </c>
      <c r="B293" s="288" t="s">
        <v>236</v>
      </c>
      <c r="C293" s="290" t="s">
        <v>99</v>
      </c>
      <c r="D293" s="290" t="s">
        <v>100</v>
      </c>
      <c r="E293" s="290" t="s">
        <v>101</v>
      </c>
      <c r="F293" s="290" t="s">
        <v>102</v>
      </c>
      <c r="G293" s="290" t="s">
        <v>103</v>
      </c>
      <c r="H293" s="290" t="s">
        <v>104</v>
      </c>
      <c r="I293" s="290" t="s">
        <v>105</v>
      </c>
    </row>
    <row r="294" spans="1:9" customFormat="1" ht="20.100000000000001" customHeight="1" x14ac:dyDescent="0.2">
      <c r="A294" s="291">
        <v>2</v>
      </c>
      <c r="B294" s="292" t="s">
        <v>1003</v>
      </c>
      <c r="C294" s="294" t="s">
        <v>175</v>
      </c>
      <c r="D294" s="294" t="s">
        <v>176</v>
      </c>
      <c r="E294" s="294" t="s">
        <v>177</v>
      </c>
      <c r="F294" s="294" t="s">
        <v>178</v>
      </c>
      <c r="G294" s="294"/>
      <c r="H294" s="294" t="s">
        <v>180</v>
      </c>
      <c r="I294" s="294" t="s">
        <v>181</v>
      </c>
    </row>
    <row r="295" spans="1:9" customFormat="1" ht="20.100000000000001" customHeight="1" x14ac:dyDescent="0.2">
      <c r="A295" s="291"/>
      <c r="B295" s="292"/>
      <c r="C295" s="294" t="s">
        <v>1052</v>
      </c>
      <c r="D295" s="294" t="s">
        <v>221</v>
      </c>
      <c r="E295" s="294" t="s">
        <v>222</v>
      </c>
      <c r="F295" s="294" t="s">
        <v>223</v>
      </c>
      <c r="G295" s="294" t="s">
        <v>179</v>
      </c>
      <c r="H295" s="294" t="s">
        <v>224</v>
      </c>
      <c r="I295" s="294" t="s">
        <v>196</v>
      </c>
    </row>
    <row r="296" spans="1:9" customFormat="1" ht="20.100000000000001" customHeight="1" x14ac:dyDescent="0.2">
      <c r="A296" s="287">
        <v>3</v>
      </c>
      <c r="B296" s="288" t="s">
        <v>1007</v>
      </c>
      <c r="C296" s="300"/>
      <c r="D296" s="300"/>
      <c r="E296" s="300"/>
      <c r="F296" s="300"/>
      <c r="G296" s="300"/>
      <c r="H296" s="300"/>
      <c r="I296" s="300"/>
    </row>
    <row r="297" spans="1:9" customFormat="1" ht="20.100000000000001" customHeight="1" x14ac:dyDescent="0.2">
      <c r="A297" s="287">
        <v>4</v>
      </c>
      <c r="B297" s="288" t="s">
        <v>261</v>
      </c>
      <c r="C297" s="300"/>
      <c r="D297" s="300"/>
      <c r="E297" s="300"/>
      <c r="F297" s="300"/>
      <c r="G297" s="300"/>
      <c r="H297" s="300"/>
      <c r="I297" s="300"/>
    </row>
    <row r="298" spans="1:9" customFormat="1" ht="20.100000000000001" customHeight="1" x14ac:dyDescent="0.2">
      <c r="A298" s="287">
        <v>5</v>
      </c>
      <c r="B298" s="288" t="s">
        <v>262</v>
      </c>
      <c r="C298" s="295">
        <f>data!BN60</f>
        <v>3.6884519230769239</v>
      </c>
      <c r="D298" s="295">
        <f>data!BO60</f>
        <v>0.74875961538461544</v>
      </c>
      <c r="E298" s="295">
        <f>data!BP60</f>
        <v>0</v>
      </c>
      <c r="F298" s="295">
        <f>data!BQ60</f>
        <v>0</v>
      </c>
      <c r="G298" s="295">
        <f>data!BR60</f>
        <v>0</v>
      </c>
      <c r="H298" s="295">
        <f>data!BS60</f>
        <v>5.4389423076923071E-2</v>
      </c>
      <c r="I298" s="295">
        <f>data!BT60</f>
        <v>1.1756971153846152</v>
      </c>
    </row>
    <row r="299" spans="1:9" customFormat="1" ht="20.100000000000001" customHeight="1" x14ac:dyDescent="0.2">
      <c r="A299" s="287">
        <v>6</v>
      </c>
      <c r="B299" s="288" t="s">
        <v>263</v>
      </c>
      <c r="C299" s="288">
        <f>data!BN61</f>
        <v>756270.76000000024</v>
      </c>
      <c r="D299" s="288">
        <f>data!BO61</f>
        <v>84826.48000000001</v>
      </c>
      <c r="E299" s="288">
        <f>data!BP61</f>
        <v>0</v>
      </c>
      <c r="F299" s="288">
        <f>data!BQ61</f>
        <v>0</v>
      </c>
      <c r="G299" s="288">
        <f>data!BR61</f>
        <v>0</v>
      </c>
      <c r="H299" s="288">
        <f>data!BS61</f>
        <v>5280.57</v>
      </c>
      <c r="I299" s="288">
        <f>data!BT61</f>
        <v>106986.25</v>
      </c>
    </row>
    <row r="300" spans="1:9" customFormat="1" ht="20.100000000000001" customHeight="1" x14ac:dyDescent="0.2">
      <c r="A300" s="287">
        <v>7</v>
      </c>
      <c r="B300" s="288" t="s">
        <v>11</v>
      </c>
      <c r="C300" s="288">
        <f>data!BN62</f>
        <v>226845</v>
      </c>
      <c r="D300" s="288">
        <f>data!BO62</f>
        <v>19121</v>
      </c>
      <c r="E300" s="288">
        <f>data!BP62</f>
        <v>0</v>
      </c>
      <c r="F300" s="288">
        <f>data!BQ62</f>
        <v>0</v>
      </c>
      <c r="G300" s="288">
        <f>data!BR62</f>
        <v>0</v>
      </c>
      <c r="H300" s="288">
        <f>data!BS62</f>
        <v>1190</v>
      </c>
      <c r="I300" s="288">
        <f>data!BT62</f>
        <v>24116</v>
      </c>
    </row>
    <row r="301" spans="1:9" customFormat="1" ht="20.100000000000001" customHeight="1" x14ac:dyDescent="0.2">
      <c r="A301" s="287">
        <v>8</v>
      </c>
      <c r="B301" s="288" t="s">
        <v>264</v>
      </c>
      <c r="C301" s="288">
        <f>data!BN63</f>
        <v>0</v>
      </c>
      <c r="D301" s="288">
        <f>data!BO63</f>
        <v>0</v>
      </c>
      <c r="E301" s="288">
        <f>data!BP63</f>
        <v>0</v>
      </c>
      <c r="F301" s="288">
        <f>data!BQ63</f>
        <v>0</v>
      </c>
      <c r="G301" s="288">
        <f>data!BR63</f>
        <v>0</v>
      </c>
      <c r="H301" s="288">
        <f>data!BS63</f>
        <v>0</v>
      </c>
      <c r="I301" s="288">
        <f>data!BT63</f>
        <v>0</v>
      </c>
    </row>
    <row r="302" spans="1:9" customFormat="1" ht="20.100000000000001" customHeight="1" x14ac:dyDescent="0.2">
      <c r="A302" s="287">
        <v>9</v>
      </c>
      <c r="B302" s="288" t="s">
        <v>265</v>
      </c>
      <c r="C302" s="288">
        <f>data!BN64</f>
        <v>87909.97</v>
      </c>
      <c r="D302" s="288">
        <f>data!BO64</f>
        <v>0</v>
      </c>
      <c r="E302" s="288">
        <f>data!BP64</f>
        <v>0</v>
      </c>
      <c r="F302" s="288">
        <f>data!BQ64</f>
        <v>0</v>
      </c>
      <c r="G302" s="288">
        <f>data!BR64</f>
        <v>0</v>
      </c>
      <c r="H302" s="288">
        <f>data!BS64</f>
        <v>17</v>
      </c>
      <c r="I302" s="288">
        <f>data!BT64</f>
        <v>0</v>
      </c>
    </row>
    <row r="303" spans="1:9" customFormat="1" ht="20.100000000000001" customHeight="1" x14ac:dyDescent="0.2">
      <c r="A303" s="287">
        <v>10</v>
      </c>
      <c r="B303" s="288" t="s">
        <v>525</v>
      </c>
      <c r="C303" s="288">
        <f>data!BN65</f>
        <v>0</v>
      </c>
      <c r="D303" s="288">
        <f>data!BO65</f>
        <v>0</v>
      </c>
      <c r="E303" s="288">
        <f>data!BP65</f>
        <v>0</v>
      </c>
      <c r="F303" s="288">
        <f>data!BQ65</f>
        <v>0</v>
      </c>
      <c r="G303" s="288">
        <f>data!BR65</f>
        <v>0</v>
      </c>
      <c r="H303" s="288">
        <f>data!BS65</f>
        <v>0</v>
      </c>
      <c r="I303" s="288">
        <f>data!BT65</f>
        <v>0</v>
      </c>
    </row>
    <row r="304" spans="1:9" customFormat="1" ht="20.100000000000001" customHeight="1" x14ac:dyDescent="0.2">
      <c r="A304" s="287">
        <v>11</v>
      </c>
      <c r="B304" s="288" t="s">
        <v>526</v>
      </c>
      <c r="C304" s="288">
        <f>data!BN66</f>
        <v>2466913.8099999996</v>
      </c>
      <c r="D304" s="288">
        <f>data!BO66</f>
        <v>299595.13</v>
      </c>
      <c r="E304" s="288">
        <f>data!BP66</f>
        <v>1699411.78</v>
      </c>
      <c r="F304" s="288">
        <f>data!BQ66</f>
        <v>0</v>
      </c>
      <c r="G304" s="288">
        <f>data!BR66</f>
        <v>1478579.8399999999</v>
      </c>
      <c r="H304" s="288">
        <f>data!BS66</f>
        <v>23516.82</v>
      </c>
      <c r="I304" s="288">
        <f>data!BT66</f>
        <v>6579.0199999999959</v>
      </c>
    </row>
    <row r="305" spans="1:9" customFormat="1" ht="20.100000000000001" customHeight="1" x14ac:dyDescent="0.2">
      <c r="A305" s="287">
        <v>12</v>
      </c>
      <c r="B305" s="288" t="s">
        <v>16</v>
      </c>
      <c r="C305" s="288">
        <f>data!BN67</f>
        <v>444585</v>
      </c>
      <c r="D305" s="288">
        <f>data!BO67</f>
        <v>0</v>
      </c>
      <c r="E305" s="288">
        <f>data!BP67</f>
        <v>0</v>
      </c>
      <c r="F305" s="288">
        <f>data!BQ67</f>
        <v>0</v>
      </c>
      <c r="G305" s="288">
        <f>data!BR67</f>
        <v>112156</v>
      </c>
      <c r="H305" s="288">
        <f>data!BS67</f>
        <v>0</v>
      </c>
      <c r="I305" s="288">
        <f>data!BT67</f>
        <v>0</v>
      </c>
    </row>
    <row r="306" spans="1:9" customFormat="1" ht="20.100000000000001" customHeight="1" x14ac:dyDescent="0.2">
      <c r="A306" s="287">
        <v>13</v>
      </c>
      <c r="B306" s="288" t="s">
        <v>1008</v>
      </c>
      <c r="C306" s="288">
        <f>data!BN68</f>
        <v>219857.25</v>
      </c>
      <c r="D306" s="288">
        <f>data!BO68</f>
        <v>0</v>
      </c>
      <c r="E306" s="288">
        <f>data!BP68</f>
        <v>0</v>
      </c>
      <c r="F306" s="288">
        <f>data!BQ68</f>
        <v>0</v>
      </c>
      <c r="G306" s="288">
        <f>data!BR68</f>
        <v>0</v>
      </c>
      <c r="H306" s="288">
        <f>data!BS68</f>
        <v>0</v>
      </c>
      <c r="I306" s="288">
        <f>data!BT68</f>
        <v>0</v>
      </c>
    </row>
    <row r="307" spans="1:9" customFormat="1" ht="20.100000000000001" customHeight="1" x14ac:dyDescent="0.2">
      <c r="A307" s="287">
        <v>14</v>
      </c>
      <c r="B307" s="288" t="s">
        <v>1009</v>
      </c>
      <c r="C307" s="288">
        <f>data!BN69</f>
        <v>10241337.08</v>
      </c>
      <c r="D307" s="288">
        <f>data!BO69</f>
        <v>0</v>
      </c>
      <c r="E307" s="288">
        <f>data!BP69</f>
        <v>0</v>
      </c>
      <c r="F307" s="288">
        <f>data!BQ69</f>
        <v>0</v>
      </c>
      <c r="G307" s="288">
        <f>data!BR69</f>
        <v>-268350.38</v>
      </c>
      <c r="H307" s="288">
        <f>data!BS69</f>
        <v>0</v>
      </c>
      <c r="I307" s="288">
        <f>data!BT69</f>
        <v>0</v>
      </c>
    </row>
    <row r="308" spans="1:9" customFormat="1" ht="20.100000000000001" customHeight="1" x14ac:dyDescent="0.2">
      <c r="A308" s="287">
        <v>15</v>
      </c>
      <c r="B308" s="288" t="s">
        <v>284</v>
      </c>
      <c r="C308" s="288">
        <f>-data!BN84</f>
        <v>0</v>
      </c>
      <c r="D308" s="288">
        <f>-data!BO84</f>
        <v>0</v>
      </c>
      <c r="E308" s="288">
        <f>-data!BP84</f>
        <v>0</v>
      </c>
      <c r="F308" s="288">
        <f>-data!BQ84</f>
        <v>0</v>
      </c>
      <c r="G308" s="288">
        <f>-data!BR84</f>
        <v>0</v>
      </c>
      <c r="H308" s="288">
        <f>-data!BS84</f>
        <v>0</v>
      </c>
      <c r="I308" s="288">
        <f>-data!BT84</f>
        <v>0</v>
      </c>
    </row>
    <row r="309" spans="1:9" customFormat="1" ht="20.100000000000001" customHeight="1" x14ac:dyDescent="0.2">
      <c r="A309" s="287">
        <v>16</v>
      </c>
      <c r="B309" s="296" t="s">
        <v>1010</v>
      </c>
      <c r="C309" s="288">
        <f>data!BN85</f>
        <v>14443718.870000001</v>
      </c>
      <c r="D309" s="288">
        <f>data!BO85</f>
        <v>403542.61</v>
      </c>
      <c r="E309" s="288">
        <f>data!BP85</f>
        <v>1699411.78</v>
      </c>
      <c r="F309" s="288">
        <f>data!BQ85</f>
        <v>0</v>
      </c>
      <c r="G309" s="288">
        <f>data!BR85</f>
        <v>1322385.46</v>
      </c>
      <c r="H309" s="288">
        <f>data!BS85</f>
        <v>30004.39</v>
      </c>
      <c r="I309" s="288">
        <f>data!BT85</f>
        <v>137681.26999999999</v>
      </c>
    </row>
    <row r="310" spans="1:9" customFormat="1" ht="20.100000000000001" customHeight="1" x14ac:dyDescent="0.2">
      <c r="A310" s="287">
        <v>17</v>
      </c>
      <c r="B310" s="288" t="s">
        <v>286</v>
      </c>
      <c r="C310" s="298"/>
      <c r="D310" s="298"/>
      <c r="E310" s="298"/>
      <c r="F310" s="298"/>
      <c r="G310" s="298"/>
      <c r="H310" s="298"/>
      <c r="I310" s="298"/>
    </row>
    <row r="311" spans="1:9" customFormat="1" ht="20.100000000000001" customHeight="1" x14ac:dyDescent="0.2">
      <c r="A311" s="287">
        <v>18</v>
      </c>
      <c r="B311" s="288" t="s">
        <v>1011</v>
      </c>
      <c r="C311" s="288"/>
      <c r="D311" s="288"/>
      <c r="E311" s="288"/>
      <c r="F311" s="288"/>
      <c r="G311" s="288"/>
      <c r="H311" s="288"/>
      <c r="I311" s="288"/>
    </row>
    <row r="312" spans="1:9" customFormat="1" ht="20.100000000000001" customHeight="1" x14ac:dyDescent="0.2">
      <c r="A312" s="287">
        <v>19</v>
      </c>
      <c r="B312" s="296" t="s">
        <v>1012</v>
      </c>
      <c r="C312" s="303" t="str">
        <f>IF(data!BN87&gt;0,data!BN87,"")</f>
        <v>x</v>
      </c>
      <c r="D312" s="303" t="str">
        <f>IF(data!BO87&gt;0,data!BO87,"")</f>
        <v>x</v>
      </c>
      <c r="E312" s="303" t="str">
        <f>IF(data!BP87&gt;0,data!BP87,"")</f>
        <v>x</v>
      </c>
      <c r="F312" s="303" t="str">
        <f>IF(data!BQ87&gt;0,data!BQ87,"")</f>
        <v>x</v>
      </c>
      <c r="G312" s="303" t="str">
        <f>IF(data!BR87&gt;0,data!BR87,"")</f>
        <v>x</v>
      </c>
      <c r="H312" s="303" t="str">
        <f>IF(data!BS87&gt;0,data!BS87,"")</f>
        <v>x</v>
      </c>
      <c r="I312" s="303" t="str">
        <f>IF(data!BT87&gt;0,data!BT87,"")</f>
        <v>x</v>
      </c>
    </row>
    <row r="313" spans="1:9" customFormat="1" ht="20.100000000000001" customHeight="1" x14ac:dyDescent="0.2">
      <c r="A313" s="287">
        <v>20</v>
      </c>
      <c r="B313" s="296" t="s">
        <v>1013</v>
      </c>
      <c r="C313" s="303" t="str">
        <f>IF(data!BN88&gt;0,data!BN88,"")</f>
        <v>x</v>
      </c>
      <c r="D313" s="303" t="str">
        <f>IF(data!BO88&gt;0,data!BO88,"")</f>
        <v>x</v>
      </c>
      <c r="E313" s="303" t="str">
        <f>IF(data!BP88&gt;0,data!BP88,"")</f>
        <v>x</v>
      </c>
      <c r="F313" s="303" t="str">
        <f>IF(data!BQ88&gt;0,data!BQ88,"")</f>
        <v>x</v>
      </c>
      <c r="G313" s="303" t="str">
        <f>IF(data!BR88&gt;0,data!BR88,"")</f>
        <v>x</v>
      </c>
      <c r="H313" s="303" t="str">
        <f>IF(data!BS88&gt;0,data!BS88,"")</f>
        <v>x</v>
      </c>
      <c r="I313" s="303" t="str">
        <f>IF(data!BT88&gt;0,data!BT88,"")</f>
        <v>x</v>
      </c>
    </row>
    <row r="314" spans="1:9" customFormat="1" ht="20.100000000000001" customHeight="1" x14ac:dyDescent="0.2">
      <c r="A314" s="287">
        <v>21</v>
      </c>
      <c r="B314" s="296" t="s">
        <v>1014</v>
      </c>
      <c r="C314" s="303" t="str">
        <f>IF(data!BN89&gt;0,data!BN89,"")</f>
        <v>x</v>
      </c>
      <c r="D314" s="303" t="str">
        <f>IF(data!BO89&gt;0,data!BO89,"")</f>
        <v>x</v>
      </c>
      <c r="E314" s="303" t="str">
        <f>IF(data!BP89&gt;0,data!BP89,"")</f>
        <v>x</v>
      </c>
      <c r="F314" s="303" t="str">
        <f>IF(data!BQ89&gt;0,data!BQ89,"")</f>
        <v>x</v>
      </c>
      <c r="G314" s="303" t="str">
        <f>IF(data!BR89&gt;0,data!BR89,"")</f>
        <v>x</v>
      </c>
      <c r="H314" s="303" t="str">
        <f>IF(data!BS89&gt;0,data!BS89,"")</f>
        <v>x</v>
      </c>
      <c r="I314" s="303" t="str">
        <f>IF(data!BT89&gt;0,data!BT89,"")</f>
        <v>x</v>
      </c>
    </row>
    <row r="315" spans="1:9" customFormat="1" ht="20.100000000000001" customHeight="1" x14ac:dyDescent="0.2">
      <c r="A315" s="287" t="s">
        <v>1015</v>
      </c>
      <c r="B315" s="288"/>
      <c r="C315" s="298"/>
      <c r="D315" s="298"/>
      <c r="E315" s="298"/>
      <c r="F315" s="298"/>
      <c r="G315" s="298"/>
      <c r="H315" s="298"/>
      <c r="I315" s="298"/>
    </row>
    <row r="316" spans="1:9" customFormat="1" ht="20.100000000000001" customHeight="1" x14ac:dyDescent="0.2">
      <c r="A316" s="287">
        <v>22</v>
      </c>
      <c r="B316" s="288" t="s">
        <v>1016</v>
      </c>
      <c r="C316" s="304">
        <f>data!BN90</f>
        <v>24023.989999999998</v>
      </c>
      <c r="D316" s="304">
        <f>data!BO90</f>
        <v>0</v>
      </c>
      <c r="E316" s="304">
        <f>data!BP90</f>
        <v>0</v>
      </c>
      <c r="F316" s="304">
        <f>data!BQ90</f>
        <v>0</v>
      </c>
      <c r="G316" s="304">
        <f>data!BR90</f>
        <v>6091</v>
      </c>
      <c r="H316" s="304">
        <f>data!BS90</f>
        <v>0</v>
      </c>
      <c r="I316" s="304">
        <f>data!BT90</f>
        <v>0</v>
      </c>
    </row>
    <row r="317" spans="1:9" customFormat="1" ht="20.100000000000001" customHeight="1" x14ac:dyDescent="0.2">
      <c r="A317" s="287">
        <v>23</v>
      </c>
      <c r="B317" s="288" t="s">
        <v>1017</v>
      </c>
      <c r="C317" s="303" t="str">
        <f>IF(data!BN91&gt;0,data!BN91,"")</f>
        <v>x</v>
      </c>
      <c r="D317" s="303" t="str">
        <f>IF(data!BO91&gt;0,data!BO91,"")</f>
        <v>x</v>
      </c>
      <c r="E317" s="303" t="str">
        <f>IF(data!BP91&gt;0,data!BP91,"")</f>
        <v>x</v>
      </c>
      <c r="F317" s="303" t="str">
        <f>IF(data!BQ91&gt;0,data!BQ91,"")</f>
        <v>x</v>
      </c>
      <c r="G317" s="304">
        <f>data!BR91</f>
        <v>0</v>
      </c>
      <c r="H317" s="304">
        <f>data!BS91</f>
        <v>0</v>
      </c>
      <c r="I317" s="304">
        <f>data!BT91</f>
        <v>0</v>
      </c>
    </row>
    <row r="318" spans="1:9" customFormat="1" ht="20.100000000000001" customHeight="1" x14ac:dyDescent="0.2">
      <c r="A318" s="287">
        <v>24</v>
      </c>
      <c r="B318" s="288" t="s">
        <v>1018</v>
      </c>
      <c r="C318" s="303" t="str">
        <f>IF(data!BN92&gt;0,data!BN92,"")</f>
        <v>x</v>
      </c>
      <c r="D318" s="303" t="str">
        <f>IF(data!BO92&gt;0,data!BO92,"")</f>
        <v>x</v>
      </c>
      <c r="E318" s="303" t="str">
        <f>IF(data!BP92&gt;0,data!BP92,"")</f>
        <v>x</v>
      </c>
      <c r="F318" s="303" t="str">
        <f>IF(data!BQ92&gt;0,data!BQ92,"")</f>
        <v>x</v>
      </c>
      <c r="G318" s="303" t="str">
        <f>IF(data!BR92&gt;0,data!BR92,"")</f>
        <v>x</v>
      </c>
      <c r="H318" s="304">
        <f>data!BS92</f>
        <v>0</v>
      </c>
      <c r="I318" s="304">
        <f>data!BT92</f>
        <v>0</v>
      </c>
    </row>
    <row r="319" spans="1:9" customFormat="1" ht="20.100000000000001" customHeight="1" x14ac:dyDescent="0.2">
      <c r="A319" s="287">
        <v>25</v>
      </c>
      <c r="B319" s="288" t="s">
        <v>1019</v>
      </c>
      <c r="C319" s="303" t="str">
        <f>IF(data!BN93&gt;0,data!BN93,"")</f>
        <v>x</v>
      </c>
      <c r="D319" s="303" t="str">
        <f>IF(data!BO93&gt;0,data!BO93,"")</f>
        <v>x</v>
      </c>
      <c r="E319" s="303" t="str">
        <f>IF(data!BP93&gt;0,data!BP93,"")</f>
        <v>x</v>
      </c>
      <c r="F319" s="303" t="str">
        <f>IF(data!BQ93&gt;0,data!BQ93,"")</f>
        <v>x</v>
      </c>
      <c r="G319" s="303" t="str">
        <f>IF(data!BR93&gt;0,data!BR93,"")</f>
        <v>x</v>
      </c>
      <c r="H319" s="304">
        <f>data!BS93</f>
        <v>0</v>
      </c>
      <c r="I319" s="304">
        <f>data!BT93</f>
        <v>0</v>
      </c>
    </row>
    <row r="320" spans="1:9" customFormat="1" ht="20.100000000000001" customHeight="1" x14ac:dyDescent="0.2">
      <c r="A320" s="287">
        <v>26</v>
      </c>
      <c r="B320" s="288" t="s">
        <v>294</v>
      </c>
      <c r="C320" s="306" t="str">
        <f>IF(data!BN94&gt;0,data!BN94,"")</f>
        <v>x</v>
      </c>
      <c r="D320" s="306" t="str">
        <f>IF(data!BO94&gt;0,data!BO94,"")</f>
        <v>x</v>
      </c>
      <c r="E320" s="306" t="str">
        <f>IF(data!BP94&gt;0,data!BP94,"")</f>
        <v>x</v>
      </c>
      <c r="F320" s="306" t="str">
        <f>IF(data!BQ94&gt;0,data!BQ94,"")</f>
        <v>x</v>
      </c>
      <c r="G320" s="306" t="str">
        <f>IF(data!BR94&gt;0,data!BR94,"")</f>
        <v>x</v>
      </c>
      <c r="H320" s="306" t="str">
        <f>IF(data!BS94&gt;0,data!BS94,"")</f>
        <v>x</v>
      </c>
      <c r="I320" s="306" t="str">
        <f>IF(data!BT94&gt;0,data!BT94,"")</f>
        <v>x</v>
      </c>
    </row>
    <row r="321" spans="1:9" customFormat="1" ht="20.100000000000001" customHeight="1" x14ac:dyDescent="0.2">
      <c r="A321" s="281" t="s">
        <v>1001</v>
      </c>
      <c r="B321" s="282"/>
      <c r="C321" s="282"/>
      <c r="D321" s="282"/>
      <c r="E321" s="282"/>
      <c r="F321" s="282"/>
      <c r="G321" s="282"/>
      <c r="H321" s="282"/>
      <c r="I321" s="281"/>
    </row>
    <row r="322" spans="1:9" customFormat="1" ht="20.100000000000001" customHeight="1" x14ac:dyDescent="0.2">
      <c r="D322" s="283"/>
      <c r="I322" s="284" t="s">
        <v>1053</v>
      </c>
    </row>
    <row r="323" spans="1:9" customFormat="1" ht="20.100000000000001" customHeight="1" x14ac:dyDescent="0.2">
      <c r="A323" s="283"/>
    </row>
    <row r="324" spans="1:9" customFormat="1" ht="20.100000000000001" customHeight="1" x14ac:dyDescent="0.2">
      <c r="A324" s="285" t="str">
        <f>"Hospital: "&amp;data!C98</f>
        <v>Hospital: St. Francis Hospital</v>
      </c>
      <c r="G324" s="286"/>
      <c r="H324" s="285" t="str">
        <f>"FYE: "&amp;data!C96</f>
        <v>FYE: 6/30/2024</v>
      </c>
    </row>
    <row r="325" spans="1:9" customFormat="1" ht="20.100000000000001" customHeight="1" x14ac:dyDescent="0.2">
      <c r="A325" s="287">
        <v>1</v>
      </c>
      <c r="B325" s="288" t="s">
        <v>236</v>
      </c>
      <c r="C325" s="290" t="s">
        <v>106</v>
      </c>
      <c r="D325" s="290" t="s">
        <v>107</v>
      </c>
      <c r="E325" s="290" t="s">
        <v>108</v>
      </c>
      <c r="F325" s="290" t="s">
        <v>109</v>
      </c>
      <c r="G325" s="290" t="s">
        <v>110</v>
      </c>
      <c r="H325" s="290" t="s">
        <v>111</v>
      </c>
      <c r="I325" s="290" t="s">
        <v>112</v>
      </c>
    </row>
    <row r="326" spans="1:9" customFormat="1" ht="20.100000000000001" customHeight="1" x14ac:dyDescent="0.2">
      <c r="A326" s="291">
        <v>2</v>
      </c>
      <c r="B326" s="292" t="s">
        <v>1003</v>
      </c>
      <c r="C326" s="294" t="s">
        <v>182</v>
      </c>
      <c r="D326" s="294" t="s">
        <v>182</v>
      </c>
      <c r="E326" s="294" t="s">
        <v>182</v>
      </c>
      <c r="F326" s="294" t="s">
        <v>183</v>
      </c>
      <c r="G326" s="294" t="s">
        <v>184</v>
      </c>
      <c r="H326" s="294" t="s">
        <v>185</v>
      </c>
      <c r="I326" s="294" t="s">
        <v>186</v>
      </c>
    </row>
    <row r="327" spans="1:9" customFormat="1" ht="20.100000000000001" customHeight="1" x14ac:dyDescent="0.2">
      <c r="A327" s="291"/>
      <c r="B327" s="292"/>
      <c r="C327" s="294" t="s">
        <v>225</v>
      </c>
      <c r="D327" s="294" t="s">
        <v>226</v>
      </c>
      <c r="E327" s="294" t="s">
        <v>227</v>
      </c>
      <c r="F327" s="294" t="s">
        <v>178</v>
      </c>
      <c r="G327" s="294" t="s">
        <v>1052</v>
      </c>
      <c r="H327" s="294" t="s">
        <v>179</v>
      </c>
      <c r="I327" s="294" t="s">
        <v>228</v>
      </c>
    </row>
    <row r="328" spans="1:9" customFormat="1" ht="20.100000000000001" customHeight="1" x14ac:dyDescent="0.2">
      <c r="A328" s="287">
        <v>3</v>
      </c>
      <c r="B328" s="288" t="s">
        <v>1007</v>
      </c>
      <c r="C328" s="300"/>
      <c r="D328" s="300"/>
      <c r="E328" s="300"/>
      <c r="F328" s="300"/>
      <c r="G328" s="300"/>
      <c r="H328" s="300"/>
      <c r="I328" s="300"/>
    </row>
    <row r="329" spans="1:9" customFormat="1" ht="20.100000000000001" customHeight="1" x14ac:dyDescent="0.2">
      <c r="A329" s="287">
        <v>4</v>
      </c>
      <c r="B329" s="288" t="s">
        <v>261</v>
      </c>
      <c r="C329" s="300"/>
      <c r="D329" s="300"/>
      <c r="E329" s="300"/>
      <c r="F329" s="300"/>
      <c r="G329" s="300"/>
      <c r="H329" s="300"/>
      <c r="I329" s="300"/>
    </row>
    <row r="330" spans="1:9" customFormat="1" ht="20.100000000000001" customHeight="1" x14ac:dyDescent="0.2">
      <c r="A330" s="287">
        <v>5</v>
      </c>
      <c r="B330" s="288" t="s">
        <v>262</v>
      </c>
      <c r="C330" s="295">
        <f>data!BU60</f>
        <v>0</v>
      </c>
      <c r="D330" s="295">
        <f>data!BV60</f>
        <v>0</v>
      </c>
      <c r="E330" s="295">
        <f>data!BW60</f>
        <v>1.932985576923077</v>
      </c>
      <c r="F330" s="295">
        <f>data!BX60</f>
        <v>14.270514423076923</v>
      </c>
      <c r="G330" s="295">
        <f>data!BY60</f>
        <v>10.863750000000001</v>
      </c>
      <c r="H330" s="295">
        <f>data!BZ60</f>
        <v>1.5004999999999999</v>
      </c>
      <c r="I330" s="295">
        <f>data!CA60</f>
        <v>5.0336538461538449</v>
      </c>
    </row>
    <row r="331" spans="1:9" customFormat="1" ht="20.100000000000001" customHeight="1" x14ac:dyDescent="0.2">
      <c r="A331" s="287">
        <v>6</v>
      </c>
      <c r="B331" s="288" t="s">
        <v>263</v>
      </c>
      <c r="C331" s="307">
        <f>data!BU61</f>
        <v>0</v>
      </c>
      <c r="D331" s="307">
        <f>data!BV61</f>
        <v>0</v>
      </c>
      <c r="E331" s="307">
        <f>data!BW61</f>
        <v>319430.81999999995</v>
      </c>
      <c r="F331" s="307">
        <f>data!BX61</f>
        <v>1703754.4</v>
      </c>
      <c r="G331" s="307">
        <f>data!BY61</f>
        <v>2966801.8500000006</v>
      </c>
      <c r="H331" s="307">
        <f>data!BZ61</f>
        <v>169848.50999999998</v>
      </c>
      <c r="I331" s="307">
        <f>data!CA61</f>
        <v>680862.69</v>
      </c>
    </row>
    <row r="332" spans="1:9" customFormat="1" ht="20.100000000000001" customHeight="1" x14ac:dyDescent="0.2">
      <c r="A332" s="287">
        <v>7</v>
      </c>
      <c r="B332" s="288" t="s">
        <v>11</v>
      </c>
      <c r="C332" s="307">
        <f>data!BU62</f>
        <v>0</v>
      </c>
      <c r="D332" s="307">
        <f>data!BV62</f>
        <v>0</v>
      </c>
      <c r="E332" s="307">
        <f>data!BW62</f>
        <v>72003</v>
      </c>
      <c r="F332" s="307">
        <f>data!BX62</f>
        <v>384045</v>
      </c>
      <c r="G332" s="307">
        <f>data!BY62</f>
        <v>697316</v>
      </c>
      <c r="H332" s="307">
        <f>data!BZ62</f>
        <v>38286</v>
      </c>
      <c r="I332" s="307">
        <f>data!CA62</f>
        <v>153713</v>
      </c>
    </row>
    <row r="333" spans="1:9" customFormat="1" ht="20.100000000000001" customHeight="1" x14ac:dyDescent="0.2">
      <c r="A333" s="287">
        <v>8</v>
      </c>
      <c r="B333" s="288" t="s">
        <v>264</v>
      </c>
      <c r="C333" s="307">
        <f>data!BU63</f>
        <v>0</v>
      </c>
      <c r="D333" s="307">
        <f>data!BV63</f>
        <v>0</v>
      </c>
      <c r="E333" s="307">
        <f>data!BW63</f>
        <v>0</v>
      </c>
      <c r="F333" s="307">
        <f>data!BX63</f>
        <v>0</v>
      </c>
      <c r="G333" s="307">
        <f>data!BY63</f>
        <v>0</v>
      </c>
      <c r="H333" s="307">
        <f>data!BZ63</f>
        <v>0</v>
      </c>
      <c r="I333" s="307">
        <f>data!CA63</f>
        <v>0</v>
      </c>
    </row>
    <row r="334" spans="1:9" customFormat="1" ht="20.100000000000001" customHeight="1" x14ac:dyDescent="0.2">
      <c r="A334" s="287">
        <v>9</v>
      </c>
      <c r="B334" s="288" t="s">
        <v>265</v>
      </c>
      <c r="C334" s="307">
        <f>data!BU64</f>
        <v>0</v>
      </c>
      <c r="D334" s="307">
        <f>data!BV64</f>
        <v>0</v>
      </c>
      <c r="E334" s="307">
        <f>data!BW64</f>
        <v>30861.45</v>
      </c>
      <c r="F334" s="307">
        <f>data!BX64</f>
        <v>0</v>
      </c>
      <c r="G334" s="307">
        <f>data!BY64</f>
        <v>47692.06</v>
      </c>
      <c r="H334" s="307">
        <f>data!BZ64</f>
        <v>0</v>
      </c>
      <c r="I334" s="307">
        <f>data!CA64</f>
        <v>0</v>
      </c>
    </row>
    <row r="335" spans="1:9" customFormat="1" ht="20.100000000000001" customHeight="1" x14ac:dyDescent="0.2">
      <c r="A335" s="287">
        <v>10</v>
      </c>
      <c r="B335" s="288" t="s">
        <v>525</v>
      </c>
      <c r="C335" s="307">
        <f>data!BU65</f>
        <v>0</v>
      </c>
      <c r="D335" s="307">
        <f>data!BV65</f>
        <v>0</v>
      </c>
      <c r="E335" s="307">
        <f>data!BW65</f>
        <v>0</v>
      </c>
      <c r="F335" s="307">
        <f>data!BX65</f>
        <v>0</v>
      </c>
      <c r="G335" s="307">
        <f>data!BY65</f>
        <v>212.9</v>
      </c>
      <c r="H335" s="307">
        <f>data!BZ65</f>
        <v>0</v>
      </c>
      <c r="I335" s="307">
        <f>data!CA65</f>
        <v>0</v>
      </c>
    </row>
    <row r="336" spans="1:9" customFormat="1" ht="20.100000000000001" customHeight="1" x14ac:dyDescent="0.2">
      <c r="A336" s="287">
        <v>11</v>
      </c>
      <c r="B336" s="288" t="s">
        <v>526</v>
      </c>
      <c r="C336" s="307">
        <f>data!BU66</f>
        <v>49361.580000000009</v>
      </c>
      <c r="D336" s="307">
        <f>data!BV66</f>
        <v>33227.730000000003</v>
      </c>
      <c r="E336" s="307">
        <f>data!BW66</f>
        <v>456880.94999999995</v>
      </c>
      <c r="F336" s="307">
        <f>data!BX66</f>
        <v>769848.56</v>
      </c>
      <c r="G336" s="307">
        <f>data!BY66</f>
        <v>156957.6</v>
      </c>
      <c r="H336" s="307">
        <f>data!BZ66</f>
        <v>0</v>
      </c>
      <c r="I336" s="307">
        <f>data!CA66</f>
        <v>218791.48999999996</v>
      </c>
    </row>
    <row r="337" spans="1:9" customFormat="1" ht="20.100000000000001" customHeight="1" x14ac:dyDescent="0.2">
      <c r="A337" s="287">
        <v>12</v>
      </c>
      <c r="B337" s="288" t="s">
        <v>16</v>
      </c>
      <c r="C337" s="307">
        <f>data!BU67</f>
        <v>0</v>
      </c>
      <c r="D337" s="307">
        <f>data!BV67</f>
        <v>47322</v>
      </c>
      <c r="E337" s="307">
        <f>data!BW67</f>
        <v>0</v>
      </c>
      <c r="F337" s="307">
        <f>data!BX67</f>
        <v>0</v>
      </c>
      <c r="G337" s="307">
        <f>data!BY67</f>
        <v>45443</v>
      </c>
      <c r="H337" s="307">
        <f>data!BZ67</f>
        <v>0</v>
      </c>
      <c r="I337" s="307">
        <f>data!CA67</f>
        <v>0</v>
      </c>
    </row>
    <row r="338" spans="1:9" customFormat="1" ht="20.100000000000001" customHeight="1" x14ac:dyDescent="0.2">
      <c r="A338" s="287">
        <v>13</v>
      </c>
      <c r="B338" s="288" t="s">
        <v>1008</v>
      </c>
      <c r="C338" s="307">
        <f>data!BU68</f>
        <v>0</v>
      </c>
      <c r="D338" s="307">
        <f>data!BV68</f>
        <v>0</v>
      </c>
      <c r="E338" s="307">
        <f>data!BW68</f>
        <v>0</v>
      </c>
      <c r="F338" s="307">
        <f>data!BX68</f>
        <v>0</v>
      </c>
      <c r="G338" s="307">
        <f>data!BY68</f>
        <v>11643.76</v>
      </c>
      <c r="H338" s="307">
        <f>data!BZ68</f>
        <v>0</v>
      </c>
      <c r="I338" s="307">
        <f>data!CA68</f>
        <v>0</v>
      </c>
    </row>
    <row r="339" spans="1:9" customFormat="1" ht="20.100000000000001" customHeight="1" x14ac:dyDescent="0.2">
      <c r="A339" s="287">
        <v>14</v>
      </c>
      <c r="B339" s="288" t="s">
        <v>1009</v>
      </c>
      <c r="C339" s="307">
        <f>data!BU69</f>
        <v>0</v>
      </c>
      <c r="D339" s="307">
        <f>data!BV69</f>
        <v>0</v>
      </c>
      <c r="E339" s="307">
        <f>data!BW69</f>
        <v>4462.5</v>
      </c>
      <c r="F339" s="307">
        <f>data!BX69</f>
        <v>0</v>
      </c>
      <c r="G339" s="307">
        <f>data!BY69</f>
        <v>30896.609999999997</v>
      </c>
      <c r="H339" s="307">
        <f>data!BZ69</f>
        <v>40</v>
      </c>
      <c r="I339" s="307">
        <f>data!CA69</f>
        <v>0</v>
      </c>
    </row>
    <row r="340" spans="1:9" customFormat="1" ht="20.100000000000001" customHeight="1" x14ac:dyDescent="0.2">
      <c r="A340" s="287">
        <v>15</v>
      </c>
      <c r="B340" s="288" t="s">
        <v>284</v>
      </c>
      <c r="C340" s="288">
        <f>-data!BU84</f>
        <v>0</v>
      </c>
      <c r="D340" s="288">
        <f>-data!BV84</f>
        <v>0</v>
      </c>
      <c r="E340" s="288">
        <f>-data!BW84</f>
        <v>0</v>
      </c>
      <c r="F340" s="288">
        <f>-data!BX84</f>
        <v>0</v>
      </c>
      <c r="G340" s="288">
        <f>-data!BY84</f>
        <v>0</v>
      </c>
      <c r="H340" s="288">
        <f>-data!BZ84</f>
        <v>0</v>
      </c>
      <c r="I340" s="288">
        <f>-data!CA84</f>
        <v>0</v>
      </c>
    </row>
    <row r="341" spans="1:9" customFormat="1" ht="20.100000000000001" customHeight="1" x14ac:dyDescent="0.2">
      <c r="A341" s="287">
        <v>16</v>
      </c>
      <c r="B341" s="296" t="s">
        <v>1010</v>
      </c>
      <c r="C341" s="288">
        <f>data!BU85</f>
        <v>49361.580000000009</v>
      </c>
      <c r="D341" s="288">
        <f>data!BV85</f>
        <v>80549.73000000001</v>
      </c>
      <c r="E341" s="288">
        <f>data!BW85</f>
        <v>883638.72</v>
      </c>
      <c r="F341" s="288">
        <f>data!BX85</f>
        <v>2857647.96</v>
      </c>
      <c r="G341" s="288">
        <f>data!BY85</f>
        <v>3956963.7800000003</v>
      </c>
      <c r="H341" s="288">
        <f>data!BZ85</f>
        <v>208174.50999999998</v>
      </c>
      <c r="I341" s="288">
        <f>data!CA85</f>
        <v>1053367.18</v>
      </c>
    </row>
    <row r="342" spans="1:9" customFormat="1" ht="20.100000000000001" customHeight="1" x14ac:dyDescent="0.2">
      <c r="A342" s="287">
        <v>17</v>
      </c>
      <c r="B342" s="288" t="s">
        <v>286</v>
      </c>
      <c r="C342" s="298"/>
      <c r="D342" s="298"/>
      <c r="E342" s="298"/>
      <c r="F342" s="298"/>
      <c r="G342" s="298"/>
      <c r="H342" s="298"/>
      <c r="I342" s="298"/>
    </row>
    <row r="343" spans="1:9" customFormat="1" ht="20.100000000000001" customHeight="1" x14ac:dyDescent="0.2">
      <c r="A343" s="287">
        <v>18</v>
      </c>
      <c r="B343" s="288" t="s">
        <v>1011</v>
      </c>
      <c r="C343" s="288"/>
      <c r="D343" s="288"/>
      <c r="E343" s="288"/>
      <c r="F343" s="288"/>
      <c r="G343" s="288"/>
      <c r="H343" s="288"/>
      <c r="I343" s="288"/>
    </row>
    <row r="344" spans="1:9" customFormat="1" ht="20.100000000000001" customHeight="1" x14ac:dyDescent="0.2">
      <c r="A344" s="287">
        <v>19</v>
      </c>
      <c r="B344" s="296" t="s">
        <v>1012</v>
      </c>
      <c r="C344" s="303" t="str">
        <f>IF(data!BU87&gt;0,data!BU87,"")</f>
        <v>x</v>
      </c>
      <c r="D344" s="303" t="str">
        <f>IF(data!BV87&gt;0,data!BV87,"")</f>
        <v>x</v>
      </c>
      <c r="E344" s="303" t="str">
        <f>IF(data!BW87&gt;0,data!BW87,"")</f>
        <v>x</v>
      </c>
      <c r="F344" s="303" t="str">
        <f>IF(data!BX87&gt;0,data!BX87,"")</f>
        <v>x</v>
      </c>
      <c r="G344" s="303" t="str">
        <f>IF(data!BY87&gt;0,data!BY87,"")</f>
        <v>x</v>
      </c>
      <c r="H344" s="303" t="str">
        <f>IF(data!BZ87&gt;0,data!BZ87,"")</f>
        <v>x</v>
      </c>
      <c r="I344" s="303" t="str">
        <f>IF(data!CA87&gt;0,data!CA87,"")</f>
        <v>x</v>
      </c>
    </row>
    <row r="345" spans="1:9" customFormat="1" ht="20.100000000000001" customHeight="1" x14ac:dyDescent="0.2">
      <c r="A345" s="287">
        <v>20</v>
      </c>
      <c r="B345" s="296" t="s">
        <v>1013</v>
      </c>
      <c r="C345" s="303" t="str">
        <f>IF(data!BU88&gt;0,data!BU88,"")</f>
        <v>x</v>
      </c>
      <c r="D345" s="303" t="str">
        <f>IF(data!BV88&gt;0,data!BV88,"")</f>
        <v>x</v>
      </c>
      <c r="E345" s="303" t="str">
        <f>IF(data!BW88&gt;0,data!BW88,"")</f>
        <v>x</v>
      </c>
      <c r="F345" s="303" t="str">
        <f>IF(data!BX88&gt;0,data!BX88,"")</f>
        <v>x</v>
      </c>
      <c r="G345" s="303" t="str">
        <f>IF(data!BY88&gt;0,data!BY88,"")</f>
        <v>x</v>
      </c>
      <c r="H345" s="303" t="str">
        <f>IF(data!BZ88&gt;0,data!BZ88,"")</f>
        <v>x</v>
      </c>
      <c r="I345" s="303" t="str">
        <f>IF(data!CA88&gt;0,data!CA88,"")</f>
        <v>x</v>
      </c>
    </row>
    <row r="346" spans="1:9" customFormat="1" ht="20.100000000000001" customHeight="1" x14ac:dyDescent="0.2">
      <c r="A346" s="287">
        <v>21</v>
      </c>
      <c r="B346" s="296" t="s">
        <v>1014</v>
      </c>
      <c r="C346" s="303" t="str">
        <f>IF(data!BU89&gt;0,data!BU89,"")</f>
        <v>x</v>
      </c>
      <c r="D346" s="303" t="str">
        <f>IF(data!BV89&gt;0,data!BV89,"")</f>
        <v>x</v>
      </c>
      <c r="E346" s="303" t="str">
        <f>IF(data!BW89&gt;0,data!BW89,"")</f>
        <v>x</v>
      </c>
      <c r="F346" s="303" t="str">
        <f>IF(data!BX89&gt;0,data!BX89,"")</f>
        <v>x</v>
      </c>
      <c r="G346" s="303" t="str">
        <f>IF(data!BY89&gt;0,data!BY89,"")</f>
        <v>x</v>
      </c>
      <c r="H346" s="303" t="str">
        <f>IF(data!BZ89&gt;0,data!BZ89,"")</f>
        <v>x</v>
      </c>
      <c r="I346" s="303" t="str">
        <f>IF(data!CA89&gt;0,data!CA89,"")</f>
        <v>x</v>
      </c>
    </row>
    <row r="347" spans="1:9" customFormat="1" ht="20.100000000000001" customHeight="1" x14ac:dyDescent="0.2">
      <c r="A347" s="287" t="s">
        <v>1015</v>
      </c>
      <c r="B347" s="288"/>
      <c r="C347" s="298"/>
      <c r="D347" s="298"/>
      <c r="E347" s="298"/>
      <c r="F347" s="298"/>
      <c r="G347" s="298"/>
      <c r="H347" s="298"/>
      <c r="I347" s="298"/>
    </row>
    <row r="348" spans="1:9" customFormat="1" ht="20.100000000000001" customHeight="1" x14ac:dyDescent="0.2">
      <c r="A348" s="287">
        <v>22</v>
      </c>
      <c r="B348" s="288" t="s">
        <v>1016</v>
      </c>
      <c r="C348" s="304">
        <f>data!BU90</f>
        <v>0</v>
      </c>
      <c r="D348" s="304">
        <f>data!BV90</f>
        <v>2570</v>
      </c>
      <c r="E348" s="304">
        <f>data!BW90</f>
        <v>0</v>
      </c>
      <c r="F348" s="304">
        <f>data!BX90</f>
        <v>0</v>
      </c>
      <c r="G348" s="304">
        <f>data!BY90</f>
        <v>1482</v>
      </c>
      <c r="H348" s="304">
        <f>data!BZ90</f>
        <v>0</v>
      </c>
      <c r="I348" s="304">
        <f>data!CA90</f>
        <v>0</v>
      </c>
    </row>
    <row r="349" spans="1:9" customFormat="1" ht="20.100000000000001" customHeight="1" x14ac:dyDescent="0.2">
      <c r="A349" s="287">
        <v>23</v>
      </c>
      <c r="B349" s="288" t="s">
        <v>1017</v>
      </c>
      <c r="C349" s="304">
        <f>data!BU91</f>
        <v>0</v>
      </c>
      <c r="D349" s="304">
        <f>data!BV91</f>
        <v>0</v>
      </c>
      <c r="E349" s="304">
        <f>data!BW91</f>
        <v>0</v>
      </c>
      <c r="F349" s="304">
        <f>data!BX91</f>
        <v>0</v>
      </c>
      <c r="G349" s="304">
        <f>data!BY91</f>
        <v>0</v>
      </c>
      <c r="H349" s="304">
        <f>data!BZ91</f>
        <v>0</v>
      </c>
      <c r="I349" s="304">
        <f>data!CA91</f>
        <v>0</v>
      </c>
    </row>
    <row r="350" spans="1:9" customFormat="1" ht="20.100000000000001" customHeight="1" x14ac:dyDescent="0.2">
      <c r="A350" s="287">
        <v>24</v>
      </c>
      <c r="B350" s="288" t="s">
        <v>1018</v>
      </c>
      <c r="C350" s="304">
        <f>data!BU92</f>
        <v>0</v>
      </c>
      <c r="D350" s="304">
        <f>data!BV92</f>
        <v>942.0456787086149</v>
      </c>
      <c r="E350" s="304">
        <f>data!BW92</f>
        <v>0</v>
      </c>
      <c r="F350" s="304">
        <f>data!BX92</f>
        <v>0</v>
      </c>
      <c r="G350" s="304">
        <f>data!BY92</f>
        <v>543.23412289734131</v>
      </c>
      <c r="H350" s="304">
        <f>data!BZ92</f>
        <v>0</v>
      </c>
      <c r="I350" s="304">
        <f>data!CA92</f>
        <v>0</v>
      </c>
    </row>
    <row r="351" spans="1:9" customFormat="1" ht="20.100000000000001" customHeight="1" x14ac:dyDescent="0.2">
      <c r="A351" s="287">
        <v>25</v>
      </c>
      <c r="B351" s="288" t="s">
        <v>1019</v>
      </c>
      <c r="C351" s="304">
        <f>data!BU93</f>
        <v>0</v>
      </c>
      <c r="D351" s="304">
        <f>data!BV93</f>
        <v>0</v>
      </c>
      <c r="E351" s="304">
        <f>data!BW93</f>
        <v>0</v>
      </c>
      <c r="F351" s="304">
        <f>data!BX93</f>
        <v>0</v>
      </c>
      <c r="G351" s="304">
        <f>data!BY93</f>
        <v>0</v>
      </c>
      <c r="H351" s="304">
        <f>data!BZ93</f>
        <v>0</v>
      </c>
      <c r="I351" s="304">
        <f>data!CA93</f>
        <v>0</v>
      </c>
    </row>
    <row r="352" spans="1:9" customFormat="1" ht="20.100000000000001" customHeight="1" x14ac:dyDescent="0.2">
      <c r="A352" s="287">
        <v>26</v>
      </c>
      <c r="B352" s="288" t="s">
        <v>294</v>
      </c>
      <c r="C352" s="306" t="str">
        <f>IF(data!BU94&gt;0,data!BU94,"")</f>
        <v/>
      </c>
      <c r="D352" s="306" t="str">
        <f>IF(data!BV94&gt;0,data!BV94,"")</f>
        <v/>
      </c>
      <c r="E352" s="306" t="str">
        <f>IF(data!BW94&gt;0,data!BW94,"")</f>
        <v/>
      </c>
      <c r="F352" s="306" t="str">
        <f>IF(data!BX94&gt;0,data!BX94,"")</f>
        <v/>
      </c>
      <c r="G352" s="306" t="str">
        <f>IF(data!BY94&gt;0,data!BY94,"")</f>
        <v/>
      </c>
      <c r="H352" s="306" t="str">
        <f>IF(data!BZ94&gt;0,data!BZ94,"")</f>
        <v/>
      </c>
      <c r="I352" s="306" t="str">
        <f>IF(data!CA94&gt;0,data!CA94,"")</f>
        <v/>
      </c>
    </row>
    <row r="353" spans="1:10" customFormat="1" ht="20.100000000000001" customHeight="1" x14ac:dyDescent="0.2">
      <c r="A353" s="281" t="s">
        <v>1001</v>
      </c>
      <c r="B353" s="282"/>
      <c r="C353" s="282"/>
      <c r="D353" s="282"/>
      <c r="E353" s="282"/>
      <c r="F353" s="282"/>
      <c r="G353" s="282"/>
      <c r="H353" s="282"/>
      <c r="I353" s="281"/>
    </row>
    <row r="354" spans="1:10" customFormat="1" ht="20.100000000000001" customHeight="1" x14ac:dyDescent="0.2">
      <c r="D354" s="283"/>
      <c r="I354" s="284" t="s">
        <v>1054</v>
      </c>
    </row>
    <row r="355" spans="1:10" customFormat="1" ht="20.100000000000001" customHeight="1" x14ac:dyDescent="0.2">
      <c r="A355" s="283"/>
    </row>
    <row r="356" spans="1:10" customFormat="1" ht="20.100000000000001" customHeight="1" x14ac:dyDescent="0.2">
      <c r="A356" s="285" t="str">
        <f>"Hospital: "&amp;data!C98</f>
        <v>Hospital: St. Francis Hospital</v>
      </c>
      <c r="G356" s="286"/>
      <c r="H356" s="285" t="str">
        <f>"FYE: "&amp;data!C96</f>
        <v>FYE: 6/30/2024</v>
      </c>
    </row>
    <row r="357" spans="1:10" customFormat="1" ht="20.100000000000001" customHeight="1" x14ac:dyDescent="0.2">
      <c r="A357" s="287">
        <v>1</v>
      </c>
      <c r="B357" s="288" t="s">
        <v>236</v>
      </c>
      <c r="C357" s="290">
        <v>8910</v>
      </c>
      <c r="D357" s="290">
        <v>8930</v>
      </c>
      <c r="E357" s="290" t="s">
        <v>115</v>
      </c>
      <c r="F357" s="308"/>
      <c r="G357" s="308"/>
      <c r="H357" s="308"/>
      <c r="I357" s="290"/>
    </row>
    <row r="358" spans="1:10" customFormat="1" ht="20.100000000000001" customHeight="1" x14ac:dyDescent="0.2">
      <c r="A358" s="291">
        <v>2</v>
      </c>
      <c r="B358" s="292" t="s">
        <v>1003</v>
      </c>
      <c r="C358" s="294" t="s">
        <v>187</v>
      </c>
      <c r="D358" s="294" t="s">
        <v>159</v>
      </c>
      <c r="E358" s="294" t="s">
        <v>238</v>
      </c>
      <c r="F358" s="309"/>
      <c r="G358" s="309"/>
      <c r="H358" s="309"/>
      <c r="I358" s="294" t="s">
        <v>188</v>
      </c>
    </row>
    <row r="359" spans="1:10" customFormat="1" ht="20.100000000000001" customHeight="1" x14ac:dyDescent="0.2">
      <c r="A359" s="291"/>
      <c r="B359" s="292"/>
      <c r="C359" s="294" t="s">
        <v>228</v>
      </c>
      <c r="D359" s="294" t="s">
        <v>1055</v>
      </c>
      <c r="E359" s="294" t="s">
        <v>240</v>
      </c>
      <c r="F359" s="309"/>
      <c r="G359" s="309"/>
      <c r="H359" s="309"/>
      <c r="I359" s="294" t="s">
        <v>230</v>
      </c>
    </row>
    <row r="360" spans="1:10" customFormat="1" ht="20.100000000000001" customHeight="1" x14ac:dyDescent="0.2">
      <c r="A360" s="287">
        <v>3</v>
      </c>
      <c r="B360" s="288" t="s">
        <v>1007</v>
      </c>
      <c r="C360" s="300"/>
      <c r="D360" s="300"/>
      <c r="E360" s="300"/>
      <c r="F360" s="300"/>
      <c r="G360" s="300"/>
      <c r="H360" s="300"/>
      <c r="I360" s="300"/>
    </row>
    <row r="361" spans="1:10" customFormat="1" ht="20.100000000000001" customHeight="1" x14ac:dyDescent="0.2">
      <c r="A361" s="287">
        <v>4</v>
      </c>
      <c r="B361" s="288" t="s">
        <v>261</v>
      </c>
      <c r="C361" s="300"/>
      <c r="D361" s="300"/>
      <c r="E361" s="300"/>
      <c r="F361" s="300"/>
      <c r="G361" s="300"/>
      <c r="H361" s="300"/>
      <c r="I361" s="300"/>
    </row>
    <row r="362" spans="1:10" customFormat="1" ht="20.100000000000001" customHeight="1" x14ac:dyDescent="0.2">
      <c r="A362" s="287">
        <v>5</v>
      </c>
      <c r="B362" s="288" t="s">
        <v>262</v>
      </c>
      <c r="C362" s="295">
        <f>data!CB60</f>
        <v>0.60707692307692307</v>
      </c>
      <c r="D362" s="295">
        <f>data!CC60</f>
        <v>7.4738365384615397</v>
      </c>
      <c r="E362" s="310"/>
      <c r="F362" s="298"/>
      <c r="G362" s="298"/>
      <c r="H362" s="298"/>
      <c r="I362" s="311">
        <f>data!CE60</f>
        <v>1216.2785096153843</v>
      </c>
    </row>
    <row r="363" spans="1:10" customFormat="1" ht="20.100000000000001" customHeight="1" x14ac:dyDescent="0.2">
      <c r="A363" s="287">
        <v>6</v>
      </c>
      <c r="B363" s="288" t="s">
        <v>263</v>
      </c>
      <c r="C363" s="307">
        <f>data!CB61</f>
        <v>59044.240000000005</v>
      </c>
      <c r="D363" s="307">
        <f>data!CC61</f>
        <v>1714045.5699999998</v>
      </c>
      <c r="E363" s="312"/>
      <c r="F363" s="312"/>
      <c r="G363" s="312"/>
      <c r="H363" s="312"/>
      <c r="I363" s="307">
        <f>data!CE61</f>
        <v>149910409.88999993</v>
      </c>
      <c r="J363">
        <f>+I363-FS!C141</f>
        <v>0</v>
      </c>
    </row>
    <row r="364" spans="1:10" customFormat="1" ht="20.100000000000001" customHeight="1" x14ac:dyDescent="0.2">
      <c r="A364" s="287">
        <v>7</v>
      </c>
      <c r="B364" s="288" t="s">
        <v>11</v>
      </c>
      <c r="C364" s="307">
        <f>data!CB62</f>
        <v>13309</v>
      </c>
      <c r="D364" s="307">
        <f>data!CC62</f>
        <v>388588</v>
      </c>
      <c r="E364" s="312"/>
      <c r="F364" s="312"/>
      <c r="G364" s="312"/>
      <c r="H364" s="312"/>
      <c r="I364" s="307">
        <f>data!CE62</f>
        <v>33896768</v>
      </c>
      <c r="J364">
        <f>+I364-FS!C142</f>
        <v>4.4099999964237213</v>
      </c>
    </row>
    <row r="365" spans="1:10" customFormat="1" ht="20.100000000000001" customHeight="1" x14ac:dyDescent="0.2">
      <c r="A365" s="287">
        <v>8</v>
      </c>
      <c r="B365" s="288" t="s">
        <v>264</v>
      </c>
      <c r="C365" s="307">
        <f>data!CB63</f>
        <v>0</v>
      </c>
      <c r="D365" s="307">
        <f>data!CC63</f>
        <v>627879.65</v>
      </c>
      <c r="E365" s="312"/>
      <c r="F365" s="312"/>
      <c r="G365" s="312"/>
      <c r="H365" s="312"/>
      <c r="I365" s="307">
        <f>data!CE63</f>
        <v>19502699.390000001</v>
      </c>
      <c r="J365">
        <f>+I365-FS!C143</f>
        <v>0</v>
      </c>
    </row>
    <row r="366" spans="1:10" customFormat="1" ht="20.100000000000001" customHeight="1" x14ac:dyDescent="0.2">
      <c r="A366" s="287">
        <v>9</v>
      </c>
      <c r="B366" s="288" t="s">
        <v>265</v>
      </c>
      <c r="C366" s="307">
        <f>data!CB64</f>
        <v>0</v>
      </c>
      <c r="D366" s="307">
        <f>data!CC64</f>
        <v>-334424.99</v>
      </c>
      <c r="E366" s="312"/>
      <c r="F366" s="312"/>
      <c r="G366" s="312"/>
      <c r="H366" s="312"/>
      <c r="I366" s="307">
        <f>data!CE64</f>
        <v>44114778.18999999</v>
      </c>
      <c r="J366">
        <f>+I366-FS!C144</f>
        <v>0</v>
      </c>
    </row>
    <row r="367" spans="1:10" customFormat="1" ht="20.100000000000001" customHeight="1" x14ac:dyDescent="0.2">
      <c r="A367" s="287">
        <v>10</v>
      </c>
      <c r="B367" s="288" t="s">
        <v>525</v>
      </c>
      <c r="C367" s="307">
        <f>data!CB65</f>
        <v>0</v>
      </c>
      <c r="D367" s="307">
        <f>data!CC65</f>
        <v>0</v>
      </c>
      <c r="E367" s="312"/>
      <c r="F367" s="312"/>
      <c r="G367" s="312"/>
      <c r="H367" s="312"/>
      <c r="I367" s="307">
        <f>data!CE65</f>
        <v>1618259.3900000001</v>
      </c>
      <c r="J367">
        <f>+I367-FS!C145</f>
        <v>0</v>
      </c>
    </row>
    <row r="368" spans="1:10" customFormat="1" ht="20.100000000000001" customHeight="1" x14ac:dyDescent="0.2">
      <c r="A368" s="287">
        <v>11</v>
      </c>
      <c r="B368" s="288" t="s">
        <v>526</v>
      </c>
      <c r="C368" s="307">
        <f>data!CB66</f>
        <v>246631.76</v>
      </c>
      <c r="D368" s="307">
        <f>data!CC66</f>
        <v>12015973.380000001</v>
      </c>
      <c r="E368" s="312"/>
      <c r="F368" s="312"/>
      <c r="G368" s="312"/>
      <c r="H368" s="312"/>
      <c r="I368" s="307">
        <f>data!CE66</f>
        <v>62487341.610000022</v>
      </c>
      <c r="J368">
        <f>+I368-FS!C146</f>
        <v>0</v>
      </c>
    </row>
    <row r="369" spans="1:10" customFormat="1" ht="20.100000000000001" customHeight="1" x14ac:dyDescent="0.2">
      <c r="A369" s="287">
        <v>12</v>
      </c>
      <c r="B369" s="288" t="s">
        <v>16</v>
      </c>
      <c r="C369" s="307">
        <f>data!CB67</f>
        <v>0</v>
      </c>
      <c r="D369" s="307">
        <f>data!CC67</f>
        <v>329360</v>
      </c>
      <c r="E369" s="312"/>
      <c r="F369" s="312"/>
      <c r="G369" s="312"/>
      <c r="H369" s="312"/>
      <c r="I369" s="307">
        <f>data!CE67</f>
        <v>11203341</v>
      </c>
      <c r="J369">
        <f>+I369-FS!C147</f>
        <v>-4.5700000002980232</v>
      </c>
    </row>
    <row r="370" spans="1:10" customFormat="1" ht="20.100000000000001" customHeight="1" x14ac:dyDescent="0.2">
      <c r="A370" s="287">
        <v>13</v>
      </c>
      <c r="B370" s="288" t="s">
        <v>1008</v>
      </c>
      <c r="C370" s="307">
        <f>data!CB68</f>
        <v>0</v>
      </c>
      <c r="D370" s="307">
        <f>data!CC68</f>
        <v>5890.5999999999767</v>
      </c>
      <c r="E370" s="312"/>
      <c r="F370" s="312"/>
      <c r="G370" s="312"/>
      <c r="H370" s="312"/>
      <c r="I370" s="307">
        <f>data!CE68</f>
        <v>8673226.8300000001</v>
      </c>
      <c r="J370">
        <f>+I370-FS!C148</f>
        <v>0</v>
      </c>
    </row>
    <row r="371" spans="1:10" customFormat="1" ht="20.100000000000001" customHeight="1" x14ac:dyDescent="0.2">
      <c r="A371" s="287">
        <v>14</v>
      </c>
      <c r="B371" s="288" t="s">
        <v>1009</v>
      </c>
      <c r="C371" s="307">
        <f>data!CB69</f>
        <v>0</v>
      </c>
      <c r="D371" s="307">
        <f>data!CC69</f>
        <v>135368.32000000001</v>
      </c>
      <c r="E371" s="307">
        <f>data!CD69</f>
        <v>12722383.700000001</v>
      </c>
      <c r="F371" s="312"/>
      <c r="G371" s="312"/>
      <c r="H371" s="312"/>
      <c r="I371" s="307">
        <f>data!CE69</f>
        <v>37500441.310000002</v>
      </c>
      <c r="J371">
        <f>+I371-FS!E166</f>
        <v>-0.30000004917383194</v>
      </c>
    </row>
    <row r="372" spans="1:10" customFormat="1" ht="20.100000000000001" customHeight="1" x14ac:dyDescent="0.2">
      <c r="A372" s="287">
        <v>15</v>
      </c>
      <c r="B372" s="288" t="s">
        <v>284</v>
      </c>
      <c r="C372" s="288">
        <f>-data!CB84</f>
        <v>0</v>
      </c>
      <c r="D372" s="288">
        <f>-data!CC84</f>
        <v>-1885161</v>
      </c>
      <c r="E372" s="288">
        <f>-data!CD84</f>
        <v>-4602570.96</v>
      </c>
      <c r="F372" s="298"/>
      <c r="G372" s="298"/>
      <c r="H372" s="298"/>
      <c r="I372" s="288">
        <f>-data!CE84</f>
        <v>-13437362.810000002</v>
      </c>
      <c r="J372">
        <f>+I372+FS!C137</f>
        <v>0</v>
      </c>
    </row>
    <row r="373" spans="1:10" customFormat="1" ht="20.100000000000001" customHeight="1" x14ac:dyDescent="0.2">
      <c r="A373" s="287">
        <v>16</v>
      </c>
      <c r="B373" s="296" t="s">
        <v>1010</v>
      </c>
      <c r="C373" s="307">
        <f>data!CB85</f>
        <v>318985</v>
      </c>
      <c r="D373" s="307">
        <f>data!CC85</f>
        <v>12997519.529999999</v>
      </c>
      <c r="E373" s="307">
        <f>data!CD85</f>
        <v>8119812.7400000012</v>
      </c>
      <c r="F373" s="312"/>
      <c r="G373" s="312"/>
      <c r="H373" s="312"/>
      <c r="I373" s="288">
        <f>data!CE85</f>
        <v>355469902.79999977</v>
      </c>
    </row>
    <row r="374" spans="1:10" customFormat="1" ht="20.100000000000001" customHeight="1" x14ac:dyDescent="0.2">
      <c r="A374" s="287">
        <v>17</v>
      </c>
      <c r="B374" s="288" t="s">
        <v>286</v>
      </c>
      <c r="C374" s="312"/>
      <c r="D374" s="312"/>
      <c r="E374" s="312"/>
      <c r="F374" s="312"/>
      <c r="G374" s="312"/>
      <c r="H374" s="312"/>
      <c r="I374" s="288">
        <f>data!CE86</f>
        <v>0</v>
      </c>
    </row>
    <row r="375" spans="1:10" customFormat="1" ht="20.100000000000001" customHeight="1" x14ac:dyDescent="0.2">
      <c r="A375" s="287">
        <v>18</v>
      </c>
      <c r="B375" s="288" t="s">
        <v>1011</v>
      </c>
      <c r="C375" s="288"/>
      <c r="D375" s="288"/>
      <c r="E375" s="288"/>
      <c r="F375" s="288"/>
      <c r="G375" s="288"/>
      <c r="H375" s="288"/>
      <c r="I375" s="288"/>
    </row>
    <row r="376" spans="1:10" customFormat="1" ht="20.100000000000001" customHeight="1" x14ac:dyDescent="0.2">
      <c r="A376" s="287">
        <v>19</v>
      </c>
      <c r="B376" s="296" t="s">
        <v>1012</v>
      </c>
      <c r="C376" s="303" t="str">
        <f>IF(data!CB87&gt;0,data!CB87,"")</f>
        <v>x</v>
      </c>
      <c r="D376" s="303" t="str">
        <f>IF(data!CC87&gt;0,data!CC87,"")</f>
        <v>x</v>
      </c>
      <c r="E376" s="298"/>
      <c r="F376" s="298"/>
      <c r="G376" s="298"/>
      <c r="H376" s="298"/>
      <c r="I376" s="304">
        <f>data!CE87</f>
        <v>807809895.46000016</v>
      </c>
      <c r="J376">
        <f>+I376-FS!C111</f>
        <v>0</v>
      </c>
    </row>
    <row r="377" spans="1:10" customFormat="1" ht="20.100000000000001" customHeight="1" x14ac:dyDescent="0.2">
      <c r="A377" s="287">
        <v>20</v>
      </c>
      <c r="B377" s="296" t="s">
        <v>1013</v>
      </c>
      <c r="C377" s="303" t="str">
        <f>IF(data!CB88&gt;0,data!CB88,"")</f>
        <v>x</v>
      </c>
      <c r="D377" s="303" t="str">
        <f>IF(data!CC88&gt;0,data!CC88,"")</f>
        <v>x</v>
      </c>
      <c r="E377" s="298"/>
      <c r="F377" s="298"/>
      <c r="G377" s="298"/>
      <c r="H377" s="298"/>
      <c r="I377" s="304">
        <f>data!CE88</f>
        <v>1098742606.4599998</v>
      </c>
      <c r="J377">
        <f>+I377-FS!C112</f>
        <v>0</v>
      </c>
    </row>
    <row r="378" spans="1:10" customFormat="1" ht="20.100000000000001" customHeight="1" x14ac:dyDescent="0.2">
      <c r="A378" s="287">
        <v>21</v>
      </c>
      <c r="B378" s="296" t="s">
        <v>1014</v>
      </c>
      <c r="C378" s="303" t="str">
        <f>IF(data!CB89&gt;0,data!CB89,"")</f>
        <v>x</v>
      </c>
      <c r="D378" s="303" t="str">
        <f>IF(data!CC89&gt;0,data!CC89,"")</f>
        <v>x</v>
      </c>
      <c r="E378" s="298"/>
      <c r="F378" s="298"/>
      <c r="G378" s="298"/>
      <c r="H378" s="298"/>
      <c r="I378" s="304">
        <f>data!CE89</f>
        <v>1906552501.9200008</v>
      </c>
    </row>
    <row r="379" spans="1:10" customFormat="1" ht="20.100000000000001" customHeight="1" x14ac:dyDescent="0.2">
      <c r="A379" s="287" t="s">
        <v>1015</v>
      </c>
      <c r="B379" s="288"/>
      <c r="C379" s="298"/>
      <c r="D379" s="298"/>
      <c r="E379" s="298"/>
      <c r="F379" s="298"/>
      <c r="G379" s="298"/>
      <c r="H379" s="298"/>
      <c r="I379" s="298"/>
    </row>
    <row r="380" spans="1:10" customFormat="1" ht="20.100000000000001" customHeight="1" x14ac:dyDescent="0.2">
      <c r="A380" s="287">
        <v>22</v>
      </c>
      <c r="B380" s="288" t="s">
        <v>1016</v>
      </c>
      <c r="C380" s="304">
        <f>data!CB90</f>
        <v>0</v>
      </c>
      <c r="D380" s="304">
        <f>data!CC90</f>
        <v>0</v>
      </c>
      <c r="E380" s="298"/>
      <c r="F380" s="298"/>
      <c r="G380" s="298"/>
      <c r="H380" s="298"/>
      <c r="I380" s="288">
        <f>data!CE90</f>
        <v>261899.72666666665</v>
      </c>
    </row>
    <row r="381" spans="1:10" customFormat="1" ht="20.100000000000001" customHeight="1" x14ac:dyDescent="0.2">
      <c r="A381" s="287">
        <v>23</v>
      </c>
      <c r="B381" s="288" t="s">
        <v>1017</v>
      </c>
      <c r="C381" s="304">
        <f>data!CB91</f>
        <v>0</v>
      </c>
      <c r="D381" s="303" t="str">
        <f>IF(data!CC91&gt;0,data!CC91,"")</f>
        <v>x</v>
      </c>
      <c r="E381" s="298"/>
      <c r="F381" s="298"/>
      <c r="G381" s="298"/>
      <c r="H381" s="298"/>
      <c r="I381" s="288">
        <f>data!CE91</f>
        <v>124186</v>
      </c>
    </row>
    <row r="382" spans="1:10" customFormat="1" ht="20.100000000000001" customHeight="1" x14ac:dyDescent="0.2">
      <c r="A382" s="287">
        <v>24</v>
      </c>
      <c r="B382" s="288" t="s">
        <v>1018</v>
      </c>
      <c r="C382" s="304">
        <f>data!CB92</f>
        <v>0</v>
      </c>
      <c r="D382" s="303" t="str">
        <f>IF(data!CC92&gt;0,data!CC92,"")</f>
        <v>x</v>
      </c>
      <c r="E382" s="298"/>
      <c r="F382" s="298"/>
      <c r="G382" s="298"/>
      <c r="H382" s="298"/>
      <c r="I382" s="288">
        <f>data!CE92</f>
        <v>59714.939999999995</v>
      </c>
    </row>
    <row r="383" spans="1:10" customFormat="1" ht="20.100000000000001" customHeight="1" x14ac:dyDescent="0.2">
      <c r="A383" s="287">
        <v>25</v>
      </c>
      <c r="B383" s="288" t="s">
        <v>1019</v>
      </c>
      <c r="C383" s="304">
        <f>data!CB93</f>
        <v>0</v>
      </c>
      <c r="D383" s="303" t="str">
        <f>IF(data!CC93&gt;0,data!CC93,"")</f>
        <v>x</v>
      </c>
      <c r="E383" s="298"/>
      <c r="F383" s="298"/>
      <c r="G383" s="298"/>
      <c r="H383" s="298"/>
      <c r="I383" s="288">
        <f>data!CE93</f>
        <v>1030901.0800000001</v>
      </c>
    </row>
    <row r="384" spans="1:10" customFormat="1" ht="20.100000000000001" customHeight="1" x14ac:dyDescent="0.2">
      <c r="A384" s="287">
        <v>26</v>
      </c>
      <c r="B384" s="288" t="s">
        <v>294</v>
      </c>
      <c r="C384" s="303" t="str">
        <f>IF(data!CB94&gt;0,data!CB94,"")</f>
        <v/>
      </c>
      <c r="D384" s="303" t="str">
        <f>IF(data!CC94&gt;0,data!CC94,"")</f>
        <v>x</v>
      </c>
      <c r="E384" s="310"/>
      <c r="F384" s="298"/>
      <c r="G384" s="298"/>
      <c r="H384" s="298"/>
      <c r="I384" s="295">
        <f>data!CE94</f>
        <v>423.75252884615395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A49" transitionEvaluation="1" transitionEntry="1" codeName="Sheet1">
    <tabColor rgb="FF92D050"/>
    <pageSetUpPr autoPageBreaks="0" fitToPage="1"/>
  </sheetPr>
  <dimension ref="A1:CF716"/>
  <sheetViews>
    <sheetView topLeftCell="AA49" zoomScale="85" zoomScaleNormal="85" workbookViewId="0">
      <selection activeCell="AM62" sqref="AM6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customHeight="1" x14ac:dyDescent="0.25">
      <c r="A22" s="14" t="s">
        <v>17</v>
      </c>
      <c r="E22" s="57"/>
      <c r="F22" s="57"/>
      <c r="G22" s="57"/>
      <c r="I22" s="57"/>
      <c r="J22" s="57"/>
    </row>
    <row r="23" spans="1:10" ht="16.5" customHeight="1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customHeight="1" x14ac:dyDescent="0.25">
      <c r="A34" s="14" t="s">
        <v>27</v>
      </c>
      <c r="B34" s="57"/>
      <c r="C34" s="57"/>
      <c r="D34" s="57"/>
    </row>
    <row r="35" spans="1:83" ht="16.5" customHeight="1" x14ac:dyDescent="0.25">
      <c r="B35" s="57"/>
      <c r="C35" s="57"/>
      <c r="D35" s="57"/>
    </row>
    <row r="36" spans="1:83" x14ac:dyDescent="0.25">
      <c r="A36" s="259" t="s">
        <v>28</v>
      </c>
      <c r="B36" s="260"/>
      <c r="C36" s="261"/>
      <c r="D36" s="260"/>
      <c r="E36" s="260"/>
      <c r="F36" s="260"/>
      <c r="G36" s="262"/>
    </row>
    <row r="37" spans="1:83" x14ac:dyDescent="0.25">
      <c r="A37" s="263" t="s">
        <v>29</v>
      </c>
      <c r="B37" s="264"/>
      <c r="C37" s="265"/>
      <c r="D37" s="266"/>
      <c r="E37" s="266"/>
      <c r="F37" s="266"/>
      <c r="G37" s="267"/>
    </row>
    <row r="38" spans="1:83" x14ac:dyDescent="0.25">
      <c r="A38" s="268" t="s">
        <v>30</v>
      </c>
      <c r="B38" s="264"/>
      <c r="C38" s="265"/>
      <c r="D38" s="266"/>
      <c r="E38" s="266"/>
      <c r="F38" s="266"/>
      <c r="G38" s="267"/>
    </row>
    <row r="39" spans="1:83" x14ac:dyDescent="0.25">
      <c r="A39" s="269" t="s">
        <v>31</v>
      </c>
      <c r="B39" s="266"/>
      <c r="C39" s="265"/>
      <c r="D39" s="266"/>
      <c r="E39" s="266"/>
      <c r="F39" s="266"/>
      <c r="G39" s="267"/>
    </row>
    <row r="40" spans="1:83" x14ac:dyDescent="0.25">
      <c r="A40" s="270" t="s">
        <v>32</v>
      </c>
      <c r="B40" s="271"/>
      <c r="C40" s="272"/>
      <c r="D40" s="271"/>
      <c r="E40" s="271"/>
      <c r="F40" s="271"/>
      <c r="G40" s="27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3">
        <v>115061.82</v>
      </c>
      <c r="C47" s="234">
        <v>2561.5700000000002</v>
      </c>
      <c r="D47" s="234">
        <v>0</v>
      </c>
      <c r="E47" s="234">
        <v>2527.39</v>
      </c>
      <c r="F47" s="234">
        <v>0</v>
      </c>
      <c r="G47" s="234">
        <v>0</v>
      </c>
      <c r="H47" s="234">
        <v>0</v>
      </c>
      <c r="I47" s="234">
        <v>0</v>
      </c>
      <c r="J47" s="234">
        <v>0</v>
      </c>
      <c r="K47" s="234">
        <v>0</v>
      </c>
      <c r="L47" s="234">
        <v>0</v>
      </c>
      <c r="M47" s="234">
        <v>0</v>
      </c>
      <c r="N47" s="234">
        <v>0</v>
      </c>
      <c r="O47" s="234">
        <v>993.45</v>
      </c>
      <c r="P47" s="234">
        <v>3559.8199999999997</v>
      </c>
      <c r="Q47" s="234">
        <v>226.04</v>
      </c>
      <c r="R47" s="234">
        <v>0</v>
      </c>
      <c r="S47" s="234">
        <v>123.23</v>
      </c>
      <c r="T47" s="234">
        <v>0</v>
      </c>
      <c r="U47" s="234">
        <v>1015.47</v>
      </c>
      <c r="V47" s="234">
        <v>0</v>
      </c>
      <c r="W47" s="234">
        <v>0</v>
      </c>
      <c r="X47" s="234">
        <v>0</v>
      </c>
      <c r="Y47" s="234">
        <v>0</v>
      </c>
      <c r="Z47" s="234">
        <v>126.51</v>
      </c>
      <c r="AA47" s="234">
        <v>0</v>
      </c>
      <c r="AB47" s="234">
        <v>0</v>
      </c>
      <c r="AC47" s="234">
        <v>1722.98</v>
      </c>
      <c r="AD47" s="234">
        <v>0</v>
      </c>
      <c r="AE47" s="234">
        <v>0</v>
      </c>
      <c r="AF47" s="234">
        <v>0</v>
      </c>
      <c r="AG47" s="234">
        <v>4121.2299999999996</v>
      </c>
      <c r="AH47" s="234">
        <v>0</v>
      </c>
      <c r="AI47" s="234">
        <v>0</v>
      </c>
      <c r="AJ47" s="234">
        <v>0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0</v>
      </c>
      <c r="AQ47" s="234">
        <v>0</v>
      </c>
      <c r="AR47" s="234">
        <v>0</v>
      </c>
      <c r="AS47" s="234">
        <v>0</v>
      </c>
      <c r="AT47" s="234">
        <v>0</v>
      </c>
      <c r="AU47" s="234">
        <v>0</v>
      </c>
      <c r="AV47" s="234">
        <v>487</v>
      </c>
      <c r="AW47" s="234">
        <v>0</v>
      </c>
      <c r="AX47" s="234">
        <v>0</v>
      </c>
      <c r="AY47" s="234">
        <v>0</v>
      </c>
      <c r="AZ47" s="234">
        <v>0</v>
      </c>
      <c r="BA47" s="234">
        <v>0</v>
      </c>
      <c r="BB47" s="234">
        <v>0</v>
      </c>
      <c r="BC47" s="234">
        <v>0</v>
      </c>
      <c r="BD47" s="234">
        <v>0</v>
      </c>
      <c r="BE47" s="234">
        <v>0</v>
      </c>
      <c r="BF47" s="234">
        <v>0</v>
      </c>
      <c r="BG47" s="234">
        <v>0</v>
      </c>
      <c r="BH47" s="234">
        <v>0</v>
      </c>
      <c r="BI47" s="234">
        <v>0</v>
      </c>
      <c r="BJ47" s="234">
        <v>0</v>
      </c>
      <c r="BK47" s="234">
        <v>0</v>
      </c>
      <c r="BL47" s="234">
        <v>0</v>
      </c>
      <c r="BM47" s="234">
        <v>0</v>
      </c>
      <c r="BN47" s="234">
        <v>64572.11</v>
      </c>
      <c r="BO47" s="234">
        <v>0</v>
      </c>
      <c r="BP47" s="234">
        <v>0</v>
      </c>
      <c r="BQ47" s="234">
        <v>0</v>
      </c>
      <c r="BR47" s="234">
        <v>0</v>
      </c>
      <c r="BS47" s="234">
        <v>0</v>
      </c>
      <c r="BT47" s="234">
        <v>0</v>
      </c>
      <c r="BU47" s="234">
        <v>0</v>
      </c>
      <c r="BV47" s="234">
        <v>0</v>
      </c>
      <c r="BW47" s="234">
        <v>0</v>
      </c>
      <c r="BX47" s="234">
        <v>0</v>
      </c>
      <c r="BY47" s="234">
        <v>21578.09</v>
      </c>
      <c r="BZ47" s="234">
        <v>0</v>
      </c>
      <c r="CA47" s="234">
        <v>146.11000000000001</v>
      </c>
      <c r="CB47" s="234">
        <v>0</v>
      </c>
      <c r="CC47" s="234">
        <v>11300.82</v>
      </c>
      <c r="CD47" s="16"/>
      <c r="CE47" s="25">
        <v>115061.82</v>
      </c>
    </row>
    <row r="48" spans="1:83" x14ac:dyDescent="0.25">
      <c r="A48" s="25" t="s">
        <v>232</v>
      </c>
      <c r="B48" s="233">
        <v>31812788.5</v>
      </c>
      <c r="C48" s="25">
        <v>1621797</v>
      </c>
      <c r="D48" s="25">
        <v>0</v>
      </c>
      <c r="E48" s="25">
        <v>6068940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1497513</v>
      </c>
      <c r="P48" s="25">
        <v>2308757</v>
      </c>
      <c r="Q48" s="25">
        <v>788221</v>
      </c>
      <c r="R48" s="25">
        <v>0</v>
      </c>
      <c r="S48" s="25">
        <v>169031</v>
      </c>
      <c r="T48" s="25">
        <v>230039</v>
      </c>
      <c r="U48" s="25">
        <v>527207</v>
      </c>
      <c r="V48" s="25">
        <v>156097</v>
      </c>
      <c r="W48" s="25">
        <v>126032</v>
      </c>
      <c r="X48" s="25">
        <v>192270</v>
      </c>
      <c r="Y48" s="25">
        <v>794922</v>
      </c>
      <c r="Z48" s="25">
        <v>171749</v>
      </c>
      <c r="AA48" s="25">
        <v>68304</v>
      </c>
      <c r="AB48" s="25">
        <v>700182</v>
      </c>
      <c r="AC48" s="25">
        <v>337891</v>
      </c>
      <c r="AD48" s="25">
        <v>0</v>
      </c>
      <c r="AE48" s="25">
        <v>419645</v>
      </c>
      <c r="AF48" s="25">
        <v>0</v>
      </c>
      <c r="AG48" s="25">
        <v>1667954</v>
      </c>
      <c r="AH48" s="25">
        <v>0</v>
      </c>
      <c r="AI48" s="25">
        <v>0</v>
      </c>
      <c r="AJ48" s="25">
        <v>11028094</v>
      </c>
      <c r="AK48" s="25">
        <v>76047</v>
      </c>
      <c r="AL48" s="25">
        <v>24649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438291</v>
      </c>
      <c r="AW48" s="25">
        <v>0</v>
      </c>
      <c r="AX48" s="25">
        <v>0</v>
      </c>
      <c r="AY48" s="25">
        <v>484994</v>
      </c>
      <c r="AZ48" s="25">
        <v>0</v>
      </c>
      <c r="BA48" s="25">
        <v>14893</v>
      </c>
      <c r="BB48" s="25">
        <v>0</v>
      </c>
      <c r="BC48" s="25">
        <v>73377</v>
      </c>
      <c r="BD48" s="25">
        <v>0</v>
      </c>
      <c r="BE48" s="25">
        <v>102502</v>
      </c>
      <c r="BF48" s="25">
        <v>359145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19960</v>
      </c>
      <c r="BM48" s="25">
        <v>0</v>
      </c>
      <c r="BN48" s="25">
        <v>126925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230228</v>
      </c>
      <c r="BY48" s="25">
        <v>618716</v>
      </c>
      <c r="BZ48" s="25">
        <v>37724</v>
      </c>
      <c r="CA48" s="25">
        <v>157728</v>
      </c>
      <c r="CB48" s="25">
        <v>0</v>
      </c>
      <c r="CC48" s="25">
        <v>172963</v>
      </c>
      <c r="CD48" s="25" t="s">
        <v>1056</v>
      </c>
      <c r="CE48" s="25" t="s">
        <v>1056</v>
      </c>
    </row>
    <row r="49" spans="1:83" x14ac:dyDescent="0.25">
      <c r="A49" s="16" t="s">
        <v>233</v>
      </c>
      <c r="B49" s="25">
        <v>31927850.32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4">
        <v>7808631.6399999987</v>
      </c>
      <c r="C51" s="234">
        <v>197556.91</v>
      </c>
      <c r="D51" s="234">
        <v>0</v>
      </c>
      <c r="E51" s="234">
        <v>81429.820000000007</v>
      </c>
      <c r="F51" s="234">
        <v>0</v>
      </c>
      <c r="G51" s="234">
        <v>0</v>
      </c>
      <c r="H51" s="234">
        <v>0</v>
      </c>
      <c r="I51" s="234">
        <v>0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97528.67</v>
      </c>
      <c r="P51" s="234">
        <v>2226844.1</v>
      </c>
      <c r="Q51" s="234">
        <v>445.19</v>
      </c>
      <c r="R51" s="234">
        <v>0</v>
      </c>
      <c r="S51" s="234">
        <v>2906.36</v>
      </c>
      <c r="T51" s="234">
        <v>13656.28</v>
      </c>
      <c r="U51" s="234">
        <v>66537.87</v>
      </c>
      <c r="V51" s="234">
        <v>64471.1</v>
      </c>
      <c r="W51" s="234">
        <v>0</v>
      </c>
      <c r="X51" s="234">
        <v>8127.25</v>
      </c>
      <c r="Y51" s="234">
        <v>427168.61000000004</v>
      </c>
      <c r="Z51" s="234">
        <v>654048.25</v>
      </c>
      <c r="AA51" s="234">
        <v>6056.21</v>
      </c>
      <c r="AB51" s="234">
        <v>180294.66999999998</v>
      </c>
      <c r="AC51" s="234">
        <v>42526.720000000001</v>
      </c>
      <c r="AD51" s="234">
        <v>22446.05</v>
      </c>
      <c r="AE51" s="234">
        <v>57709.06</v>
      </c>
      <c r="AF51" s="234">
        <v>0</v>
      </c>
      <c r="AG51" s="234">
        <v>69378.240000000005</v>
      </c>
      <c r="AH51" s="234">
        <v>0</v>
      </c>
      <c r="AI51" s="234">
        <v>0</v>
      </c>
      <c r="AJ51" s="234">
        <v>2466806.25</v>
      </c>
      <c r="AK51" s="234">
        <v>0</v>
      </c>
      <c r="AL51" s="234">
        <v>0</v>
      </c>
      <c r="AM51" s="234">
        <v>0</v>
      </c>
      <c r="AN51" s="234">
        <v>0</v>
      </c>
      <c r="AO51" s="234">
        <v>0</v>
      </c>
      <c r="AP51" s="234">
        <v>0</v>
      </c>
      <c r="AQ51" s="234">
        <v>0</v>
      </c>
      <c r="AR51" s="234">
        <v>0</v>
      </c>
      <c r="AS51" s="234">
        <v>0</v>
      </c>
      <c r="AT51" s="234">
        <v>0</v>
      </c>
      <c r="AU51" s="234">
        <v>0</v>
      </c>
      <c r="AV51" s="234">
        <v>0</v>
      </c>
      <c r="AW51" s="234">
        <v>0</v>
      </c>
      <c r="AX51" s="234">
        <v>0</v>
      </c>
      <c r="AY51" s="234">
        <v>42377</v>
      </c>
      <c r="AZ51" s="234">
        <v>0</v>
      </c>
      <c r="BA51" s="234">
        <v>0</v>
      </c>
      <c r="BB51" s="234">
        <v>0</v>
      </c>
      <c r="BC51" s="234">
        <v>0</v>
      </c>
      <c r="BD51" s="234">
        <v>0</v>
      </c>
      <c r="BE51" s="234">
        <v>429073.85</v>
      </c>
      <c r="BF51" s="234">
        <v>7179.5</v>
      </c>
      <c r="BG51" s="234">
        <v>0</v>
      </c>
      <c r="BH51" s="234">
        <v>0</v>
      </c>
      <c r="BI51" s="234">
        <v>0</v>
      </c>
      <c r="BJ51" s="234">
        <v>0</v>
      </c>
      <c r="BK51" s="234">
        <v>0</v>
      </c>
      <c r="BL51" s="234">
        <v>2787.1</v>
      </c>
      <c r="BM51" s="234">
        <v>0</v>
      </c>
      <c r="BN51" s="234">
        <v>2223.04</v>
      </c>
      <c r="BO51" s="234">
        <v>0</v>
      </c>
      <c r="BP51" s="234">
        <v>0</v>
      </c>
      <c r="BQ51" s="234">
        <v>0</v>
      </c>
      <c r="BR51" s="234">
        <v>0</v>
      </c>
      <c r="BS51" s="234">
        <v>0</v>
      </c>
      <c r="BT51" s="234">
        <v>0</v>
      </c>
      <c r="BU51" s="234">
        <v>0</v>
      </c>
      <c r="BV51" s="234">
        <v>0</v>
      </c>
      <c r="BW51" s="234">
        <v>0</v>
      </c>
      <c r="BX51" s="234">
        <v>0</v>
      </c>
      <c r="BY51" s="234">
        <v>18153.7</v>
      </c>
      <c r="BZ51" s="234">
        <v>0</v>
      </c>
      <c r="CA51" s="234">
        <v>0</v>
      </c>
      <c r="CB51" s="234">
        <v>0</v>
      </c>
      <c r="CC51" s="234">
        <v>620951.84</v>
      </c>
      <c r="CD51" s="16"/>
      <c r="CE51" s="25">
        <v>7808683.6399999987</v>
      </c>
    </row>
    <row r="52" spans="1:83" x14ac:dyDescent="0.25">
      <c r="A52" s="31" t="s">
        <v>235</v>
      </c>
      <c r="B52" s="235">
        <v>6090439.7799999993</v>
      </c>
      <c r="C52" s="25">
        <v>258406</v>
      </c>
      <c r="D52" s="25">
        <v>0</v>
      </c>
      <c r="E52" s="25">
        <v>1137398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98925</v>
      </c>
      <c r="P52" s="25">
        <v>548117</v>
      </c>
      <c r="Q52" s="25">
        <v>28789</v>
      </c>
      <c r="R52" s="25">
        <v>0</v>
      </c>
      <c r="S52" s="25">
        <v>129575</v>
      </c>
      <c r="T52" s="25">
        <v>0</v>
      </c>
      <c r="U52" s="25">
        <v>156062</v>
      </c>
      <c r="V52" s="25">
        <v>0</v>
      </c>
      <c r="W52" s="25">
        <v>0</v>
      </c>
      <c r="X52" s="25">
        <v>18301</v>
      </c>
      <c r="Y52" s="25">
        <v>572022</v>
      </c>
      <c r="Z52" s="25">
        <v>0</v>
      </c>
      <c r="AA52" s="25">
        <v>18325</v>
      </c>
      <c r="AB52" s="25">
        <v>86507</v>
      </c>
      <c r="AC52" s="25">
        <v>27557</v>
      </c>
      <c r="AD52" s="25">
        <v>0</v>
      </c>
      <c r="AE52" s="25">
        <v>229224</v>
      </c>
      <c r="AF52" s="25">
        <v>0</v>
      </c>
      <c r="AG52" s="25">
        <v>236430</v>
      </c>
      <c r="AH52" s="25">
        <v>0</v>
      </c>
      <c r="AI52" s="25">
        <v>0</v>
      </c>
      <c r="AJ52" s="25">
        <v>25789</v>
      </c>
      <c r="AK52" s="25">
        <v>76694</v>
      </c>
      <c r="AL52" s="25">
        <v>16046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18666</v>
      </c>
      <c r="AW52" s="25">
        <v>0</v>
      </c>
      <c r="AX52" s="25">
        <v>0</v>
      </c>
      <c r="AY52" s="25">
        <v>0</v>
      </c>
      <c r="AZ52" s="25">
        <v>132738</v>
      </c>
      <c r="BA52" s="25">
        <v>50207</v>
      </c>
      <c r="BB52" s="25">
        <v>0</v>
      </c>
      <c r="BC52" s="25">
        <v>0</v>
      </c>
      <c r="BD52" s="25">
        <v>0</v>
      </c>
      <c r="BE52" s="25">
        <v>1404279</v>
      </c>
      <c r="BF52" s="25">
        <v>14534</v>
      </c>
      <c r="BG52" s="25">
        <v>0</v>
      </c>
      <c r="BH52" s="25">
        <v>0</v>
      </c>
      <c r="BI52" s="25">
        <v>11255</v>
      </c>
      <c r="BJ52" s="25">
        <v>0</v>
      </c>
      <c r="BK52" s="25">
        <v>0</v>
      </c>
      <c r="BL52" s="25">
        <v>0</v>
      </c>
      <c r="BM52" s="25">
        <v>0</v>
      </c>
      <c r="BN52" s="25">
        <v>558670</v>
      </c>
      <c r="BO52" s="25">
        <v>0</v>
      </c>
      <c r="BP52" s="25">
        <v>0</v>
      </c>
      <c r="BQ52" s="25">
        <v>0</v>
      </c>
      <c r="BR52" s="25">
        <v>141644</v>
      </c>
      <c r="BS52" s="25">
        <v>0</v>
      </c>
      <c r="BT52" s="25">
        <v>0</v>
      </c>
      <c r="BU52" s="25">
        <v>0</v>
      </c>
      <c r="BV52" s="25">
        <v>59764</v>
      </c>
      <c r="BW52" s="25">
        <v>0</v>
      </c>
      <c r="BX52" s="25">
        <v>0</v>
      </c>
      <c r="BY52" s="25">
        <v>34463</v>
      </c>
      <c r="BZ52" s="25">
        <v>0</v>
      </c>
      <c r="CA52" s="25">
        <v>0</v>
      </c>
      <c r="CB52" s="25">
        <v>0</v>
      </c>
      <c r="CC52" s="25">
        <v>0</v>
      </c>
      <c r="CD52" s="25" t="s">
        <v>1056</v>
      </c>
      <c r="CE52" s="25" t="s">
        <v>1056</v>
      </c>
    </row>
    <row r="53" spans="1:83" x14ac:dyDescent="0.25">
      <c r="A53" s="16" t="s">
        <v>233</v>
      </c>
      <c r="B53" s="25">
        <v>13899071.419999998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4">
        <v>5006</v>
      </c>
      <c r="D59" s="234">
        <v>0</v>
      </c>
      <c r="E59" s="234">
        <v>33751</v>
      </c>
      <c r="F59" s="234">
        <v>0</v>
      </c>
      <c r="G59" s="234">
        <v>0</v>
      </c>
      <c r="H59" s="234">
        <v>0</v>
      </c>
      <c r="I59" s="234">
        <v>0</v>
      </c>
      <c r="J59" s="234">
        <v>1636</v>
      </c>
      <c r="K59" s="234">
        <v>0</v>
      </c>
      <c r="L59" s="234">
        <v>0</v>
      </c>
      <c r="M59" s="234">
        <v>0</v>
      </c>
      <c r="N59" s="234">
        <v>0</v>
      </c>
      <c r="O59" s="234">
        <v>3372</v>
      </c>
      <c r="P59" s="236">
        <v>622610</v>
      </c>
      <c r="Q59" s="236">
        <v>293790</v>
      </c>
      <c r="R59" s="236">
        <v>0</v>
      </c>
      <c r="S59" s="229">
        <v>0</v>
      </c>
      <c r="T59" s="229">
        <v>0</v>
      </c>
      <c r="U59" s="237">
        <v>535556</v>
      </c>
      <c r="V59" s="236">
        <v>0</v>
      </c>
      <c r="W59" s="236">
        <v>7567.3099999999995</v>
      </c>
      <c r="X59" s="236">
        <v>24304.65</v>
      </c>
      <c r="Y59" s="236">
        <v>98945.51999999999</v>
      </c>
      <c r="Z59" s="236">
        <v>0</v>
      </c>
      <c r="AA59" s="236">
        <v>3042.25</v>
      </c>
      <c r="AB59" s="229">
        <v>0</v>
      </c>
      <c r="AC59" s="236">
        <v>72380.03</v>
      </c>
      <c r="AD59" s="236">
        <v>0</v>
      </c>
      <c r="AE59" s="236">
        <v>64024</v>
      </c>
      <c r="AF59" s="236">
        <v>0</v>
      </c>
      <c r="AG59" s="236">
        <v>45873</v>
      </c>
      <c r="AH59" s="236">
        <v>0</v>
      </c>
      <c r="AI59" s="236">
        <v>0</v>
      </c>
      <c r="AJ59" s="236">
        <v>688800.8</v>
      </c>
      <c r="AK59" s="236">
        <v>13312</v>
      </c>
      <c r="AL59" s="236">
        <v>2513</v>
      </c>
      <c r="AM59" s="236">
        <v>0</v>
      </c>
      <c r="AN59" s="236">
        <v>0</v>
      </c>
      <c r="AO59" s="236">
        <v>0</v>
      </c>
      <c r="AP59" s="236">
        <v>0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121535</v>
      </c>
      <c r="AZ59" s="236">
        <v>129072</v>
      </c>
      <c r="BA59" s="229">
        <v>0</v>
      </c>
      <c r="BB59" s="229">
        <v>0</v>
      </c>
      <c r="BC59" s="229">
        <v>0</v>
      </c>
      <c r="BD59" s="229">
        <v>0</v>
      </c>
      <c r="BE59" s="236">
        <v>261902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</row>
    <row r="60" spans="1:83" s="201" customFormat="1" ht="15.75" customHeight="1" x14ac:dyDescent="0.25">
      <c r="A60" s="206" t="s">
        <v>262</v>
      </c>
      <c r="B60" s="207"/>
      <c r="C60" s="238">
        <v>52.48245192307693</v>
      </c>
      <c r="D60" s="238">
        <v>0</v>
      </c>
      <c r="E60" s="238">
        <v>228.04097115384616</v>
      </c>
      <c r="F60" s="238">
        <v>0</v>
      </c>
      <c r="G60" s="238">
        <v>0</v>
      </c>
      <c r="H60" s="238">
        <v>0</v>
      </c>
      <c r="I60" s="238">
        <v>0</v>
      </c>
      <c r="J60" s="238">
        <v>0</v>
      </c>
      <c r="K60" s="238">
        <v>0</v>
      </c>
      <c r="L60" s="238">
        <v>0</v>
      </c>
      <c r="M60" s="238">
        <v>0</v>
      </c>
      <c r="N60" s="238">
        <v>0</v>
      </c>
      <c r="O60" s="238">
        <v>43.897658653846158</v>
      </c>
      <c r="P60" s="239">
        <v>95.108471153846153</v>
      </c>
      <c r="Q60" s="239">
        <v>26.150653846153844</v>
      </c>
      <c r="R60" s="239">
        <v>0</v>
      </c>
      <c r="S60" s="240">
        <v>13.855663461538462</v>
      </c>
      <c r="T60" s="240">
        <v>5.1625288461538457</v>
      </c>
      <c r="U60" s="241">
        <v>26.407269230769227</v>
      </c>
      <c r="V60" s="239">
        <v>5.8760480769230758</v>
      </c>
      <c r="W60" s="239">
        <v>3.1980192307692312</v>
      </c>
      <c r="X60" s="239">
        <v>6.0991057692307695</v>
      </c>
      <c r="Y60" s="239">
        <v>31.644177884615384</v>
      </c>
      <c r="Z60" s="239">
        <v>5.3720048076923081</v>
      </c>
      <c r="AA60" s="239">
        <v>2.3815865384615384</v>
      </c>
      <c r="AB60" s="240">
        <v>23.949673076923073</v>
      </c>
      <c r="AC60" s="239">
        <v>12.835841346153845</v>
      </c>
      <c r="AD60" s="239">
        <v>0</v>
      </c>
      <c r="AE60" s="239">
        <v>16.613495192307692</v>
      </c>
      <c r="AF60" s="239">
        <v>0</v>
      </c>
      <c r="AG60" s="239">
        <v>67.476764423076929</v>
      </c>
      <c r="AH60" s="239">
        <v>0</v>
      </c>
      <c r="AI60" s="239">
        <v>0</v>
      </c>
      <c r="AJ60" s="239">
        <v>398.33731249999994</v>
      </c>
      <c r="AK60" s="239">
        <v>3.1824230769230768</v>
      </c>
      <c r="AL60" s="239">
        <v>1.1502355769230768</v>
      </c>
      <c r="AM60" s="239">
        <v>0</v>
      </c>
      <c r="AN60" s="239">
        <v>0</v>
      </c>
      <c r="AO60" s="239">
        <v>0</v>
      </c>
      <c r="AP60" s="239">
        <v>0</v>
      </c>
      <c r="AQ60" s="239">
        <v>0</v>
      </c>
      <c r="AR60" s="239">
        <v>0</v>
      </c>
      <c r="AS60" s="239">
        <v>0</v>
      </c>
      <c r="AT60" s="239">
        <v>0</v>
      </c>
      <c r="AU60" s="239">
        <v>0</v>
      </c>
      <c r="AV60" s="240">
        <v>18.734062499999997</v>
      </c>
      <c r="AW60" s="240">
        <v>0</v>
      </c>
      <c r="AX60" s="240">
        <v>0</v>
      </c>
      <c r="AY60" s="239">
        <v>37.536932692307694</v>
      </c>
      <c r="AZ60" s="239">
        <v>0</v>
      </c>
      <c r="BA60" s="240">
        <v>1.0139038461538461</v>
      </c>
      <c r="BB60" s="240">
        <v>0</v>
      </c>
      <c r="BC60" s="240">
        <v>5.2475144230769226</v>
      </c>
      <c r="BD60" s="240">
        <v>0</v>
      </c>
      <c r="BE60" s="239">
        <v>6.3428076923076917</v>
      </c>
      <c r="BF60" s="240">
        <v>27.256052884615382</v>
      </c>
      <c r="BG60" s="240">
        <v>0</v>
      </c>
      <c r="BH60" s="240">
        <v>0</v>
      </c>
      <c r="BI60" s="240">
        <v>0</v>
      </c>
      <c r="BJ60" s="240">
        <v>0</v>
      </c>
      <c r="BK60" s="240">
        <v>0</v>
      </c>
      <c r="BL60" s="240">
        <v>1.8461538461538463</v>
      </c>
      <c r="BM60" s="240">
        <v>0</v>
      </c>
      <c r="BN60" s="240">
        <v>3.7043798076923071</v>
      </c>
      <c r="BO60" s="240">
        <v>0</v>
      </c>
      <c r="BP60" s="240">
        <v>0</v>
      </c>
      <c r="BQ60" s="240">
        <v>0</v>
      </c>
      <c r="BR60" s="240">
        <v>0</v>
      </c>
      <c r="BS60" s="240">
        <v>0</v>
      </c>
      <c r="BT60" s="240">
        <v>0</v>
      </c>
      <c r="BU60" s="240">
        <v>0</v>
      </c>
      <c r="BV60" s="240">
        <v>0</v>
      </c>
      <c r="BW60" s="240">
        <v>0</v>
      </c>
      <c r="BX60" s="240">
        <v>9.2129903846153844</v>
      </c>
      <c r="BY60" s="240">
        <v>24.565389423076919</v>
      </c>
      <c r="BZ60" s="240">
        <v>1.7559759615384616</v>
      </c>
      <c r="CA60" s="240">
        <v>5.0795192307692307</v>
      </c>
      <c r="CB60" s="240">
        <v>0</v>
      </c>
      <c r="CC60" s="240">
        <v>1.5793269230769232E-2</v>
      </c>
      <c r="CD60" s="208" t="s">
        <v>248</v>
      </c>
      <c r="CE60" s="226">
        <v>1211.533831730769</v>
      </c>
    </row>
    <row r="61" spans="1:83" x14ac:dyDescent="0.25">
      <c r="A61" s="31" t="s">
        <v>263</v>
      </c>
      <c r="B61" s="16"/>
      <c r="C61" s="234">
        <v>7304219.9099999992</v>
      </c>
      <c r="D61" s="234">
        <v>0</v>
      </c>
      <c r="E61" s="234">
        <v>27333175.719999995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6744470.8300000001</v>
      </c>
      <c r="P61" s="236">
        <v>10398134.369999999</v>
      </c>
      <c r="Q61" s="236">
        <v>3549973.899999999</v>
      </c>
      <c r="R61" s="236">
        <v>0</v>
      </c>
      <c r="S61" s="242">
        <v>761278.9800000001</v>
      </c>
      <c r="T61" s="242">
        <v>1036044.9099999999</v>
      </c>
      <c r="U61" s="237">
        <v>2374425.35</v>
      </c>
      <c r="V61" s="236">
        <v>703026.63</v>
      </c>
      <c r="W61" s="236">
        <v>567618.79</v>
      </c>
      <c r="X61" s="236">
        <v>865942.37999999989</v>
      </c>
      <c r="Y61" s="236">
        <v>3580155.7499999995</v>
      </c>
      <c r="Z61" s="236">
        <v>773520.40000000014</v>
      </c>
      <c r="AA61" s="236">
        <v>307627.73</v>
      </c>
      <c r="AB61" s="243">
        <v>3153466.1899999985</v>
      </c>
      <c r="AC61" s="236">
        <v>1521787.6800000002</v>
      </c>
      <c r="AD61" s="236">
        <v>0</v>
      </c>
      <c r="AE61" s="236">
        <v>1889990.5200000003</v>
      </c>
      <c r="AF61" s="236">
        <v>0</v>
      </c>
      <c r="AG61" s="236">
        <v>7512097.9300000016</v>
      </c>
      <c r="AH61" s="236">
        <v>0</v>
      </c>
      <c r="AI61" s="236">
        <v>0</v>
      </c>
      <c r="AJ61" s="236">
        <v>49668117.280000009</v>
      </c>
      <c r="AK61" s="236">
        <v>342499.95</v>
      </c>
      <c r="AL61" s="236">
        <v>111013.81</v>
      </c>
      <c r="AM61" s="236">
        <v>0</v>
      </c>
      <c r="AN61" s="236">
        <v>0</v>
      </c>
      <c r="AO61" s="236">
        <v>0</v>
      </c>
      <c r="AP61" s="236">
        <v>0</v>
      </c>
      <c r="AQ61" s="236">
        <v>0</v>
      </c>
      <c r="AR61" s="236">
        <v>0</v>
      </c>
      <c r="AS61" s="236">
        <v>0</v>
      </c>
      <c r="AT61" s="236">
        <v>0</v>
      </c>
      <c r="AU61" s="236">
        <v>0</v>
      </c>
      <c r="AV61" s="242">
        <v>1973967.5599999998</v>
      </c>
      <c r="AW61" s="242">
        <v>0</v>
      </c>
      <c r="AX61" s="242">
        <v>0</v>
      </c>
      <c r="AY61" s="236">
        <v>2184304.6300000004</v>
      </c>
      <c r="AZ61" s="236">
        <v>0</v>
      </c>
      <c r="BA61" s="242">
        <v>67074.679999999993</v>
      </c>
      <c r="BB61" s="242">
        <v>0</v>
      </c>
      <c r="BC61" s="242">
        <v>330472.56999999995</v>
      </c>
      <c r="BD61" s="242">
        <v>0</v>
      </c>
      <c r="BE61" s="236">
        <v>461646.84</v>
      </c>
      <c r="BF61" s="242">
        <v>1617511.07</v>
      </c>
      <c r="BG61" s="242">
        <v>0</v>
      </c>
      <c r="BH61" s="242">
        <v>0</v>
      </c>
      <c r="BI61" s="242">
        <v>0</v>
      </c>
      <c r="BJ61" s="242">
        <v>0</v>
      </c>
      <c r="BK61" s="242">
        <v>0</v>
      </c>
      <c r="BL61" s="242">
        <v>89894.399999999994</v>
      </c>
      <c r="BM61" s="242">
        <v>0</v>
      </c>
      <c r="BN61" s="242">
        <v>571643.20000000007</v>
      </c>
      <c r="BO61" s="242">
        <v>0</v>
      </c>
      <c r="BP61" s="242">
        <v>0</v>
      </c>
      <c r="BQ61" s="242">
        <v>0</v>
      </c>
      <c r="BR61" s="242">
        <v>0</v>
      </c>
      <c r="BS61" s="242">
        <v>0</v>
      </c>
      <c r="BT61" s="242">
        <v>0</v>
      </c>
      <c r="BU61" s="242">
        <v>0</v>
      </c>
      <c r="BV61" s="242">
        <v>0</v>
      </c>
      <c r="BW61" s="242">
        <v>0</v>
      </c>
      <c r="BX61" s="242">
        <v>1036894.22</v>
      </c>
      <c r="BY61" s="242">
        <v>2786562.22</v>
      </c>
      <c r="BZ61" s="242">
        <v>169902.65</v>
      </c>
      <c r="CA61" s="242">
        <v>710372.08</v>
      </c>
      <c r="CB61" s="242">
        <v>0</v>
      </c>
      <c r="CC61" s="242">
        <v>778988.47000000009</v>
      </c>
      <c r="CD61" s="24" t="s">
        <v>248</v>
      </c>
      <c r="CE61" s="25">
        <v>143277823.60000002</v>
      </c>
    </row>
    <row r="62" spans="1:83" x14ac:dyDescent="0.25">
      <c r="A62" s="31" t="s">
        <v>11</v>
      </c>
      <c r="B62" s="16"/>
      <c r="C62" s="25">
        <v>1624359</v>
      </c>
      <c r="D62" s="25">
        <v>0</v>
      </c>
      <c r="E62" s="25">
        <v>6071467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1498506</v>
      </c>
      <c r="P62" s="25">
        <v>2312317</v>
      </c>
      <c r="Q62" s="25">
        <v>788447</v>
      </c>
      <c r="R62" s="25">
        <v>0</v>
      </c>
      <c r="S62" s="25">
        <v>169154</v>
      </c>
      <c r="T62" s="25">
        <v>230039</v>
      </c>
      <c r="U62" s="25">
        <v>528222</v>
      </c>
      <c r="V62" s="25">
        <v>156097</v>
      </c>
      <c r="W62" s="25">
        <v>126032</v>
      </c>
      <c r="X62" s="25">
        <v>192270</v>
      </c>
      <c r="Y62" s="25">
        <v>794922</v>
      </c>
      <c r="Z62" s="25">
        <v>171876</v>
      </c>
      <c r="AA62" s="25">
        <v>68304</v>
      </c>
      <c r="AB62" s="25">
        <v>700182</v>
      </c>
      <c r="AC62" s="25">
        <v>339614</v>
      </c>
      <c r="AD62" s="25">
        <v>0</v>
      </c>
      <c r="AE62" s="25">
        <v>419645</v>
      </c>
      <c r="AF62" s="25">
        <v>0</v>
      </c>
      <c r="AG62" s="25">
        <v>1672075</v>
      </c>
      <c r="AH62" s="25">
        <v>0</v>
      </c>
      <c r="AI62" s="25">
        <v>0</v>
      </c>
      <c r="AJ62" s="25">
        <v>11028094</v>
      </c>
      <c r="AK62" s="25">
        <v>76047</v>
      </c>
      <c r="AL62" s="25">
        <v>24649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438778</v>
      </c>
      <c r="AW62" s="25">
        <v>0</v>
      </c>
      <c r="AX62" s="25">
        <v>0</v>
      </c>
      <c r="AY62" s="25">
        <v>484994</v>
      </c>
      <c r="AZ62" s="25">
        <v>0</v>
      </c>
      <c r="BA62" s="25">
        <v>14893</v>
      </c>
      <c r="BB62" s="25">
        <v>0</v>
      </c>
      <c r="BC62" s="25">
        <v>73377</v>
      </c>
      <c r="BD62" s="25">
        <v>0</v>
      </c>
      <c r="BE62" s="25">
        <v>102502</v>
      </c>
      <c r="BF62" s="25">
        <v>359145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19960</v>
      </c>
      <c r="BM62" s="25">
        <v>0</v>
      </c>
      <c r="BN62" s="25">
        <v>191497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230228</v>
      </c>
      <c r="BY62" s="25">
        <v>640294</v>
      </c>
      <c r="BZ62" s="25">
        <v>37724</v>
      </c>
      <c r="CA62" s="25">
        <v>157874</v>
      </c>
      <c r="CB62" s="25">
        <v>0</v>
      </c>
      <c r="CC62" s="25">
        <v>184264</v>
      </c>
      <c r="CD62" s="24" t="s">
        <v>248</v>
      </c>
      <c r="CE62" s="25">
        <v>31927848</v>
      </c>
    </row>
    <row r="63" spans="1:83" x14ac:dyDescent="0.25">
      <c r="A63" s="31" t="s">
        <v>264</v>
      </c>
      <c r="B63" s="16"/>
      <c r="C63" s="234">
        <v>2146169</v>
      </c>
      <c r="D63" s="234">
        <v>0</v>
      </c>
      <c r="E63" s="234">
        <v>77055.56</v>
      </c>
      <c r="F63" s="234">
        <v>0</v>
      </c>
      <c r="G63" s="234">
        <v>0</v>
      </c>
      <c r="H63" s="234">
        <v>0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881503.5</v>
      </c>
      <c r="P63" s="236">
        <v>4549165.2300000004</v>
      </c>
      <c r="Q63" s="236">
        <v>0</v>
      </c>
      <c r="R63" s="236">
        <v>0</v>
      </c>
      <c r="S63" s="242">
        <v>0</v>
      </c>
      <c r="T63" s="242">
        <v>0</v>
      </c>
      <c r="U63" s="237">
        <v>41100.33</v>
      </c>
      <c r="V63" s="236">
        <v>0</v>
      </c>
      <c r="W63" s="236">
        <v>0</v>
      </c>
      <c r="X63" s="236">
        <v>0</v>
      </c>
      <c r="Y63" s="236">
        <v>23962.5</v>
      </c>
      <c r="Z63" s="236">
        <v>4800</v>
      </c>
      <c r="AA63" s="236">
        <v>0</v>
      </c>
      <c r="AB63" s="243">
        <v>0</v>
      </c>
      <c r="AC63" s="236">
        <v>1725</v>
      </c>
      <c r="AD63" s="236">
        <v>0</v>
      </c>
      <c r="AE63" s="236">
        <v>0</v>
      </c>
      <c r="AF63" s="236">
        <v>0</v>
      </c>
      <c r="AG63" s="236">
        <v>791792</v>
      </c>
      <c r="AH63" s="236">
        <v>0</v>
      </c>
      <c r="AI63" s="236">
        <v>0</v>
      </c>
      <c r="AJ63" s="236">
        <v>894123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0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4622296.3099999996</v>
      </c>
      <c r="CD63" s="24" t="s">
        <v>248</v>
      </c>
      <c r="CE63" s="25">
        <v>14033692.43</v>
      </c>
    </row>
    <row r="64" spans="1:83" x14ac:dyDescent="0.25">
      <c r="A64" s="31" t="s">
        <v>265</v>
      </c>
      <c r="B64" s="16"/>
      <c r="C64" s="234">
        <v>606024.70000000007</v>
      </c>
      <c r="D64" s="234">
        <v>0</v>
      </c>
      <c r="E64" s="234">
        <v>1716231.7700000009</v>
      </c>
      <c r="F64" s="234">
        <v>0</v>
      </c>
      <c r="G64" s="234">
        <v>0</v>
      </c>
      <c r="H64" s="234">
        <v>0</v>
      </c>
      <c r="I64" s="234">
        <v>0</v>
      </c>
      <c r="J64" s="234">
        <v>0</v>
      </c>
      <c r="K64" s="234">
        <v>0</v>
      </c>
      <c r="L64" s="234">
        <v>0</v>
      </c>
      <c r="M64" s="234">
        <v>0</v>
      </c>
      <c r="N64" s="234">
        <v>0</v>
      </c>
      <c r="O64" s="234">
        <v>797970.17999999993</v>
      </c>
      <c r="P64" s="236">
        <v>20987430.050000012</v>
      </c>
      <c r="Q64" s="236">
        <v>227068.12</v>
      </c>
      <c r="R64" s="236">
        <v>0</v>
      </c>
      <c r="S64" s="242">
        <v>-231802.27</v>
      </c>
      <c r="T64" s="242">
        <v>393129.33999999997</v>
      </c>
      <c r="U64" s="237">
        <v>2137387.3100000005</v>
      </c>
      <c r="V64" s="236">
        <v>166354.32999999999</v>
      </c>
      <c r="W64" s="236">
        <v>32211.730000000003</v>
      </c>
      <c r="X64" s="236">
        <v>233614.39999999997</v>
      </c>
      <c r="Y64" s="236">
        <v>209288.84999999998</v>
      </c>
      <c r="Z64" s="236">
        <v>28773.33</v>
      </c>
      <c r="AA64" s="236">
        <v>158461.84000000005</v>
      </c>
      <c r="AB64" s="243">
        <v>6385449.8099999996</v>
      </c>
      <c r="AC64" s="236">
        <v>374125.51</v>
      </c>
      <c r="AD64" s="236">
        <v>762.22</v>
      </c>
      <c r="AE64" s="236">
        <v>21985.320000000003</v>
      </c>
      <c r="AF64" s="236">
        <v>0</v>
      </c>
      <c r="AG64" s="236">
        <v>1757993.3600000006</v>
      </c>
      <c r="AH64" s="236">
        <v>0</v>
      </c>
      <c r="AI64" s="236">
        <v>0</v>
      </c>
      <c r="AJ64" s="236">
        <v>3058213.8400000008</v>
      </c>
      <c r="AK64" s="236">
        <v>7046.69</v>
      </c>
      <c r="AL64" s="236">
        <v>44.5</v>
      </c>
      <c r="AM64" s="236">
        <v>0</v>
      </c>
      <c r="AN64" s="236">
        <v>0</v>
      </c>
      <c r="AO64" s="236">
        <v>0</v>
      </c>
      <c r="AP64" s="236">
        <v>0</v>
      </c>
      <c r="AQ64" s="236">
        <v>0</v>
      </c>
      <c r="AR64" s="236">
        <v>0</v>
      </c>
      <c r="AS64" s="236">
        <v>0</v>
      </c>
      <c r="AT64" s="236">
        <v>0</v>
      </c>
      <c r="AU64" s="236">
        <v>0</v>
      </c>
      <c r="AV64" s="242">
        <v>38395.869999999995</v>
      </c>
      <c r="AW64" s="242">
        <v>0</v>
      </c>
      <c r="AX64" s="242">
        <v>0</v>
      </c>
      <c r="AY64" s="236">
        <v>1398147.3399999996</v>
      </c>
      <c r="AZ64" s="236">
        <v>0</v>
      </c>
      <c r="BA64" s="242">
        <v>14.28</v>
      </c>
      <c r="BB64" s="242">
        <v>0</v>
      </c>
      <c r="BC64" s="242">
        <v>83.85</v>
      </c>
      <c r="BD64" s="242">
        <v>3257.8900000000003</v>
      </c>
      <c r="BE64" s="236">
        <v>54179.179999999993</v>
      </c>
      <c r="BF64" s="242">
        <v>213134.35</v>
      </c>
      <c r="BG64" s="242">
        <v>0</v>
      </c>
      <c r="BH64" s="242">
        <v>0</v>
      </c>
      <c r="BI64" s="242">
        <v>29496.37</v>
      </c>
      <c r="BJ64" s="242">
        <v>0</v>
      </c>
      <c r="BK64" s="242">
        <v>0</v>
      </c>
      <c r="BL64" s="242">
        <v>23707.22</v>
      </c>
      <c r="BM64" s="242">
        <v>0</v>
      </c>
      <c r="BN64" s="242">
        <v>44413.469999999994</v>
      </c>
      <c r="BO64" s="242">
        <v>0</v>
      </c>
      <c r="BP64" s="242">
        <v>0</v>
      </c>
      <c r="BQ64" s="242">
        <v>0</v>
      </c>
      <c r="BR64" s="242">
        <v>0</v>
      </c>
      <c r="BS64" s="242">
        <v>0</v>
      </c>
      <c r="BT64" s="242">
        <v>0</v>
      </c>
      <c r="BU64" s="242">
        <v>0</v>
      </c>
      <c r="BV64" s="242">
        <v>0</v>
      </c>
      <c r="BW64" s="242">
        <v>0</v>
      </c>
      <c r="BX64" s="242">
        <v>0</v>
      </c>
      <c r="BY64" s="242">
        <v>17310.870000000003</v>
      </c>
      <c r="BZ64" s="242">
        <v>81.96</v>
      </c>
      <c r="CA64" s="242">
        <v>0</v>
      </c>
      <c r="CB64" s="242">
        <v>0</v>
      </c>
      <c r="CC64" s="242">
        <v>63325.549999999996</v>
      </c>
      <c r="CD64" s="24" t="s">
        <v>248</v>
      </c>
      <c r="CE64" s="25">
        <v>40953313.130000003</v>
      </c>
    </row>
    <row r="65" spans="1:83" x14ac:dyDescent="0.25">
      <c r="A65" s="31" t="s">
        <v>266</v>
      </c>
      <c r="B65" s="16"/>
      <c r="C65" s="234">
        <v>1191.8699999999999</v>
      </c>
      <c r="D65" s="234">
        <v>0</v>
      </c>
      <c r="E65" s="234">
        <v>6212.68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3115.8999999999996</v>
      </c>
      <c r="P65" s="236">
        <v>14021.52</v>
      </c>
      <c r="Q65" s="236">
        <v>1947.12</v>
      </c>
      <c r="R65" s="236">
        <v>0</v>
      </c>
      <c r="S65" s="242">
        <v>0</v>
      </c>
      <c r="T65" s="242">
        <v>322.83</v>
      </c>
      <c r="U65" s="237">
        <v>1314.34</v>
      </c>
      <c r="V65" s="236">
        <v>895.13</v>
      </c>
      <c r="W65" s="236">
        <v>113.04</v>
      </c>
      <c r="X65" s="236">
        <v>0</v>
      </c>
      <c r="Y65" s="236">
        <v>5111.92</v>
      </c>
      <c r="Z65" s="236">
        <v>540.36</v>
      </c>
      <c r="AA65" s="236">
        <v>203.58</v>
      </c>
      <c r="AB65" s="243">
        <v>5217.21</v>
      </c>
      <c r="AC65" s="236">
        <v>1285.98</v>
      </c>
      <c r="AD65" s="236">
        <v>0</v>
      </c>
      <c r="AE65" s="236">
        <v>4730.1000000000004</v>
      </c>
      <c r="AF65" s="236">
        <v>0</v>
      </c>
      <c r="AG65" s="236">
        <v>951.7700000000001</v>
      </c>
      <c r="AH65" s="236">
        <v>0</v>
      </c>
      <c r="AI65" s="236">
        <v>0</v>
      </c>
      <c r="AJ65" s="236">
        <v>160129.18</v>
      </c>
      <c r="AK65" s="236">
        <v>466.65</v>
      </c>
      <c r="AL65" s="236">
        <v>0</v>
      </c>
      <c r="AM65" s="236">
        <v>0</v>
      </c>
      <c r="AN65" s="236">
        <v>0</v>
      </c>
      <c r="AO65" s="236">
        <v>0</v>
      </c>
      <c r="AP65" s="236">
        <v>0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3100.25</v>
      </c>
      <c r="AW65" s="242">
        <v>0</v>
      </c>
      <c r="AX65" s="242">
        <v>0</v>
      </c>
      <c r="AY65" s="236">
        <v>203.58</v>
      </c>
      <c r="AZ65" s="236">
        <v>0</v>
      </c>
      <c r="BA65" s="242">
        <v>0</v>
      </c>
      <c r="BB65" s="242">
        <v>0</v>
      </c>
      <c r="BC65" s="242">
        <v>638.32000000000005</v>
      </c>
      <c r="BD65" s="242">
        <v>277.47000000000003</v>
      </c>
      <c r="BE65" s="236">
        <v>1531397.8999999997</v>
      </c>
      <c r="BF65" s="242">
        <v>401.97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119.37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1045.7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v>1744955.7399999998</v>
      </c>
    </row>
    <row r="66" spans="1:83" x14ac:dyDescent="0.25">
      <c r="A66" s="31" t="s">
        <v>267</v>
      </c>
      <c r="B66" s="16"/>
      <c r="C66" s="234">
        <v>15039.84</v>
      </c>
      <c r="D66" s="234">
        <v>0</v>
      </c>
      <c r="E66" s="234">
        <v>366039.21000000008</v>
      </c>
      <c r="F66" s="234"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56724.79</v>
      </c>
      <c r="P66" s="236">
        <v>1321988.4200000002</v>
      </c>
      <c r="Q66" s="236">
        <v>21144.560000000001</v>
      </c>
      <c r="R66" s="236">
        <v>0</v>
      </c>
      <c r="S66" s="242">
        <v>50202.86</v>
      </c>
      <c r="T66" s="242">
        <v>1276.1600000000001</v>
      </c>
      <c r="U66" s="237">
        <v>614731.07999999996</v>
      </c>
      <c r="V66" s="236">
        <v>37024.960000000006</v>
      </c>
      <c r="W66" s="236">
        <v>32673.02</v>
      </c>
      <c r="X66" s="236">
        <v>66656.67</v>
      </c>
      <c r="Y66" s="236">
        <v>882693.65000000014</v>
      </c>
      <c r="Z66" s="236">
        <v>1346034.16</v>
      </c>
      <c r="AA66" s="236">
        <v>555897.5</v>
      </c>
      <c r="AB66" s="243">
        <v>404388.83</v>
      </c>
      <c r="AC66" s="236">
        <v>22548.300000000003</v>
      </c>
      <c r="AD66" s="236">
        <v>850955.13</v>
      </c>
      <c r="AE66" s="236">
        <v>375300.45</v>
      </c>
      <c r="AF66" s="236">
        <v>0</v>
      </c>
      <c r="AG66" s="236">
        <v>283106.3</v>
      </c>
      <c r="AH66" s="236">
        <v>0</v>
      </c>
      <c r="AI66" s="236">
        <v>0</v>
      </c>
      <c r="AJ66" s="236">
        <v>4426012</v>
      </c>
      <c r="AK66" s="236">
        <v>27.56</v>
      </c>
      <c r="AL66" s="236">
        <v>0</v>
      </c>
      <c r="AM66" s="236">
        <v>0</v>
      </c>
      <c r="AN66" s="236">
        <v>0</v>
      </c>
      <c r="AO66" s="236">
        <v>0</v>
      </c>
      <c r="AP66" s="236">
        <v>0</v>
      </c>
      <c r="AQ66" s="236">
        <v>0</v>
      </c>
      <c r="AR66" s="236">
        <v>0</v>
      </c>
      <c r="AS66" s="236">
        <v>0</v>
      </c>
      <c r="AT66" s="236">
        <v>0</v>
      </c>
      <c r="AU66" s="236">
        <v>0</v>
      </c>
      <c r="AV66" s="242">
        <v>1854873.2999999998</v>
      </c>
      <c r="AW66" s="242">
        <v>0</v>
      </c>
      <c r="AX66" s="242">
        <v>57931.98</v>
      </c>
      <c r="AY66" s="236">
        <v>216202.06</v>
      </c>
      <c r="AZ66" s="236">
        <v>0</v>
      </c>
      <c r="BA66" s="242">
        <v>54997.99</v>
      </c>
      <c r="BB66" s="242">
        <v>0</v>
      </c>
      <c r="BC66" s="242">
        <v>52218.19</v>
      </c>
      <c r="BD66" s="242">
        <v>115158.04</v>
      </c>
      <c r="BE66" s="236">
        <v>4509595.43</v>
      </c>
      <c r="BF66" s="242">
        <v>315728.62</v>
      </c>
      <c r="BG66" s="242">
        <v>449514.52</v>
      </c>
      <c r="BH66" s="242">
        <v>296073.86</v>
      </c>
      <c r="BI66" s="242">
        <v>0</v>
      </c>
      <c r="BJ66" s="242">
        <v>316438.65999999997</v>
      </c>
      <c r="BK66" s="242">
        <v>12880914.030000001</v>
      </c>
      <c r="BL66" s="242">
        <v>5048769.0199999996</v>
      </c>
      <c r="BM66" s="242">
        <v>0</v>
      </c>
      <c r="BN66" s="242">
        <v>2737987.6399999997</v>
      </c>
      <c r="BO66" s="242">
        <v>327305.02999999997</v>
      </c>
      <c r="BP66" s="242">
        <v>1936748.9100000001</v>
      </c>
      <c r="BQ66" s="242">
        <v>0</v>
      </c>
      <c r="BR66" s="242">
        <v>3160617.6700000004</v>
      </c>
      <c r="BS66" s="242">
        <v>56313.71</v>
      </c>
      <c r="BT66" s="242">
        <v>115097.37</v>
      </c>
      <c r="BU66" s="242">
        <v>27230.3</v>
      </c>
      <c r="BV66" s="242">
        <v>0</v>
      </c>
      <c r="BW66" s="242">
        <v>573974.92999999993</v>
      </c>
      <c r="BX66" s="242">
        <v>975113.35</v>
      </c>
      <c r="BY66" s="242">
        <v>148981.85</v>
      </c>
      <c r="BZ66" s="242">
        <v>0</v>
      </c>
      <c r="CA66" s="242">
        <v>256762.98</v>
      </c>
      <c r="CB66" s="242">
        <v>116997.3</v>
      </c>
      <c r="CC66" s="242">
        <v>13044322.739999995</v>
      </c>
      <c r="CD66" s="24" t="s">
        <v>248</v>
      </c>
      <c r="CE66" s="25">
        <v>61376334.929999992</v>
      </c>
    </row>
    <row r="67" spans="1:83" x14ac:dyDescent="0.25">
      <c r="A67" s="31" t="s">
        <v>16</v>
      </c>
      <c r="B67" s="16"/>
      <c r="C67" s="25">
        <v>455963</v>
      </c>
      <c r="D67" s="25">
        <v>0</v>
      </c>
      <c r="E67" s="25">
        <v>1218828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196454</v>
      </c>
      <c r="P67" s="25">
        <v>2774961</v>
      </c>
      <c r="Q67" s="25">
        <v>29234</v>
      </c>
      <c r="R67" s="25">
        <v>0</v>
      </c>
      <c r="S67" s="25">
        <v>132481</v>
      </c>
      <c r="T67" s="25">
        <v>13656</v>
      </c>
      <c r="U67" s="25">
        <v>222600</v>
      </c>
      <c r="V67" s="25">
        <v>64471</v>
      </c>
      <c r="W67" s="25">
        <v>0</v>
      </c>
      <c r="X67" s="25">
        <v>26428</v>
      </c>
      <c r="Y67" s="25">
        <v>999191</v>
      </c>
      <c r="Z67" s="25">
        <v>654048</v>
      </c>
      <c r="AA67" s="25">
        <v>24381</v>
      </c>
      <c r="AB67" s="25">
        <v>266802</v>
      </c>
      <c r="AC67" s="25">
        <v>70084</v>
      </c>
      <c r="AD67" s="25">
        <v>22446</v>
      </c>
      <c r="AE67" s="25">
        <v>286933</v>
      </c>
      <c r="AF67" s="25">
        <v>0</v>
      </c>
      <c r="AG67" s="25">
        <v>305808</v>
      </c>
      <c r="AH67" s="25">
        <v>0</v>
      </c>
      <c r="AI67" s="25">
        <v>0</v>
      </c>
      <c r="AJ67" s="25">
        <v>2492595</v>
      </c>
      <c r="AK67" s="25">
        <v>76694</v>
      </c>
      <c r="AL67" s="25">
        <v>16046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18666</v>
      </c>
      <c r="AW67" s="25">
        <v>0</v>
      </c>
      <c r="AX67" s="25">
        <v>0</v>
      </c>
      <c r="AY67" s="25">
        <v>42377</v>
      </c>
      <c r="AZ67" s="25">
        <v>132738</v>
      </c>
      <c r="BA67" s="25">
        <v>50207</v>
      </c>
      <c r="BB67" s="25">
        <v>0</v>
      </c>
      <c r="BC67" s="25">
        <v>0</v>
      </c>
      <c r="BD67" s="25">
        <v>0</v>
      </c>
      <c r="BE67" s="25">
        <v>1833353</v>
      </c>
      <c r="BF67" s="25">
        <v>21714</v>
      </c>
      <c r="BG67" s="25">
        <v>0</v>
      </c>
      <c r="BH67" s="25">
        <v>0</v>
      </c>
      <c r="BI67" s="25">
        <v>11255</v>
      </c>
      <c r="BJ67" s="25">
        <v>0</v>
      </c>
      <c r="BK67" s="25">
        <v>0</v>
      </c>
      <c r="BL67" s="25">
        <v>2787</v>
      </c>
      <c r="BM67" s="25">
        <v>0</v>
      </c>
      <c r="BN67" s="25">
        <v>560893</v>
      </c>
      <c r="BO67" s="25">
        <v>0</v>
      </c>
      <c r="BP67" s="25">
        <v>0</v>
      </c>
      <c r="BQ67" s="25">
        <v>0</v>
      </c>
      <c r="BR67" s="25">
        <v>141644</v>
      </c>
      <c r="BS67" s="25">
        <v>0</v>
      </c>
      <c r="BT67" s="25">
        <v>0</v>
      </c>
      <c r="BU67" s="25">
        <v>0</v>
      </c>
      <c r="BV67" s="25">
        <v>59764</v>
      </c>
      <c r="BW67" s="25">
        <v>0</v>
      </c>
      <c r="BX67" s="25">
        <v>0</v>
      </c>
      <c r="BY67" s="25">
        <v>52617</v>
      </c>
      <c r="BZ67" s="25">
        <v>0</v>
      </c>
      <c r="CA67" s="25">
        <v>0</v>
      </c>
      <c r="CB67" s="25">
        <v>0</v>
      </c>
      <c r="CC67" s="25">
        <v>620952</v>
      </c>
      <c r="CD67" s="24" t="s">
        <v>248</v>
      </c>
      <c r="CE67" s="25">
        <v>13899071</v>
      </c>
    </row>
    <row r="68" spans="1:83" x14ac:dyDescent="0.25">
      <c r="A68" s="31" t="s">
        <v>268</v>
      </c>
      <c r="B68" s="25"/>
      <c r="C68" s="234">
        <v>8147.42</v>
      </c>
      <c r="D68" s="234">
        <v>0</v>
      </c>
      <c r="E68" s="234">
        <v>18700.66</v>
      </c>
      <c r="F68" s="234">
        <v>0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5407.72</v>
      </c>
      <c r="P68" s="236">
        <v>1126630.72</v>
      </c>
      <c r="Q68" s="236">
        <v>1087.08</v>
      </c>
      <c r="R68" s="236">
        <v>0</v>
      </c>
      <c r="S68" s="242">
        <v>15066.39</v>
      </c>
      <c r="T68" s="242">
        <v>0</v>
      </c>
      <c r="U68" s="237">
        <v>121651.43000000001</v>
      </c>
      <c r="V68" s="236">
        <v>63348.639999999999</v>
      </c>
      <c r="W68" s="236">
        <v>280.32</v>
      </c>
      <c r="X68" s="236">
        <v>327.26</v>
      </c>
      <c r="Y68" s="236">
        <v>259891.36</v>
      </c>
      <c r="Z68" s="236">
        <v>2904.18</v>
      </c>
      <c r="AA68" s="236">
        <v>735.88</v>
      </c>
      <c r="AB68" s="243">
        <v>68284.37</v>
      </c>
      <c r="AC68" s="236">
        <v>3091.4</v>
      </c>
      <c r="AD68" s="236">
        <v>0</v>
      </c>
      <c r="AE68" s="236">
        <v>162144.36000000002</v>
      </c>
      <c r="AF68" s="236">
        <v>0</v>
      </c>
      <c r="AG68" s="236">
        <v>61090.66</v>
      </c>
      <c r="AH68" s="236">
        <v>0</v>
      </c>
      <c r="AI68" s="236">
        <v>0</v>
      </c>
      <c r="AJ68" s="236">
        <v>5398108.6999999983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0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76228.02</v>
      </c>
      <c r="AW68" s="242">
        <v>0</v>
      </c>
      <c r="AX68" s="242">
        <v>0</v>
      </c>
      <c r="AY68" s="236">
        <v>6088.23</v>
      </c>
      <c r="AZ68" s="236">
        <v>0</v>
      </c>
      <c r="BA68" s="242">
        <v>0</v>
      </c>
      <c r="BB68" s="242">
        <v>0</v>
      </c>
      <c r="BC68" s="242">
        <v>0</v>
      </c>
      <c r="BD68" s="242">
        <v>283870.88</v>
      </c>
      <c r="BE68" s="236">
        <v>17949.54</v>
      </c>
      <c r="BF68" s="242">
        <v>1306.08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7439.96</v>
      </c>
      <c r="BM68" s="242">
        <v>0</v>
      </c>
      <c r="BN68" s="242">
        <v>219742.26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12519.01</v>
      </c>
      <c r="BZ68" s="242">
        <v>0</v>
      </c>
      <c r="CA68" s="242">
        <v>0</v>
      </c>
      <c r="CB68" s="242">
        <v>0</v>
      </c>
      <c r="CC68" s="242">
        <v>445822.66999999981</v>
      </c>
      <c r="CD68" s="24" t="s">
        <v>248</v>
      </c>
      <c r="CE68" s="25">
        <v>8387865.1999999974</v>
      </c>
    </row>
    <row r="69" spans="1:83" x14ac:dyDescent="0.25">
      <c r="A69" s="31" t="s">
        <v>269</v>
      </c>
      <c r="B69" s="16"/>
      <c r="C69" s="25">
        <v>324787.45999999996</v>
      </c>
      <c r="D69" s="25">
        <v>0</v>
      </c>
      <c r="E69" s="25">
        <v>2342196.12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865395.04</v>
      </c>
      <c r="P69" s="25">
        <v>2538577.5999999996</v>
      </c>
      <c r="Q69" s="25">
        <v>606505.93000000005</v>
      </c>
      <c r="R69" s="25">
        <v>0</v>
      </c>
      <c r="S69" s="25">
        <v>3966.76</v>
      </c>
      <c r="T69" s="25">
        <v>1022</v>
      </c>
      <c r="U69" s="25">
        <v>1382864.5799999998</v>
      </c>
      <c r="V69" s="25">
        <v>29508.92</v>
      </c>
      <c r="W69" s="25">
        <v>71451.59</v>
      </c>
      <c r="X69" s="25">
        <v>472197.48000000004</v>
      </c>
      <c r="Y69" s="25">
        <v>221999.77999999997</v>
      </c>
      <c r="Z69" s="25">
        <v>307464.01999999996</v>
      </c>
      <c r="AA69" s="25">
        <v>40</v>
      </c>
      <c r="AB69" s="25">
        <v>1847901.43</v>
      </c>
      <c r="AC69" s="25">
        <v>-4083.3500000000013</v>
      </c>
      <c r="AD69" s="25">
        <v>0</v>
      </c>
      <c r="AE69" s="25">
        <v>9183.2199999999993</v>
      </c>
      <c r="AF69" s="25">
        <v>0</v>
      </c>
      <c r="AG69" s="25">
        <v>407026.76</v>
      </c>
      <c r="AH69" s="25">
        <v>0</v>
      </c>
      <c r="AI69" s="25">
        <v>0</v>
      </c>
      <c r="AJ69" s="25">
        <v>4749230.0800000001</v>
      </c>
      <c r="AK69" s="25">
        <v>0</v>
      </c>
      <c r="AL69" s="25">
        <v>-7659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80101.760000000009</v>
      </c>
      <c r="AW69" s="25">
        <v>0</v>
      </c>
      <c r="AX69" s="25">
        <v>0</v>
      </c>
      <c r="AY69" s="25">
        <v>56303.049999999996</v>
      </c>
      <c r="AZ69" s="25">
        <v>0</v>
      </c>
      <c r="BA69" s="25">
        <v>0</v>
      </c>
      <c r="BB69" s="25">
        <v>0</v>
      </c>
      <c r="BC69" s="25">
        <v>76.42</v>
      </c>
      <c r="BD69" s="25">
        <v>0</v>
      </c>
      <c r="BE69" s="25">
        <v>933905.17</v>
      </c>
      <c r="BF69" s="25">
        <v>498340.34</v>
      </c>
      <c r="BG69" s="25">
        <v>0</v>
      </c>
      <c r="BH69" s="25">
        <v>0</v>
      </c>
      <c r="BI69" s="25">
        <v>1461.84</v>
      </c>
      <c r="BJ69" s="25">
        <v>0</v>
      </c>
      <c r="BK69" s="25">
        <v>103092</v>
      </c>
      <c r="BL69" s="25">
        <v>127.75</v>
      </c>
      <c r="BM69" s="25">
        <v>0</v>
      </c>
      <c r="BN69" s="25">
        <v>213810.87</v>
      </c>
      <c r="BO69" s="25">
        <v>0</v>
      </c>
      <c r="BP69" s="25">
        <v>0</v>
      </c>
      <c r="BQ69" s="25">
        <v>0</v>
      </c>
      <c r="BR69" s="25">
        <v>574330.26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-22835.1</v>
      </c>
      <c r="BZ69" s="25">
        <v>0</v>
      </c>
      <c r="CA69" s="25">
        <v>63</v>
      </c>
      <c r="CB69" s="25">
        <v>0</v>
      </c>
      <c r="CC69" s="25">
        <v>11360.02</v>
      </c>
      <c r="CD69" s="25">
        <v>15481730.689999999</v>
      </c>
      <c r="CE69" s="25">
        <v>34101444.489999995</v>
      </c>
    </row>
    <row r="70" spans="1:83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521004.5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521004.5</v>
      </c>
    </row>
    <row r="71" spans="1:83" x14ac:dyDescent="0.25">
      <c r="A71" s="26" t="s">
        <v>271</v>
      </c>
      <c r="B71" s="27"/>
      <c r="C71" s="244">
        <v>294287.34000000003</v>
      </c>
      <c r="D71" s="244">
        <v>0</v>
      </c>
      <c r="E71" s="244">
        <v>2040377.0499999998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743419.19</v>
      </c>
      <c r="P71" s="244">
        <v>1851844.0899999999</v>
      </c>
      <c r="Q71" s="244">
        <v>598126.05000000005</v>
      </c>
      <c r="R71" s="244">
        <v>0</v>
      </c>
      <c r="S71" s="244">
        <v>0</v>
      </c>
      <c r="T71" s="244">
        <v>0</v>
      </c>
      <c r="U71" s="244">
        <v>0</v>
      </c>
      <c r="V71" s="244">
        <v>26402.36</v>
      </c>
      <c r="W71" s="244">
        <v>52940.25</v>
      </c>
      <c r="X71" s="244">
        <v>472197.48000000004</v>
      </c>
      <c r="Y71" s="244">
        <v>176721.96</v>
      </c>
      <c r="Z71" s="244">
        <v>-556.88</v>
      </c>
      <c r="AA71" s="244">
        <v>0</v>
      </c>
      <c r="AB71" s="244">
        <v>0</v>
      </c>
      <c r="AC71" s="244">
        <v>-23877.25</v>
      </c>
      <c r="AD71" s="244">
        <v>0</v>
      </c>
      <c r="AE71" s="244">
        <v>0</v>
      </c>
      <c r="AF71" s="244">
        <v>0</v>
      </c>
      <c r="AG71" s="244">
        <v>190993.56</v>
      </c>
      <c r="AH71" s="244">
        <v>0</v>
      </c>
      <c r="AI71" s="244">
        <v>0</v>
      </c>
      <c r="AJ71" s="244">
        <v>636443.27</v>
      </c>
      <c r="AK71" s="244">
        <v>0</v>
      </c>
      <c r="AL71" s="244">
        <v>-7659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1252.220000000003</v>
      </c>
      <c r="AW71" s="244">
        <v>0</v>
      </c>
      <c r="AX71" s="244">
        <v>0</v>
      </c>
      <c r="AY71" s="244">
        <v>29960.32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497391.5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71500</v>
      </c>
      <c r="CE71" s="25">
        <v>7651763.5100000007</v>
      </c>
    </row>
    <row r="72" spans="1:83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v>0</v>
      </c>
    </row>
    <row r="73" spans="1:83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748680.62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568.91999999999996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1387842.48</v>
      </c>
      <c r="CE73" s="25">
        <v>2137092.02</v>
      </c>
    </row>
    <row r="74" spans="1:83" x14ac:dyDescent="0.25">
      <c r="A74" s="26" t="s">
        <v>274</v>
      </c>
      <c r="B74" s="27"/>
      <c r="C74" s="244">
        <v>0</v>
      </c>
      <c r="D74" s="244">
        <v>0</v>
      </c>
      <c r="E74" s="244">
        <v>231379.22999999998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73096.3</v>
      </c>
      <c r="P74" s="244">
        <v>215532.27</v>
      </c>
      <c r="Q74" s="244">
        <v>3936.04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18511.34</v>
      </c>
      <c r="X74" s="244">
        <v>0</v>
      </c>
      <c r="Y74" s="244">
        <v>35695.199999999997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8194.4699999999993</v>
      </c>
      <c r="AF74" s="244">
        <v>0</v>
      </c>
      <c r="AG74" s="244">
        <v>142303.47</v>
      </c>
      <c r="AH74" s="244">
        <v>0</v>
      </c>
      <c r="AI74" s="244">
        <v>0</v>
      </c>
      <c r="AJ74" s="244">
        <v>130874.55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2004.03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v>861526.89999999991</v>
      </c>
    </row>
    <row r="75" spans="1:83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47533.21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303758.64</v>
      </c>
      <c r="CE75" s="25">
        <v>351291.85000000003</v>
      </c>
    </row>
    <row r="76" spans="1:83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812669.4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4071.01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816740.41</v>
      </c>
    </row>
    <row r="77" spans="1:83" x14ac:dyDescent="0.25">
      <c r="A77" s="26" t="s">
        <v>277</v>
      </c>
      <c r="B77" s="27"/>
      <c r="C77" s="244">
        <v>1011.3599999999997</v>
      </c>
      <c r="D77" s="244">
        <v>0</v>
      </c>
      <c r="E77" s="244">
        <v>3675.1899999999996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11351.3</v>
      </c>
      <c r="P77" s="244">
        <v>391035.67000000004</v>
      </c>
      <c r="Q77" s="244">
        <v>20.6</v>
      </c>
      <c r="R77" s="244">
        <v>0</v>
      </c>
      <c r="S77" s="244">
        <v>548.4</v>
      </c>
      <c r="T77" s="244">
        <v>0</v>
      </c>
      <c r="U77" s="244">
        <v>621.90000000000009</v>
      </c>
      <c r="V77" s="244">
        <v>60.7</v>
      </c>
      <c r="W77" s="244">
        <v>0</v>
      </c>
      <c r="X77" s="244">
        <v>0</v>
      </c>
      <c r="Y77" s="244">
        <v>4356.3100000000004</v>
      </c>
      <c r="Z77" s="244">
        <v>306606.49</v>
      </c>
      <c r="AA77" s="244">
        <v>0</v>
      </c>
      <c r="AB77" s="244">
        <v>37984.080000000002</v>
      </c>
      <c r="AC77" s="244">
        <v>5244.55</v>
      </c>
      <c r="AD77" s="244">
        <v>0</v>
      </c>
      <c r="AE77" s="244">
        <v>289.08999999999997</v>
      </c>
      <c r="AF77" s="244">
        <v>0</v>
      </c>
      <c r="AG77" s="244">
        <v>31698.77</v>
      </c>
      <c r="AH77" s="244">
        <v>0</v>
      </c>
      <c r="AI77" s="244">
        <v>0</v>
      </c>
      <c r="AJ77" s="244">
        <v>83348.97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14372.7</v>
      </c>
      <c r="AW77" s="244">
        <v>0</v>
      </c>
      <c r="AX77" s="244">
        <v>0</v>
      </c>
      <c r="AY77" s="244">
        <v>15245.880000000001</v>
      </c>
      <c r="AZ77" s="244">
        <v>0</v>
      </c>
      <c r="BA77" s="244">
        <v>0</v>
      </c>
      <c r="BB77" s="244">
        <v>0</v>
      </c>
      <c r="BC77" s="244">
        <v>36.42</v>
      </c>
      <c r="BD77" s="244">
        <v>0</v>
      </c>
      <c r="BE77" s="244">
        <v>911556.38</v>
      </c>
      <c r="BF77" s="244">
        <v>948.84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23949.93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-10300</v>
      </c>
      <c r="CE77" s="25">
        <v>1833663.53</v>
      </c>
    </row>
    <row r="78" spans="1:83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1233820.56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5576246.3099999996</v>
      </c>
      <c r="CE78" s="25">
        <v>6810066.8699999992</v>
      </c>
    </row>
    <row r="79" spans="1:83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280.83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6918.88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v>7199.71</v>
      </c>
    </row>
    <row r="80" spans="1:83" x14ac:dyDescent="0.25">
      <c r="A80" s="26" t="s">
        <v>280</v>
      </c>
      <c r="B80" s="16"/>
      <c r="C80" s="244">
        <v>10490.47</v>
      </c>
      <c r="D80" s="244">
        <v>0</v>
      </c>
      <c r="E80" s="244">
        <v>10871.970000000001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6680.8</v>
      </c>
      <c r="P80" s="244">
        <v>7021.76</v>
      </c>
      <c r="Q80" s="244">
        <v>3895</v>
      </c>
      <c r="R80" s="244">
        <v>0</v>
      </c>
      <c r="S80" s="244">
        <v>0</v>
      </c>
      <c r="T80" s="244">
        <v>595</v>
      </c>
      <c r="U80" s="244">
        <v>0</v>
      </c>
      <c r="V80" s="244">
        <v>238.46</v>
      </c>
      <c r="W80" s="244">
        <v>0</v>
      </c>
      <c r="X80" s="244">
        <v>0</v>
      </c>
      <c r="Y80" s="244">
        <v>1718.18</v>
      </c>
      <c r="Z80" s="244">
        <v>330</v>
      </c>
      <c r="AA80" s="244">
        <v>0</v>
      </c>
      <c r="AB80" s="244">
        <v>4197</v>
      </c>
      <c r="AC80" s="244">
        <v>6828.46</v>
      </c>
      <c r="AD80" s="244">
        <v>0</v>
      </c>
      <c r="AE80" s="244">
        <v>595</v>
      </c>
      <c r="AF80" s="244">
        <v>0</v>
      </c>
      <c r="AG80" s="244">
        <v>29652.989999999998</v>
      </c>
      <c r="AH80" s="244">
        <v>0</v>
      </c>
      <c r="AI80" s="244">
        <v>0</v>
      </c>
      <c r="AJ80" s="244">
        <v>104223.68000000001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15309.349999999999</v>
      </c>
      <c r="AW80" s="244">
        <v>0</v>
      </c>
      <c r="AX80" s="244">
        <v>0</v>
      </c>
      <c r="AY80" s="244">
        <v>750</v>
      </c>
      <c r="AZ80" s="244">
        <v>0</v>
      </c>
      <c r="BA80" s="244">
        <v>0</v>
      </c>
      <c r="BB80" s="244">
        <v>0</v>
      </c>
      <c r="BC80" s="244">
        <v>40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729.85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6450</v>
      </c>
      <c r="BZ80" s="244">
        <v>0</v>
      </c>
      <c r="CA80" s="244">
        <v>63</v>
      </c>
      <c r="CB80" s="244">
        <v>0</v>
      </c>
      <c r="CC80" s="244">
        <v>0</v>
      </c>
      <c r="CD80" s="244">
        <v>0</v>
      </c>
      <c r="CE80" s="25">
        <v>210680.97000000003</v>
      </c>
    </row>
    <row r="81" spans="1:84" x14ac:dyDescent="0.2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206.42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543940.05999999994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16994.36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8084711.6500000004</v>
      </c>
      <c r="CE81" s="25">
        <v>8645852.4900000002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25">
      <c r="A83" s="26" t="s">
        <v>283</v>
      </c>
      <c r="B83" s="16"/>
      <c r="C83" s="234">
        <v>18998.29</v>
      </c>
      <c r="D83" s="234">
        <v>0</v>
      </c>
      <c r="E83" s="236">
        <v>55892.679999999993</v>
      </c>
      <c r="F83" s="236">
        <v>0</v>
      </c>
      <c r="G83" s="234">
        <v>0</v>
      </c>
      <c r="H83" s="234">
        <v>0</v>
      </c>
      <c r="I83" s="236">
        <v>0</v>
      </c>
      <c r="J83" s="236">
        <v>0</v>
      </c>
      <c r="K83" s="236">
        <v>0</v>
      </c>
      <c r="L83" s="236">
        <v>0</v>
      </c>
      <c r="M83" s="234">
        <v>0</v>
      </c>
      <c r="N83" s="234">
        <v>0</v>
      </c>
      <c r="O83" s="234">
        <v>30847.449999999997</v>
      </c>
      <c r="P83" s="236">
        <v>73143.809999999983</v>
      </c>
      <c r="Q83" s="236">
        <v>528.24</v>
      </c>
      <c r="R83" s="237">
        <v>0</v>
      </c>
      <c r="S83" s="236">
        <v>3418.36</v>
      </c>
      <c r="T83" s="234">
        <v>427</v>
      </c>
      <c r="U83" s="236">
        <v>48362.36</v>
      </c>
      <c r="V83" s="236">
        <v>2807.3999999999996</v>
      </c>
      <c r="W83" s="234">
        <v>0</v>
      </c>
      <c r="X83" s="236">
        <v>0</v>
      </c>
      <c r="Y83" s="236">
        <v>3508.1299999999997</v>
      </c>
      <c r="Z83" s="236">
        <v>1084.4100000000001</v>
      </c>
      <c r="AA83" s="236">
        <v>40</v>
      </c>
      <c r="AB83" s="236">
        <v>1805720.3499999999</v>
      </c>
      <c r="AC83" s="236">
        <v>7720.89</v>
      </c>
      <c r="AD83" s="236">
        <v>0</v>
      </c>
      <c r="AE83" s="236">
        <v>104.66</v>
      </c>
      <c r="AF83" s="236">
        <v>0</v>
      </c>
      <c r="AG83" s="236">
        <v>12377.97</v>
      </c>
      <c r="AH83" s="236">
        <v>0</v>
      </c>
      <c r="AI83" s="236">
        <v>0</v>
      </c>
      <c r="AJ83" s="236">
        <v>1216013.3199999998</v>
      </c>
      <c r="AK83" s="236">
        <v>0</v>
      </c>
      <c r="AL83" s="236">
        <v>0</v>
      </c>
      <c r="AM83" s="236">
        <v>0</v>
      </c>
      <c r="AN83" s="236">
        <v>0</v>
      </c>
      <c r="AO83" s="234">
        <v>0</v>
      </c>
      <c r="AP83" s="236">
        <v>0</v>
      </c>
      <c r="AQ83" s="234">
        <v>0</v>
      </c>
      <c r="AR83" s="234">
        <v>0</v>
      </c>
      <c r="AS83" s="234">
        <v>0</v>
      </c>
      <c r="AT83" s="234">
        <v>0</v>
      </c>
      <c r="AU83" s="236">
        <v>0</v>
      </c>
      <c r="AV83" s="236">
        <v>49167.49</v>
      </c>
      <c r="AW83" s="236">
        <v>0</v>
      </c>
      <c r="AX83" s="236">
        <v>0</v>
      </c>
      <c r="AY83" s="236">
        <v>8342.82</v>
      </c>
      <c r="AZ83" s="236">
        <v>0</v>
      </c>
      <c r="BA83" s="236">
        <v>0</v>
      </c>
      <c r="BB83" s="236">
        <v>0</v>
      </c>
      <c r="BC83" s="236">
        <v>0</v>
      </c>
      <c r="BD83" s="236">
        <v>0</v>
      </c>
      <c r="BE83" s="236">
        <v>4785.51</v>
      </c>
      <c r="BF83" s="236">
        <v>0</v>
      </c>
      <c r="BG83" s="236">
        <v>0</v>
      </c>
      <c r="BH83" s="237">
        <v>0</v>
      </c>
      <c r="BI83" s="236">
        <v>1461.84</v>
      </c>
      <c r="BJ83" s="236">
        <v>0</v>
      </c>
      <c r="BK83" s="236">
        <v>103092</v>
      </c>
      <c r="BL83" s="236">
        <v>127.75</v>
      </c>
      <c r="BM83" s="236">
        <v>0</v>
      </c>
      <c r="BN83" s="236">
        <v>182212.21</v>
      </c>
      <c r="BO83" s="236">
        <v>0</v>
      </c>
      <c r="BP83" s="236">
        <v>0</v>
      </c>
      <c r="BQ83" s="236">
        <v>0</v>
      </c>
      <c r="BR83" s="236">
        <v>574330.26</v>
      </c>
      <c r="BS83" s="236">
        <v>0</v>
      </c>
      <c r="BT83" s="236">
        <v>0</v>
      </c>
      <c r="BU83" s="236">
        <v>0</v>
      </c>
      <c r="BV83" s="236">
        <v>0</v>
      </c>
      <c r="BW83" s="236">
        <v>0</v>
      </c>
      <c r="BX83" s="236">
        <v>0</v>
      </c>
      <c r="BY83" s="236">
        <v>-29285.1</v>
      </c>
      <c r="BZ83" s="236">
        <v>0</v>
      </c>
      <c r="CA83" s="236">
        <v>0</v>
      </c>
      <c r="CB83" s="236">
        <v>0</v>
      </c>
      <c r="CC83" s="236">
        <v>11360.02</v>
      </c>
      <c r="CD83" s="244">
        <v>67971.61</v>
      </c>
      <c r="CE83" s="25">
        <v>4254561.7299999995</v>
      </c>
    </row>
    <row r="84" spans="1:84" x14ac:dyDescent="0.25">
      <c r="A84" s="31" t="s">
        <v>284</v>
      </c>
      <c r="B84" s="16"/>
      <c r="C84" s="234">
        <v>0</v>
      </c>
      <c r="D84" s="234">
        <v>0</v>
      </c>
      <c r="E84" s="234">
        <v>19500</v>
      </c>
      <c r="F84" s="234">
        <v>0</v>
      </c>
      <c r="G84" s="234">
        <v>0</v>
      </c>
      <c r="H84" s="234">
        <v>0</v>
      </c>
      <c r="I84" s="234">
        <v>0</v>
      </c>
      <c r="J84" s="234">
        <v>0</v>
      </c>
      <c r="K84" s="234">
        <v>0</v>
      </c>
      <c r="L84" s="234">
        <v>0</v>
      </c>
      <c r="M84" s="234">
        <v>0</v>
      </c>
      <c r="N84" s="234">
        <v>0</v>
      </c>
      <c r="O84" s="234">
        <v>3360</v>
      </c>
      <c r="P84" s="234">
        <v>0</v>
      </c>
      <c r="Q84" s="234">
        <v>0</v>
      </c>
      <c r="R84" s="234">
        <v>0</v>
      </c>
      <c r="S84" s="234">
        <v>0</v>
      </c>
      <c r="T84" s="234">
        <v>0</v>
      </c>
      <c r="U84" s="234">
        <v>-195.60000000000582</v>
      </c>
      <c r="V84" s="234">
        <v>0</v>
      </c>
      <c r="W84" s="234">
        <v>0</v>
      </c>
      <c r="X84" s="234">
        <v>0</v>
      </c>
      <c r="Y84" s="234">
        <v>4780.1000000000004</v>
      </c>
      <c r="Z84" s="234">
        <v>0</v>
      </c>
      <c r="AA84" s="234">
        <v>0</v>
      </c>
      <c r="AB84" s="234">
        <v>3018114.9</v>
      </c>
      <c r="AC84" s="234">
        <v>0</v>
      </c>
      <c r="AD84" s="234">
        <v>0</v>
      </c>
      <c r="AE84" s="234">
        <v>1600</v>
      </c>
      <c r="AF84" s="234">
        <v>0</v>
      </c>
      <c r="AG84" s="234">
        <v>15000</v>
      </c>
      <c r="AH84" s="234">
        <v>0</v>
      </c>
      <c r="AI84" s="234">
        <v>0</v>
      </c>
      <c r="AJ84" s="234">
        <v>1284593</v>
      </c>
      <c r="AK84" s="234">
        <v>0</v>
      </c>
      <c r="AL84" s="234">
        <v>0</v>
      </c>
      <c r="AM84" s="234">
        <v>0</v>
      </c>
      <c r="AN84" s="234">
        <v>0</v>
      </c>
      <c r="AO84" s="234">
        <v>0</v>
      </c>
      <c r="AP84" s="234">
        <v>0</v>
      </c>
      <c r="AQ84" s="234">
        <v>0</v>
      </c>
      <c r="AR84" s="234">
        <v>0</v>
      </c>
      <c r="AS84" s="234">
        <v>0</v>
      </c>
      <c r="AT84" s="234">
        <v>0</v>
      </c>
      <c r="AU84" s="234">
        <v>0</v>
      </c>
      <c r="AV84" s="234">
        <v>2109561.15</v>
      </c>
      <c r="AW84" s="234">
        <v>0</v>
      </c>
      <c r="AX84" s="234">
        <v>0</v>
      </c>
      <c r="AY84" s="234">
        <v>948703.21</v>
      </c>
      <c r="AZ84" s="234">
        <v>0</v>
      </c>
      <c r="BA84" s="234">
        <v>0</v>
      </c>
      <c r="BB84" s="234">
        <v>0</v>
      </c>
      <c r="BC84" s="234">
        <v>0</v>
      </c>
      <c r="BD84" s="234">
        <v>0</v>
      </c>
      <c r="BE84" s="234">
        <v>19967.280000000002</v>
      </c>
      <c r="BF84" s="234">
        <v>0</v>
      </c>
      <c r="BG84" s="234">
        <v>0</v>
      </c>
      <c r="BH84" s="234">
        <v>0</v>
      </c>
      <c r="BI84" s="234">
        <v>52662.02</v>
      </c>
      <c r="BJ84" s="234">
        <v>0</v>
      </c>
      <c r="BK84" s="234">
        <v>0</v>
      </c>
      <c r="BL84" s="234">
        <v>0</v>
      </c>
      <c r="BM84" s="234">
        <v>0</v>
      </c>
      <c r="BN84" s="234">
        <v>19965.86</v>
      </c>
      <c r="BO84" s="234">
        <v>0</v>
      </c>
      <c r="BP84" s="234">
        <v>0</v>
      </c>
      <c r="BQ84" s="234">
        <v>0</v>
      </c>
      <c r="BR84" s="234">
        <v>0</v>
      </c>
      <c r="BS84" s="234">
        <v>0</v>
      </c>
      <c r="BT84" s="234">
        <v>0</v>
      </c>
      <c r="BU84" s="234">
        <v>0</v>
      </c>
      <c r="BV84" s="234">
        <v>0</v>
      </c>
      <c r="BW84" s="234">
        <v>0</v>
      </c>
      <c r="BX84" s="234">
        <v>0</v>
      </c>
      <c r="BY84" s="234">
        <v>0</v>
      </c>
      <c r="BZ84" s="234">
        <v>0</v>
      </c>
      <c r="CA84" s="234">
        <v>0</v>
      </c>
      <c r="CB84" s="234">
        <v>0</v>
      </c>
      <c r="CC84" s="234">
        <v>0</v>
      </c>
      <c r="CD84" s="244">
        <v>8655441.0099999998</v>
      </c>
      <c r="CE84" s="25">
        <v>16153052.93</v>
      </c>
    </row>
    <row r="85" spans="1:84" x14ac:dyDescent="0.25">
      <c r="A85" s="31" t="s">
        <v>285</v>
      </c>
      <c r="B85" s="25"/>
      <c r="C85" s="25">
        <v>12485902.199999999</v>
      </c>
      <c r="D85" s="25">
        <v>0</v>
      </c>
      <c r="E85" s="25">
        <v>39130406.719999991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11046187.960000001</v>
      </c>
      <c r="P85" s="25">
        <v>46023225.910000019</v>
      </c>
      <c r="Q85" s="25">
        <v>5225407.7099999981</v>
      </c>
      <c r="R85" s="25">
        <v>0</v>
      </c>
      <c r="S85" s="25">
        <v>900347.72000000009</v>
      </c>
      <c r="T85" s="25">
        <v>1675490.24</v>
      </c>
      <c r="U85" s="25">
        <v>7424492.0199999996</v>
      </c>
      <c r="V85" s="25">
        <v>1220726.6099999999</v>
      </c>
      <c r="W85" s="25">
        <v>830380.49</v>
      </c>
      <c r="X85" s="25">
        <v>1857436.1899999997</v>
      </c>
      <c r="Y85" s="25">
        <v>6972436.7100000009</v>
      </c>
      <c r="Z85" s="25">
        <v>3289960.45</v>
      </c>
      <c r="AA85" s="25">
        <v>1115651.5299999998</v>
      </c>
      <c r="AB85" s="25">
        <v>9813576.9399999976</v>
      </c>
      <c r="AC85" s="25">
        <v>2330178.52</v>
      </c>
      <c r="AD85" s="25">
        <v>874163.35</v>
      </c>
      <c r="AE85" s="25">
        <v>3168311.9700000007</v>
      </c>
      <c r="AF85" s="25">
        <v>0</v>
      </c>
      <c r="AG85" s="25">
        <v>12776941.780000003</v>
      </c>
      <c r="AH85" s="25">
        <v>0</v>
      </c>
      <c r="AI85" s="25">
        <v>0</v>
      </c>
      <c r="AJ85" s="25">
        <v>80590030.080000013</v>
      </c>
      <c r="AK85" s="25">
        <v>502781.85000000003</v>
      </c>
      <c r="AL85" s="25">
        <v>144094.31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2374549.6099999989</v>
      </c>
      <c r="AW85" s="25">
        <v>0</v>
      </c>
      <c r="AX85" s="25">
        <v>57931.98</v>
      </c>
      <c r="AY85" s="25">
        <v>3439916.6799999997</v>
      </c>
      <c r="AZ85" s="25">
        <v>132738</v>
      </c>
      <c r="BA85" s="25">
        <v>187186.94999999998</v>
      </c>
      <c r="BB85" s="25">
        <v>0</v>
      </c>
      <c r="BC85" s="25">
        <v>456866.34999999992</v>
      </c>
      <c r="BD85" s="25">
        <v>402564.28</v>
      </c>
      <c r="BE85" s="25">
        <v>9424561.7799999993</v>
      </c>
      <c r="BF85" s="25">
        <v>3027281.43</v>
      </c>
      <c r="BG85" s="25">
        <v>449514.52</v>
      </c>
      <c r="BH85" s="25">
        <v>296073.86</v>
      </c>
      <c r="BI85" s="25">
        <v>-10448.810000000005</v>
      </c>
      <c r="BJ85" s="25">
        <v>316438.65999999997</v>
      </c>
      <c r="BK85" s="25">
        <v>12984006.030000001</v>
      </c>
      <c r="BL85" s="25">
        <v>5192804.72</v>
      </c>
      <c r="BM85" s="25">
        <v>0</v>
      </c>
      <c r="BN85" s="25">
        <v>4520021.5799999991</v>
      </c>
      <c r="BO85" s="25">
        <v>327305.02999999997</v>
      </c>
      <c r="BP85" s="25">
        <v>1936748.9100000001</v>
      </c>
      <c r="BQ85" s="25">
        <v>0</v>
      </c>
      <c r="BR85" s="25">
        <v>3876591.9300000006</v>
      </c>
      <c r="BS85" s="25">
        <v>56313.71</v>
      </c>
      <c r="BT85" s="25">
        <v>115097.37</v>
      </c>
      <c r="BU85" s="25">
        <v>27230.3</v>
      </c>
      <c r="BV85" s="25">
        <v>59764</v>
      </c>
      <c r="BW85" s="25">
        <v>573974.92999999993</v>
      </c>
      <c r="BX85" s="25">
        <v>2242235.5699999998</v>
      </c>
      <c r="BY85" s="25">
        <v>3636495.5500000003</v>
      </c>
      <c r="BZ85" s="25">
        <v>207708.61</v>
      </c>
      <c r="CA85" s="25">
        <v>1125072.06</v>
      </c>
      <c r="CB85" s="25">
        <v>116997.3</v>
      </c>
      <c r="CC85" s="25">
        <v>19771331.75999999</v>
      </c>
      <c r="CD85" s="25">
        <v>6826289.6799999997</v>
      </c>
      <c r="CE85" s="25">
        <v>333549295.58999997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25">
      <c r="A87" s="21" t="s">
        <v>287</v>
      </c>
      <c r="B87" s="16"/>
      <c r="C87" s="234">
        <v>37668020.350000001</v>
      </c>
      <c r="D87" s="234">
        <v>0</v>
      </c>
      <c r="E87" s="234">
        <v>142382211.15000007</v>
      </c>
      <c r="F87" s="234">
        <v>0</v>
      </c>
      <c r="G87" s="234">
        <v>0</v>
      </c>
      <c r="H87" s="234">
        <v>0</v>
      </c>
      <c r="I87" s="234">
        <v>0</v>
      </c>
      <c r="J87" s="234">
        <v>0</v>
      </c>
      <c r="K87" s="234">
        <v>0</v>
      </c>
      <c r="L87" s="234">
        <v>0</v>
      </c>
      <c r="M87" s="234">
        <v>0</v>
      </c>
      <c r="N87" s="234">
        <v>0</v>
      </c>
      <c r="O87" s="234">
        <v>56471613.939999998</v>
      </c>
      <c r="P87" s="234">
        <v>157605250.78</v>
      </c>
      <c r="Q87" s="234">
        <v>8578776.3200000003</v>
      </c>
      <c r="R87" s="234">
        <v>0</v>
      </c>
      <c r="S87" s="234">
        <v>0</v>
      </c>
      <c r="T87" s="234">
        <v>6869910.2499999991</v>
      </c>
      <c r="U87" s="234">
        <v>48215148.800000004</v>
      </c>
      <c r="V87" s="234">
        <v>12782642.9</v>
      </c>
      <c r="W87" s="234">
        <v>6278958.25</v>
      </c>
      <c r="X87" s="234">
        <v>45247509.560000002</v>
      </c>
      <c r="Y87" s="234">
        <v>13353747.370000001</v>
      </c>
      <c r="Z87" s="234">
        <v>320094.06</v>
      </c>
      <c r="AA87" s="234">
        <v>1315879.2500000002</v>
      </c>
      <c r="AB87" s="234">
        <v>96447392.159999982</v>
      </c>
      <c r="AC87" s="234">
        <v>29045190.889999997</v>
      </c>
      <c r="AD87" s="234">
        <v>3711468.6999999997</v>
      </c>
      <c r="AE87" s="234">
        <v>4030706.8</v>
      </c>
      <c r="AF87" s="234">
        <v>0</v>
      </c>
      <c r="AG87" s="234">
        <v>44412191</v>
      </c>
      <c r="AH87" s="234">
        <v>0</v>
      </c>
      <c r="AI87" s="234">
        <v>0</v>
      </c>
      <c r="AJ87" s="234">
        <v>229576.59000000003</v>
      </c>
      <c r="AK87" s="234">
        <v>1725520.48</v>
      </c>
      <c r="AL87" s="234">
        <v>1116763.43</v>
      </c>
      <c r="AM87" s="234">
        <v>0</v>
      </c>
      <c r="AN87" s="234">
        <v>0</v>
      </c>
      <c r="AO87" s="234">
        <v>0</v>
      </c>
      <c r="AP87" s="234">
        <v>0</v>
      </c>
      <c r="AQ87" s="234">
        <v>0</v>
      </c>
      <c r="AR87" s="234">
        <v>0</v>
      </c>
      <c r="AS87" s="234">
        <v>0</v>
      </c>
      <c r="AT87" s="234">
        <v>0</v>
      </c>
      <c r="AU87" s="234">
        <v>0</v>
      </c>
      <c r="AV87" s="234">
        <v>579292.92999999993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718387865.95999992</v>
      </c>
    </row>
    <row r="88" spans="1:84" x14ac:dyDescent="0.25">
      <c r="A88" s="21" t="s">
        <v>288</v>
      </c>
      <c r="B88" s="16"/>
      <c r="C88" s="234">
        <v>121250.39</v>
      </c>
      <c r="D88" s="234">
        <v>0</v>
      </c>
      <c r="E88" s="234">
        <v>17259245.609999999</v>
      </c>
      <c r="F88" s="234">
        <v>0</v>
      </c>
      <c r="G88" s="234">
        <v>0</v>
      </c>
      <c r="H88" s="234">
        <v>0</v>
      </c>
      <c r="I88" s="234">
        <v>0</v>
      </c>
      <c r="J88" s="234">
        <v>0</v>
      </c>
      <c r="K88" s="234">
        <v>0</v>
      </c>
      <c r="L88" s="234">
        <v>0</v>
      </c>
      <c r="M88" s="234">
        <v>0</v>
      </c>
      <c r="N88" s="234">
        <v>0</v>
      </c>
      <c r="O88" s="234">
        <v>2547844.63</v>
      </c>
      <c r="P88" s="234">
        <v>372543180.14000005</v>
      </c>
      <c r="Q88" s="234">
        <v>18832291.199999999</v>
      </c>
      <c r="R88" s="234">
        <v>0</v>
      </c>
      <c r="S88" s="234">
        <v>0</v>
      </c>
      <c r="T88" s="234">
        <v>282609.7</v>
      </c>
      <c r="U88" s="234">
        <v>40121623.219999999</v>
      </c>
      <c r="V88" s="234">
        <v>7834157.1300000008</v>
      </c>
      <c r="W88" s="234">
        <v>14946933.690000001</v>
      </c>
      <c r="X88" s="234">
        <v>109304218.20000002</v>
      </c>
      <c r="Y88" s="234">
        <v>41143324.530000001</v>
      </c>
      <c r="Z88" s="234">
        <v>29563603.550000001</v>
      </c>
      <c r="AA88" s="234">
        <v>8505692.0500000007</v>
      </c>
      <c r="AB88" s="234">
        <v>63267547.770000003</v>
      </c>
      <c r="AC88" s="234">
        <v>7449364.1000000006</v>
      </c>
      <c r="AD88" s="234">
        <v>58509.240000000005</v>
      </c>
      <c r="AE88" s="234">
        <v>9171292.5600000005</v>
      </c>
      <c r="AF88" s="234">
        <v>0</v>
      </c>
      <c r="AG88" s="234">
        <v>148829209.26999998</v>
      </c>
      <c r="AH88" s="234">
        <v>0</v>
      </c>
      <c r="AI88" s="234">
        <v>0</v>
      </c>
      <c r="AJ88" s="234">
        <v>136135837.96000001</v>
      </c>
      <c r="AK88" s="234">
        <v>1541797.2200000002</v>
      </c>
      <c r="AL88" s="234">
        <v>281496.52000000008</v>
      </c>
      <c r="AM88" s="234">
        <v>0</v>
      </c>
      <c r="AN88" s="234">
        <v>0</v>
      </c>
      <c r="AO88" s="234">
        <v>0</v>
      </c>
      <c r="AP88" s="234">
        <v>0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9529.1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1029750557.7799999</v>
      </c>
    </row>
    <row r="89" spans="1:84" x14ac:dyDescent="0.25">
      <c r="A89" s="21" t="s">
        <v>289</v>
      </c>
      <c r="B89" s="16"/>
      <c r="C89" s="25">
        <v>37789270.740000002</v>
      </c>
      <c r="D89" s="25">
        <v>0</v>
      </c>
      <c r="E89" s="25">
        <v>159641456.76000005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59019458.57</v>
      </c>
      <c r="P89" s="25">
        <v>530148430.92000008</v>
      </c>
      <c r="Q89" s="25">
        <v>27411067.52</v>
      </c>
      <c r="R89" s="25">
        <v>0</v>
      </c>
      <c r="S89" s="25">
        <v>0</v>
      </c>
      <c r="T89" s="25">
        <v>7152519.9499999993</v>
      </c>
      <c r="U89" s="25">
        <v>88336772.020000011</v>
      </c>
      <c r="V89" s="25">
        <v>20616800.030000001</v>
      </c>
      <c r="W89" s="25">
        <v>21225891.940000001</v>
      </c>
      <c r="X89" s="25">
        <v>154551727.76000002</v>
      </c>
      <c r="Y89" s="25">
        <v>54497071.900000006</v>
      </c>
      <c r="Z89" s="25">
        <v>29883697.609999999</v>
      </c>
      <c r="AA89" s="25">
        <v>9821571.3000000007</v>
      </c>
      <c r="AB89" s="25">
        <v>159714939.92999998</v>
      </c>
      <c r="AC89" s="25">
        <v>36494554.989999995</v>
      </c>
      <c r="AD89" s="25">
        <v>3769977.94</v>
      </c>
      <c r="AE89" s="25">
        <v>13201999.359999999</v>
      </c>
      <c r="AF89" s="25">
        <v>0</v>
      </c>
      <c r="AG89" s="25">
        <v>193241400.26999998</v>
      </c>
      <c r="AH89" s="25">
        <v>0</v>
      </c>
      <c r="AI89" s="25">
        <v>0</v>
      </c>
      <c r="AJ89" s="25">
        <v>136365414.55000001</v>
      </c>
      <c r="AK89" s="25">
        <v>3267317.7</v>
      </c>
      <c r="AL89" s="25">
        <v>1398259.95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588822.02999999991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1748138423.7400002</v>
      </c>
    </row>
    <row r="90" spans="1:84" x14ac:dyDescent="0.25">
      <c r="A90" s="31" t="s">
        <v>290</v>
      </c>
      <c r="B90" s="25"/>
      <c r="C90" s="234">
        <v>11112</v>
      </c>
      <c r="D90" s="234">
        <v>0</v>
      </c>
      <c r="E90" s="234">
        <v>48910.54</v>
      </c>
      <c r="F90" s="234">
        <v>0</v>
      </c>
      <c r="G90" s="234">
        <v>0</v>
      </c>
      <c r="H90" s="234">
        <v>0</v>
      </c>
      <c r="I90" s="234">
        <v>0</v>
      </c>
      <c r="J90" s="234">
        <v>0</v>
      </c>
      <c r="K90" s="234">
        <v>0</v>
      </c>
      <c r="L90" s="234">
        <v>0</v>
      </c>
      <c r="M90" s="234">
        <v>0</v>
      </c>
      <c r="N90" s="234">
        <v>0</v>
      </c>
      <c r="O90" s="234">
        <v>4254</v>
      </c>
      <c r="P90" s="234">
        <v>23570.21</v>
      </c>
      <c r="Q90" s="234">
        <v>1238</v>
      </c>
      <c r="R90" s="234">
        <v>0</v>
      </c>
      <c r="S90" s="234">
        <v>5572</v>
      </c>
      <c r="T90" s="234">
        <v>0</v>
      </c>
      <c r="U90" s="234">
        <v>6711</v>
      </c>
      <c r="V90" s="234">
        <v>0</v>
      </c>
      <c r="W90" s="234">
        <v>0</v>
      </c>
      <c r="X90" s="234">
        <v>787</v>
      </c>
      <c r="Y90" s="234">
        <v>24598.18</v>
      </c>
      <c r="Z90" s="234">
        <v>0</v>
      </c>
      <c r="AA90" s="234">
        <v>788</v>
      </c>
      <c r="AB90" s="234">
        <v>3720</v>
      </c>
      <c r="AC90" s="234">
        <v>1185</v>
      </c>
      <c r="AD90" s="234">
        <v>0</v>
      </c>
      <c r="AE90" s="234">
        <v>9857.14</v>
      </c>
      <c r="AF90" s="234">
        <v>0</v>
      </c>
      <c r="AG90" s="234">
        <v>10167</v>
      </c>
      <c r="AH90" s="234">
        <v>0</v>
      </c>
      <c r="AI90" s="234">
        <v>0</v>
      </c>
      <c r="AJ90" s="234">
        <v>1109</v>
      </c>
      <c r="AK90" s="234">
        <v>3298</v>
      </c>
      <c r="AL90" s="234">
        <v>690</v>
      </c>
      <c r="AM90" s="234">
        <v>0</v>
      </c>
      <c r="AN90" s="234">
        <v>0</v>
      </c>
      <c r="AO90" s="234">
        <v>0</v>
      </c>
      <c r="AP90" s="234">
        <v>0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802.66666666666674</v>
      </c>
      <c r="AW90" s="234">
        <v>0</v>
      </c>
      <c r="AX90" s="234">
        <v>0</v>
      </c>
      <c r="AY90" s="234">
        <v>0</v>
      </c>
      <c r="AZ90" s="234">
        <v>5708</v>
      </c>
      <c r="BA90" s="234">
        <v>2159</v>
      </c>
      <c r="BB90" s="234">
        <v>0</v>
      </c>
      <c r="BC90" s="234">
        <v>0</v>
      </c>
      <c r="BD90" s="234">
        <v>0</v>
      </c>
      <c r="BE90" s="234">
        <v>60387</v>
      </c>
      <c r="BF90" s="234">
        <v>625</v>
      </c>
      <c r="BG90" s="234">
        <v>0</v>
      </c>
      <c r="BH90" s="234">
        <v>0</v>
      </c>
      <c r="BI90" s="234">
        <v>484</v>
      </c>
      <c r="BJ90" s="234">
        <v>0</v>
      </c>
      <c r="BK90" s="234">
        <v>0</v>
      </c>
      <c r="BL90" s="234">
        <v>0</v>
      </c>
      <c r="BM90" s="234">
        <v>0</v>
      </c>
      <c r="BN90" s="234">
        <v>24023.989999999998</v>
      </c>
      <c r="BO90" s="234">
        <v>0</v>
      </c>
      <c r="BP90" s="234">
        <v>0</v>
      </c>
      <c r="BQ90" s="234">
        <v>0</v>
      </c>
      <c r="BR90" s="234">
        <v>6091</v>
      </c>
      <c r="BS90" s="234">
        <v>0</v>
      </c>
      <c r="BT90" s="234">
        <v>0</v>
      </c>
      <c r="BU90" s="234">
        <v>0</v>
      </c>
      <c r="BV90" s="234">
        <v>2570</v>
      </c>
      <c r="BW90" s="234">
        <v>0</v>
      </c>
      <c r="BX90" s="234">
        <v>0</v>
      </c>
      <c r="BY90" s="234">
        <v>1482</v>
      </c>
      <c r="BZ90" s="234">
        <v>0</v>
      </c>
      <c r="CA90" s="234">
        <v>0</v>
      </c>
      <c r="CB90" s="234">
        <v>0</v>
      </c>
      <c r="CC90" s="234">
        <v>0</v>
      </c>
      <c r="CD90" s="223" t="s">
        <v>248</v>
      </c>
      <c r="CE90" s="25">
        <v>261899.72666666665</v>
      </c>
      <c r="CF90" s="25">
        <v>2.2733333333453629</v>
      </c>
    </row>
    <row r="91" spans="1:84" x14ac:dyDescent="0.25">
      <c r="A91" s="21" t="s">
        <v>291</v>
      </c>
      <c r="B91" s="16"/>
      <c r="C91" s="234">
        <v>11315</v>
      </c>
      <c r="D91" s="234">
        <v>0</v>
      </c>
      <c r="E91" s="234">
        <v>52962</v>
      </c>
      <c r="F91" s="234">
        <v>0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6316</v>
      </c>
      <c r="P91" s="234">
        <v>28367</v>
      </c>
      <c r="Q91" s="234">
        <v>0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25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13152</v>
      </c>
      <c r="AH91" s="234">
        <v>0</v>
      </c>
      <c r="AI91" s="234">
        <v>0</v>
      </c>
      <c r="AJ91" s="234">
        <v>94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9304</v>
      </c>
      <c r="AW91" s="234">
        <v>0</v>
      </c>
      <c r="AX91" s="230" t="s">
        <v>248</v>
      </c>
      <c r="AY91" s="230" t="s">
        <v>248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v>121535</v>
      </c>
      <c r="CF91" s="25">
        <v>0</v>
      </c>
    </row>
    <row r="92" spans="1:84" x14ac:dyDescent="0.25">
      <c r="A92" s="21" t="s">
        <v>292</v>
      </c>
      <c r="B92" s="16"/>
      <c r="C92" s="234">
        <v>3816.4908677748872</v>
      </c>
      <c r="D92" s="234">
        <v>0</v>
      </c>
      <c r="E92" s="234">
        <v>16798.652740095244</v>
      </c>
      <c r="F92" s="234">
        <v>0</v>
      </c>
      <c r="G92" s="234">
        <v>0</v>
      </c>
      <c r="H92" s="234">
        <v>0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1461.0648084516174</v>
      </c>
      <c r="P92" s="234">
        <v>8095.346581761728</v>
      </c>
      <c r="Q92" s="234">
        <v>425.19939653575511</v>
      </c>
      <c r="R92" s="234">
        <v>0</v>
      </c>
      <c r="S92" s="234">
        <v>1913.7407411124616</v>
      </c>
      <c r="T92" s="234">
        <v>0</v>
      </c>
      <c r="U92" s="234">
        <v>2304.9379241934189</v>
      </c>
      <c r="V92" s="234">
        <v>0</v>
      </c>
      <c r="W92" s="234">
        <v>0</v>
      </c>
      <c r="X92" s="234">
        <v>270.30042413056486</v>
      </c>
      <c r="Y92" s="234">
        <v>8448.4097672680782</v>
      </c>
      <c r="Z92" s="234">
        <v>0</v>
      </c>
      <c r="AA92" s="234">
        <v>270.6438808321285</v>
      </c>
      <c r="AB92" s="234">
        <v>1277.6589298166471</v>
      </c>
      <c r="AC92" s="234">
        <v>406.9961913528835</v>
      </c>
      <c r="AD92" s="234">
        <v>0</v>
      </c>
      <c r="AE92" s="234">
        <v>3385.5007912507699</v>
      </c>
      <c r="AF92" s="234">
        <v>0</v>
      </c>
      <c r="AG92" s="234">
        <v>3491.9242847972714</v>
      </c>
      <c r="AH92" s="234">
        <v>0</v>
      </c>
      <c r="AI92" s="234">
        <v>0</v>
      </c>
      <c r="AJ92" s="234">
        <v>380.89348203404882</v>
      </c>
      <c r="AK92" s="234">
        <v>1132.7202017568015</v>
      </c>
      <c r="AL92" s="234">
        <v>236.98512407889422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275.68124578839485</v>
      </c>
      <c r="AW92" s="234">
        <v>0</v>
      </c>
      <c r="AX92" s="230" t="s">
        <v>248</v>
      </c>
      <c r="AY92" s="230" t="s">
        <v>248</v>
      </c>
      <c r="AZ92" s="24" t="s">
        <v>248</v>
      </c>
      <c r="BA92" s="234">
        <v>741.52301867584436</v>
      </c>
      <c r="BB92" s="234">
        <v>0</v>
      </c>
      <c r="BC92" s="23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0</v>
      </c>
      <c r="BI92" s="234">
        <v>0</v>
      </c>
      <c r="BJ92" s="24" t="s">
        <v>248</v>
      </c>
      <c r="BK92" s="234">
        <v>0</v>
      </c>
      <c r="BL92" s="234">
        <v>0</v>
      </c>
      <c r="BM92" s="23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0</v>
      </c>
      <c r="BT92" s="234">
        <v>0</v>
      </c>
      <c r="BU92" s="234">
        <v>0</v>
      </c>
      <c r="BV92" s="234">
        <v>882.68372301849001</v>
      </c>
      <c r="BW92" s="234">
        <v>0</v>
      </c>
      <c r="BX92" s="234">
        <v>0</v>
      </c>
      <c r="BY92" s="234">
        <v>509.00283171727716</v>
      </c>
      <c r="BZ92" s="234">
        <v>0</v>
      </c>
      <c r="CA92" s="234">
        <v>0</v>
      </c>
      <c r="CB92" s="234">
        <v>0</v>
      </c>
      <c r="CC92" s="24" t="s">
        <v>248</v>
      </c>
      <c r="CD92" s="24" t="s">
        <v>248</v>
      </c>
      <c r="CE92" s="25">
        <v>56526.356956443196</v>
      </c>
      <c r="CF92" s="16"/>
    </row>
    <row r="93" spans="1:84" x14ac:dyDescent="0.25">
      <c r="A93" s="21" t="s">
        <v>293</v>
      </c>
      <c r="B93" s="16"/>
      <c r="C93" s="234">
        <v>0</v>
      </c>
      <c r="D93" s="234">
        <v>0</v>
      </c>
      <c r="E93" s="234">
        <v>337210.73</v>
      </c>
      <c r="F93" s="234">
        <v>0</v>
      </c>
      <c r="G93" s="234">
        <v>0</v>
      </c>
      <c r="H93" s="234">
        <v>0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111593.76</v>
      </c>
      <c r="P93" s="234">
        <v>264114.36</v>
      </c>
      <c r="Q93" s="234">
        <v>5973.93</v>
      </c>
      <c r="R93" s="234">
        <v>0</v>
      </c>
      <c r="S93" s="234">
        <v>0</v>
      </c>
      <c r="T93" s="234">
        <v>0</v>
      </c>
      <c r="U93" s="234">
        <v>0</v>
      </c>
      <c r="V93" s="234">
        <v>0</v>
      </c>
      <c r="W93" s="234">
        <v>0</v>
      </c>
      <c r="X93" s="234">
        <v>0</v>
      </c>
      <c r="Y93" s="234">
        <v>55645.16</v>
      </c>
      <c r="Z93" s="234">
        <v>0</v>
      </c>
      <c r="AA93" s="234">
        <v>0</v>
      </c>
      <c r="AB93" s="234">
        <v>0</v>
      </c>
      <c r="AC93" s="234">
        <v>0</v>
      </c>
      <c r="AD93" s="234">
        <v>0</v>
      </c>
      <c r="AE93" s="234">
        <v>0</v>
      </c>
      <c r="AF93" s="234">
        <v>0</v>
      </c>
      <c r="AG93" s="234">
        <v>261979.92</v>
      </c>
      <c r="AH93" s="234">
        <v>0</v>
      </c>
      <c r="AI93" s="234">
        <v>0</v>
      </c>
      <c r="AJ93" s="234">
        <v>0</v>
      </c>
      <c r="AK93" s="234">
        <v>9743.94</v>
      </c>
      <c r="AL93" s="234">
        <v>0</v>
      </c>
      <c r="AM93" s="234">
        <v>0</v>
      </c>
      <c r="AN93" s="234">
        <v>0</v>
      </c>
      <c r="AO93" s="234">
        <v>0</v>
      </c>
      <c r="AP93" s="234">
        <v>0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2916.99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v>1049178.79</v>
      </c>
      <c r="CF93" s="25">
        <v>0</v>
      </c>
    </row>
    <row r="94" spans="1:84" x14ac:dyDescent="0.25">
      <c r="A94" s="21" t="s">
        <v>294</v>
      </c>
      <c r="B94" s="16"/>
      <c r="C94" s="238">
        <v>45.02733653846154</v>
      </c>
      <c r="D94" s="238">
        <v>0</v>
      </c>
      <c r="E94" s="238">
        <v>146.81053846153847</v>
      </c>
      <c r="F94" s="238">
        <v>0</v>
      </c>
      <c r="G94" s="238">
        <v>0</v>
      </c>
      <c r="H94" s="238">
        <v>0</v>
      </c>
      <c r="I94" s="238">
        <v>0</v>
      </c>
      <c r="J94" s="238">
        <v>0</v>
      </c>
      <c r="K94" s="238">
        <v>0</v>
      </c>
      <c r="L94" s="238">
        <v>0</v>
      </c>
      <c r="M94" s="238">
        <v>0</v>
      </c>
      <c r="N94" s="238">
        <v>0</v>
      </c>
      <c r="O94" s="238">
        <v>34.957288461538461</v>
      </c>
      <c r="P94" s="239">
        <v>50.706759615384605</v>
      </c>
      <c r="Q94" s="239">
        <v>21.396139423076924</v>
      </c>
      <c r="R94" s="239">
        <v>0</v>
      </c>
      <c r="S94" s="240">
        <v>2.1634615384615386E-3</v>
      </c>
      <c r="T94" s="240">
        <v>4.7160528846153849</v>
      </c>
      <c r="U94" s="241">
        <v>0</v>
      </c>
      <c r="V94" s="239">
        <v>1.0476009615384616</v>
      </c>
      <c r="W94" s="239">
        <v>0</v>
      </c>
      <c r="X94" s="239">
        <v>2.3129807692307693E-2</v>
      </c>
      <c r="Y94" s="239">
        <v>5.3269230769230772E-3</v>
      </c>
      <c r="Z94" s="239">
        <v>1.365355769230769</v>
      </c>
      <c r="AA94" s="239">
        <v>0</v>
      </c>
      <c r="AB94" s="240">
        <v>0</v>
      </c>
      <c r="AC94" s="239">
        <v>0</v>
      </c>
      <c r="AD94" s="239">
        <v>0</v>
      </c>
      <c r="AE94" s="239">
        <v>0</v>
      </c>
      <c r="AF94" s="239">
        <v>0</v>
      </c>
      <c r="AG94" s="239">
        <v>44.161163461538465</v>
      </c>
      <c r="AH94" s="239">
        <v>0</v>
      </c>
      <c r="AI94" s="239">
        <v>0</v>
      </c>
      <c r="AJ94" s="239">
        <v>43.468230769230772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0</v>
      </c>
      <c r="AQ94" s="239">
        <v>0</v>
      </c>
      <c r="AR94" s="239">
        <v>0</v>
      </c>
      <c r="AS94" s="239">
        <v>0</v>
      </c>
      <c r="AT94" s="239">
        <v>0</v>
      </c>
      <c r="AU94" s="239">
        <v>0</v>
      </c>
      <c r="AV94" s="240">
        <v>36.612956730769227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v>430.30004326923086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2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2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25">
      <c r="A99" s="25" t="s">
        <v>303</v>
      </c>
      <c r="B99" s="32" t="s">
        <v>299</v>
      </c>
      <c r="C99" s="249" t="s">
        <v>304</v>
      </c>
      <c r="D99" s="246" t="s">
        <v>5</v>
      </c>
      <c r="E99" s="247" t="s">
        <v>5</v>
      </c>
      <c r="F99" s="12"/>
    </row>
    <row r="100" spans="1:6" x14ac:dyDescent="0.2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2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25">
      <c r="A102" s="25" t="s">
        <v>309</v>
      </c>
      <c r="B102" s="32" t="s">
        <v>299</v>
      </c>
      <c r="C102" s="250">
        <v>98003</v>
      </c>
      <c r="D102" s="246" t="s">
        <v>5</v>
      </c>
      <c r="E102" s="247" t="s">
        <v>5</v>
      </c>
      <c r="F102" s="12"/>
    </row>
    <row r="103" spans="1:6" x14ac:dyDescent="0.2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25">
      <c r="A104" s="25" t="s">
        <v>312</v>
      </c>
      <c r="B104" s="32" t="s">
        <v>299</v>
      </c>
      <c r="C104" s="251" t="s">
        <v>313</v>
      </c>
      <c r="D104" s="246" t="s">
        <v>5</v>
      </c>
      <c r="E104" s="247" t="s">
        <v>5</v>
      </c>
      <c r="F104" s="12"/>
    </row>
    <row r="105" spans="1:6" x14ac:dyDescent="0.25">
      <c r="A105" s="25" t="s">
        <v>314</v>
      </c>
      <c r="B105" s="32" t="s">
        <v>299</v>
      </c>
      <c r="C105" s="251" t="s">
        <v>315</v>
      </c>
      <c r="D105" s="246" t="s">
        <v>5</v>
      </c>
      <c r="E105" s="247" t="s">
        <v>5</v>
      </c>
      <c r="F105" s="12"/>
    </row>
    <row r="106" spans="1:6" x14ac:dyDescent="0.25">
      <c r="A106" s="25" t="s">
        <v>316</v>
      </c>
      <c r="B106" s="32" t="s">
        <v>299</v>
      </c>
      <c r="C106" s="249" t="s">
        <v>317</v>
      </c>
      <c r="D106" s="246" t="s">
        <v>5</v>
      </c>
      <c r="E106" s="247" t="s">
        <v>5</v>
      </c>
      <c r="F106" s="12"/>
    </row>
    <row r="107" spans="1:6" x14ac:dyDescent="0.25">
      <c r="A107" s="25" t="s">
        <v>318</v>
      </c>
      <c r="B107" s="32" t="s">
        <v>299</v>
      </c>
      <c r="C107" s="252" t="s">
        <v>319</v>
      </c>
      <c r="D107" s="246" t="s">
        <v>5</v>
      </c>
      <c r="E107" s="247" t="s">
        <v>5</v>
      </c>
      <c r="F107" s="12"/>
    </row>
    <row r="108" spans="1:6" x14ac:dyDescent="0.25">
      <c r="A108" s="25" t="s">
        <v>320</v>
      </c>
      <c r="B108" s="32" t="s">
        <v>299</v>
      </c>
      <c r="C108" s="252" t="s">
        <v>321</v>
      </c>
      <c r="D108" s="246" t="s">
        <v>5</v>
      </c>
      <c r="E108" s="247" t="s">
        <v>5</v>
      </c>
      <c r="F108" s="12"/>
    </row>
    <row r="109" spans="1:6" x14ac:dyDescent="0.2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25">
      <c r="A110" s="33" t="s">
        <v>324</v>
      </c>
      <c r="B110" s="32" t="s">
        <v>299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53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53">
        <v>0</v>
      </c>
      <c r="D114" s="16"/>
      <c r="E114" s="16"/>
    </row>
    <row r="115" spans="1:5" x14ac:dyDescent="0.25">
      <c r="A115" s="16" t="s">
        <v>328</v>
      </c>
      <c r="B115" s="35" t="s">
        <v>299</v>
      </c>
      <c r="C115" s="253">
        <v>0</v>
      </c>
      <c r="D115" s="16"/>
      <c r="E115" s="16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6" t="s">
        <v>330</v>
      </c>
      <c r="B117" s="35" t="s">
        <v>299</v>
      </c>
      <c r="C117" s="254">
        <v>1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6" t="s">
        <v>332</v>
      </c>
      <c r="B120" s="35" t="s">
        <v>299</v>
      </c>
      <c r="C120" s="253">
        <v>0</v>
      </c>
      <c r="D120" s="16"/>
      <c r="E120" s="16"/>
    </row>
    <row r="121" spans="1:5" x14ac:dyDescent="0.25">
      <c r="A121" s="16" t="s">
        <v>333</v>
      </c>
      <c r="B121" s="35" t="s">
        <v>299</v>
      </c>
      <c r="C121" s="253">
        <v>0</v>
      </c>
      <c r="D121" s="16"/>
      <c r="E121" s="16"/>
    </row>
    <row r="122" spans="1:5" x14ac:dyDescent="0.25">
      <c r="A122" s="16" t="s">
        <v>334</v>
      </c>
      <c r="B122" s="35" t="s">
        <v>299</v>
      </c>
      <c r="C122" s="253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35" t="s">
        <v>299</v>
      </c>
      <c r="C127" s="253">
        <v>8335</v>
      </c>
      <c r="D127" s="256">
        <v>38757</v>
      </c>
      <c r="E127" s="16"/>
    </row>
    <row r="128" spans="1:5" x14ac:dyDescent="0.25">
      <c r="A128" s="16" t="s">
        <v>339</v>
      </c>
      <c r="B128" s="35" t="s">
        <v>299</v>
      </c>
      <c r="C128" s="253">
        <v>0</v>
      </c>
      <c r="D128" s="256">
        <v>0</v>
      </c>
      <c r="E128" s="16"/>
    </row>
    <row r="129" spans="1:5" x14ac:dyDescent="0.25">
      <c r="A129" s="16" t="s">
        <v>340</v>
      </c>
      <c r="B129" s="35" t="s">
        <v>299</v>
      </c>
      <c r="C129" s="253">
        <v>0</v>
      </c>
      <c r="D129" s="256">
        <v>0</v>
      </c>
      <c r="E129" s="16"/>
    </row>
    <row r="130" spans="1:5" x14ac:dyDescent="0.25">
      <c r="A130" s="16" t="s">
        <v>341</v>
      </c>
      <c r="B130" s="35" t="s">
        <v>299</v>
      </c>
      <c r="C130" s="253">
        <v>1174</v>
      </c>
      <c r="D130" s="256">
        <v>1636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5" t="s">
        <v>299</v>
      </c>
      <c r="C132" s="253">
        <v>14</v>
      </c>
      <c r="D132" s="16"/>
      <c r="E132" s="16"/>
    </row>
    <row r="133" spans="1:5" x14ac:dyDescent="0.25">
      <c r="A133" s="16" t="s">
        <v>344</v>
      </c>
      <c r="B133" s="35" t="s">
        <v>299</v>
      </c>
      <c r="C133" s="253">
        <v>16</v>
      </c>
      <c r="D133" s="16"/>
      <c r="E133" s="16"/>
    </row>
    <row r="134" spans="1:5" x14ac:dyDescent="0.25">
      <c r="A134" s="16" t="s">
        <v>345</v>
      </c>
      <c r="B134" s="35" t="s">
        <v>299</v>
      </c>
      <c r="C134" s="253">
        <v>72</v>
      </c>
      <c r="D134" s="16"/>
      <c r="E134" s="16"/>
    </row>
    <row r="135" spans="1:5" x14ac:dyDescent="0.25">
      <c r="A135" s="16" t="s">
        <v>346</v>
      </c>
      <c r="B135" s="35" t="s">
        <v>299</v>
      </c>
      <c r="C135" s="253">
        <v>0</v>
      </c>
      <c r="D135" s="16"/>
      <c r="E135" s="16"/>
    </row>
    <row r="136" spans="1:5" x14ac:dyDescent="0.25">
      <c r="A136" s="16" t="s">
        <v>347</v>
      </c>
      <c r="B136" s="35" t="s">
        <v>299</v>
      </c>
      <c r="C136" s="253">
        <v>16</v>
      </c>
      <c r="D136" s="16"/>
      <c r="E136" s="16"/>
    </row>
    <row r="137" spans="1:5" x14ac:dyDescent="0.25">
      <c r="A137" s="16" t="s">
        <v>348</v>
      </c>
      <c r="B137" s="35" t="s">
        <v>299</v>
      </c>
      <c r="C137" s="253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3">
        <v>0</v>
      </c>
      <c r="D138" s="16"/>
      <c r="E138" s="16"/>
    </row>
    <row r="139" spans="1:5" x14ac:dyDescent="0.25">
      <c r="A139" s="16" t="s">
        <v>349</v>
      </c>
      <c r="B139" s="35" t="s">
        <v>299</v>
      </c>
      <c r="C139" s="253">
        <v>0</v>
      </c>
      <c r="D139" s="16"/>
      <c r="E139" s="16"/>
    </row>
    <row r="140" spans="1:5" x14ac:dyDescent="0.25">
      <c r="A140" s="16" t="s">
        <v>350</v>
      </c>
      <c r="B140" s="35"/>
      <c r="C140" s="253">
        <v>0</v>
      </c>
      <c r="D140" s="16"/>
      <c r="E140" s="16"/>
    </row>
    <row r="141" spans="1:5" x14ac:dyDescent="0.25">
      <c r="A141" s="16" t="s">
        <v>340</v>
      </c>
      <c r="B141" s="35" t="s">
        <v>299</v>
      </c>
      <c r="C141" s="253">
        <v>0</v>
      </c>
      <c r="D141" s="16"/>
      <c r="E141" s="16"/>
    </row>
    <row r="142" spans="1:5" x14ac:dyDescent="0.25">
      <c r="A142" s="16" t="s">
        <v>351</v>
      </c>
      <c r="B142" s="35" t="s">
        <v>299</v>
      </c>
      <c r="C142" s="253">
        <v>6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v>124</v>
      </c>
    </row>
    <row r="144" spans="1:5" x14ac:dyDescent="0.25">
      <c r="A144" s="16" t="s">
        <v>353</v>
      </c>
      <c r="B144" s="35" t="s">
        <v>299</v>
      </c>
      <c r="C144" s="253">
        <v>124</v>
      </c>
      <c r="D144" s="16"/>
      <c r="E144" s="16"/>
    </row>
    <row r="145" spans="1:6" x14ac:dyDescent="0.25">
      <c r="A145" s="16" t="s">
        <v>354</v>
      </c>
      <c r="B145" s="35" t="s">
        <v>299</v>
      </c>
      <c r="C145" s="253">
        <v>18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5" t="s">
        <v>299</v>
      </c>
      <c r="C147" s="253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6" t="s">
        <v>337</v>
      </c>
      <c r="B154" s="256">
        <v>3722</v>
      </c>
      <c r="C154" s="256">
        <v>2360</v>
      </c>
      <c r="D154" s="256">
        <v>2253</v>
      </c>
      <c r="E154" s="25">
        <v>8335</v>
      </c>
    </row>
    <row r="155" spans="1:6" x14ac:dyDescent="0.25">
      <c r="A155" s="16" t="s">
        <v>242</v>
      </c>
      <c r="B155" s="256">
        <v>22328</v>
      </c>
      <c r="C155" s="256">
        <v>9115</v>
      </c>
      <c r="D155" s="256">
        <v>7314</v>
      </c>
      <c r="E155" s="25">
        <v>38757</v>
      </c>
    </row>
    <row r="156" spans="1:6" x14ac:dyDescent="0.25">
      <c r="A156" s="16" t="s">
        <v>360</v>
      </c>
      <c r="B156" s="256">
        <v>0</v>
      </c>
      <c r="C156" s="256">
        <v>0</v>
      </c>
      <c r="D156" s="256">
        <v>0</v>
      </c>
      <c r="E156" s="25">
        <v>0</v>
      </c>
    </row>
    <row r="157" spans="1:6" x14ac:dyDescent="0.25">
      <c r="A157" s="16" t="s">
        <v>287</v>
      </c>
      <c r="B157" s="256">
        <v>355593190.62</v>
      </c>
      <c r="C157" s="256">
        <v>175150045.18000001</v>
      </c>
      <c r="D157" s="256">
        <v>187644630.15999997</v>
      </c>
      <c r="E157" s="25">
        <v>718387865.96000004</v>
      </c>
      <c r="F157" s="14"/>
    </row>
    <row r="158" spans="1:6" x14ac:dyDescent="0.25">
      <c r="A158" s="16" t="s">
        <v>288</v>
      </c>
      <c r="B158" s="256">
        <v>379702643.31999999</v>
      </c>
      <c r="C158" s="256">
        <v>227028818.12</v>
      </c>
      <c r="D158" s="256">
        <v>423019096.34000009</v>
      </c>
      <c r="E158" s="25">
        <v>1029750557.7800002</v>
      </c>
      <c r="F158" s="14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6" t="s">
        <v>337</v>
      </c>
      <c r="B160" s="256">
        <v>0</v>
      </c>
      <c r="C160" s="256">
        <v>0</v>
      </c>
      <c r="D160" s="256">
        <v>0</v>
      </c>
      <c r="E160" s="25">
        <v>0</v>
      </c>
    </row>
    <row r="161" spans="1:5" x14ac:dyDescent="0.25">
      <c r="A161" s="16" t="s">
        <v>242</v>
      </c>
      <c r="B161" s="256">
        <v>0</v>
      </c>
      <c r="C161" s="256">
        <v>0</v>
      </c>
      <c r="D161" s="256">
        <v>0</v>
      </c>
      <c r="E161" s="25">
        <v>0</v>
      </c>
    </row>
    <row r="162" spans="1:5" x14ac:dyDescent="0.25">
      <c r="A162" s="16" t="s">
        <v>360</v>
      </c>
      <c r="B162" s="256">
        <v>0</v>
      </c>
      <c r="C162" s="256">
        <v>0</v>
      </c>
      <c r="D162" s="256">
        <v>0</v>
      </c>
      <c r="E162" s="25">
        <v>0</v>
      </c>
    </row>
    <row r="163" spans="1:5" x14ac:dyDescent="0.25">
      <c r="A163" s="16" t="s">
        <v>287</v>
      </c>
      <c r="B163" s="256">
        <v>0</v>
      </c>
      <c r="C163" s="256">
        <v>0</v>
      </c>
      <c r="D163" s="256">
        <v>0</v>
      </c>
      <c r="E163" s="25">
        <v>0</v>
      </c>
    </row>
    <row r="164" spans="1:5" x14ac:dyDescent="0.25">
      <c r="A164" s="16" t="s">
        <v>288</v>
      </c>
      <c r="B164" s="256">
        <v>0</v>
      </c>
      <c r="C164" s="256">
        <v>0</v>
      </c>
      <c r="D164" s="256">
        <v>0</v>
      </c>
      <c r="E164" s="25"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6" t="s">
        <v>337</v>
      </c>
      <c r="B166" s="256">
        <v>0</v>
      </c>
      <c r="C166" s="256">
        <v>0</v>
      </c>
      <c r="D166" s="256">
        <v>0</v>
      </c>
      <c r="E166" s="25">
        <v>0</v>
      </c>
    </row>
    <row r="167" spans="1:5" x14ac:dyDescent="0.25">
      <c r="A167" s="16" t="s">
        <v>242</v>
      </c>
      <c r="B167" s="256">
        <v>0</v>
      </c>
      <c r="C167" s="256">
        <v>0</v>
      </c>
      <c r="D167" s="256">
        <v>0</v>
      </c>
      <c r="E167" s="25">
        <v>0</v>
      </c>
    </row>
    <row r="168" spans="1:5" x14ac:dyDescent="0.25">
      <c r="A168" s="16" t="s">
        <v>360</v>
      </c>
      <c r="B168" s="256">
        <v>0</v>
      </c>
      <c r="C168" s="256">
        <v>0</v>
      </c>
      <c r="D168" s="256">
        <v>0</v>
      </c>
      <c r="E168" s="25">
        <v>0</v>
      </c>
    </row>
    <row r="169" spans="1:5" x14ac:dyDescent="0.25">
      <c r="A169" s="16" t="s">
        <v>287</v>
      </c>
      <c r="B169" s="256">
        <v>0</v>
      </c>
      <c r="C169" s="256">
        <v>0</v>
      </c>
      <c r="D169" s="256">
        <v>0</v>
      </c>
      <c r="E169" s="25">
        <v>0</v>
      </c>
    </row>
    <row r="170" spans="1:5" x14ac:dyDescent="0.25">
      <c r="A170" s="16" t="s">
        <v>288</v>
      </c>
      <c r="B170" s="256">
        <v>0</v>
      </c>
      <c r="C170" s="256">
        <v>0</v>
      </c>
      <c r="D170" s="256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25">
      <c r="A173" s="20" t="s">
        <v>366</v>
      </c>
      <c r="B173" s="256">
        <v>0</v>
      </c>
      <c r="C173" s="256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6" t="s">
        <v>369</v>
      </c>
      <c r="B181" s="35" t="s">
        <v>299</v>
      </c>
      <c r="C181" s="253">
        <v>8929604.6300000008</v>
      </c>
      <c r="D181" s="16"/>
      <c r="E181" s="16"/>
    </row>
    <row r="182" spans="1:5" x14ac:dyDescent="0.25">
      <c r="A182" s="16" t="s">
        <v>370</v>
      </c>
      <c r="B182" s="35" t="s">
        <v>299</v>
      </c>
      <c r="C182" s="253">
        <v>123496.91226181874</v>
      </c>
      <c r="D182" s="16"/>
      <c r="E182" s="16"/>
    </row>
    <row r="183" spans="1:5" x14ac:dyDescent="0.25">
      <c r="A183" s="20" t="s">
        <v>371</v>
      </c>
      <c r="B183" s="35" t="s">
        <v>299</v>
      </c>
      <c r="C183" s="253">
        <v>704853.24937825848</v>
      </c>
      <c r="D183" s="16"/>
      <c r="E183" s="16"/>
    </row>
    <row r="184" spans="1:5" x14ac:dyDescent="0.25">
      <c r="A184" s="16" t="s">
        <v>372</v>
      </c>
      <c r="B184" s="35" t="s">
        <v>299</v>
      </c>
      <c r="C184" s="253">
        <v>13155483.644946596</v>
      </c>
      <c r="D184" s="16"/>
      <c r="E184" s="16"/>
    </row>
    <row r="185" spans="1:5" x14ac:dyDescent="0.25">
      <c r="A185" s="16" t="s">
        <v>373</v>
      </c>
      <c r="B185" s="35" t="s">
        <v>299</v>
      </c>
      <c r="C185" s="253">
        <v>217945.12086622012</v>
      </c>
      <c r="D185" s="16"/>
      <c r="E185" s="16"/>
    </row>
    <row r="186" spans="1:5" x14ac:dyDescent="0.25">
      <c r="A186" s="16" t="s">
        <v>374</v>
      </c>
      <c r="B186" s="35" t="s">
        <v>299</v>
      </c>
      <c r="C186" s="253">
        <v>6329810.7344379127</v>
      </c>
      <c r="D186" s="16"/>
      <c r="E186" s="16"/>
    </row>
    <row r="187" spans="1:5" x14ac:dyDescent="0.25">
      <c r="A187" s="16" t="s">
        <v>375</v>
      </c>
      <c r="B187" s="35" t="s">
        <v>299</v>
      </c>
      <c r="C187" s="253">
        <v>0</v>
      </c>
      <c r="D187" s="16"/>
      <c r="E187" s="16"/>
    </row>
    <row r="188" spans="1:5" x14ac:dyDescent="0.25">
      <c r="A188" s="16" t="s">
        <v>375</v>
      </c>
      <c r="B188" s="35" t="s">
        <v>299</v>
      </c>
      <c r="C188" s="253">
        <v>2466656.0281091928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31927850.32</v>
      </c>
      <c r="E189" s="16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6" t="s">
        <v>377</v>
      </c>
      <c r="B191" s="35" t="s">
        <v>299</v>
      </c>
      <c r="C191" s="253">
        <v>7357383.0899999999</v>
      </c>
      <c r="D191" s="16"/>
      <c r="E191" s="16"/>
    </row>
    <row r="192" spans="1:5" x14ac:dyDescent="0.25">
      <c r="A192" s="16" t="s">
        <v>378</v>
      </c>
      <c r="B192" s="35" t="s">
        <v>299</v>
      </c>
      <c r="C192" s="253">
        <v>1030482.1100000003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8387865.2000000002</v>
      </c>
      <c r="E193" s="16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6" t="s">
        <v>380</v>
      </c>
      <c r="B195" s="35" t="s">
        <v>299</v>
      </c>
      <c r="C195" s="253">
        <v>2137073.6</v>
      </c>
      <c r="D195" s="16"/>
      <c r="E195" s="16"/>
    </row>
    <row r="196" spans="1:5" x14ac:dyDescent="0.25">
      <c r="A196" s="16" t="s">
        <v>381</v>
      </c>
      <c r="B196" s="35" t="s">
        <v>299</v>
      </c>
      <c r="C196" s="253">
        <v>18.419999999925494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2137092.02</v>
      </c>
      <c r="E197" s="16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6" t="s">
        <v>383</v>
      </c>
      <c r="B199" s="35" t="s">
        <v>299</v>
      </c>
      <c r="C199" s="253">
        <v>109853.45</v>
      </c>
      <c r="D199" s="16"/>
      <c r="E199" s="16"/>
    </row>
    <row r="200" spans="1:5" x14ac:dyDescent="0.25">
      <c r="A200" s="16" t="s">
        <v>384</v>
      </c>
      <c r="B200" s="35" t="s">
        <v>299</v>
      </c>
      <c r="C200" s="253">
        <v>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3">
        <v>-109853.45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0</v>
      </c>
      <c r="E202" s="16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6" t="s">
        <v>386</v>
      </c>
      <c r="B204" s="35" t="s">
        <v>299</v>
      </c>
      <c r="C204" s="253">
        <v>0</v>
      </c>
      <c r="D204" s="16"/>
      <c r="E204" s="16"/>
    </row>
    <row r="205" spans="1:5" x14ac:dyDescent="0.25">
      <c r="A205" s="16" t="s">
        <v>387</v>
      </c>
      <c r="B205" s="35" t="s">
        <v>299</v>
      </c>
      <c r="C205" s="253">
        <v>-18044.21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-18044.21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6">
        <v>7206096.9900000002</v>
      </c>
      <c r="C211" s="253">
        <v>0</v>
      </c>
      <c r="D211" s="256">
        <v>0</v>
      </c>
      <c r="E211" s="25">
        <v>7206096.9900000002</v>
      </c>
    </row>
    <row r="212" spans="1:5" x14ac:dyDescent="0.25">
      <c r="A212" s="16" t="s">
        <v>395</v>
      </c>
      <c r="B212" s="256">
        <v>2956304.72</v>
      </c>
      <c r="C212" s="253">
        <v>0</v>
      </c>
      <c r="D212" s="256">
        <v>0</v>
      </c>
      <c r="E212" s="25">
        <v>2956304.72</v>
      </c>
    </row>
    <row r="213" spans="1:5" x14ac:dyDescent="0.25">
      <c r="A213" s="16" t="s">
        <v>396</v>
      </c>
      <c r="B213" s="256">
        <v>55434843.789999999</v>
      </c>
      <c r="C213" s="253">
        <v>0</v>
      </c>
      <c r="D213" s="256">
        <v>0</v>
      </c>
      <c r="E213" s="25">
        <v>55434843.789999999</v>
      </c>
    </row>
    <row r="214" spans="1:5" x14ac:dyDescent="0.25">
      <c r="A214" s="16" t="s">
        <v>397</v>
      </c>
      <c r="B214" s="256">
        <v>9387606.540000001</v>
      </c>
      <c r="C214" s="253">
        <v>583499.08000000007</v>
      </c>
      <c r="D214" s="256">
        <v>14669.57</v>
      </c>
      <c r="E214" s="25">
        <v>9956436.0500000007</v>
      </c>
    </row>
    <row r="215" spans="1:5" x14ac:dyDescent="0.25">
      <c r="A215" s="16" t="s">
        <v>398</v>
      </c>
      <c r="B215" s="256">
        <v>23028768.700000003</v>
      </c>
      <c r="C215" s="253">
        <v>226839.46999999997</v>
      </c>
      <c r="D215" s="256">
        <v>0</v>
      </c>
      <c r="E215" s="25">
        <v>23255608.170000002</v>
      </c>
    </row>
    <row r="216" spans="1:5" x14ac:dyDescent="0.25">
      <c r="A216" s="16" t="s">
        <v>399</v>
      </c>
      <c r="B216" s="256">
        <v>117457707.53000002</v>
      </c>
      <c r="C216" s="253">
        <v>-310418.18999999971</v>
      </c>
      <c r="D216" s="256">
        <v>42963.38</v>
      </c>
      <c r="E216" s="25">
        <v>117104325.96000002</v>
      </c>
    </row>
    <row r="217" spans="1:5" x14ac:dyDescent="0.25">
      <c r="A217" s="16" t="s">
        <v>400</v>
      </c>
      <c r="B217" s="256">
        <v>0</v>
      </c>
      <c r="C217" s="253">
        <v>0</v>
      </c>
      <c r="D217" s="256">
        <v>0</v>
      </c>
      <c r="E217" s="25">
        <v>0</v>
      </c>
    </row>
    <row r="218" spans="1:5" x14ac:dyDescent="0.25">
      <c r="A218" s="16" t="s">
        <v>401</v>
      </c>
      <c r="B218" s="256">
        <v>18247809.699999999</v>
      </c>
      <c r="C218" s="253">
        <v>234937.2799999995</v>
      </c>
      <c r="D218" s="256">
        <v>0</v>
      </c>
      <c r="E218" s="25">
        <v>18482746.98</v>
      </c>
    </row>
    <row r="219" spans="1:5" x14ac:dyDescent="0.25">
      <c r="A219" s="16" t="s">
        <v>402</v>
      </c>
      <c r="B219" s="256">
        <v>1083641.1300000001</v>
      </c>
      <c r="C219" s="253">
        <v>7497138.8000000017</v>
      </c>
      <c r="D219" s="256">
        <v>0</v>
      </c>
      <c r="E219" s="25">
        <v>8580779.9300000016</v>
      </c>
    </row>
    <row r="220" spans="1:5" x14ac:dyDescent="0.25">
      <c r="A220" s="16" t="s">
        <v>230</v>
      </c>
      <c r="B220" s="25">
        <v>234802779.10000002</v>
      </c>
      <c r="C220" s="224">
        <v>8231996.4400000013</v>
      </c>
      <c r="D220" s="25">
        <v>57632.95</v>
      </c>
      <c r="E220" s="25">
        <v>242977142.59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2"/>
      <c r="C224" s="41"/>
      <c r="D224" s="42"/>
      <c r="E224" s="16"/>
    </row>
    <row r="225" spans="1:6" x14ac:dyDescent="0.25">
      <c r="A225" s="16" t="s">
        <v>395</v>
      </c>
      <c r="B225" s="256">
        <v>2487325.9900000002</v>
      </c>
      <c r="C225" s="253">
        <v>112457.42</v>
      </c>
      <c r="D225" s="256">
        <v>0</v>
      </c>
      <c r="E225" s="25">
        <v>2599783.41</v>
      </c>
    </row>
    <row r="226" spans="1:6" x14ac:dyDescent="0.25">
      <c r="A226" s="16" t="s">
        <v>396</v>
      </c>
      <c r="B226" s="256">
        <v>24792973.550000001</v>
      </c>
      <c r="C226" s="253">
        <v>1550192.6</v>
      </c>
      <c r="D226" s="256">
        <v>0</v>
      </c>
      <c r="E226" s="25">
        <v>26343166.150000002</v>
      </c>
    </row>
    <row r="227" spans="1:6" x14ac:dyDescent="0.25">
      <c r="A227" s="16" t="s">
        <v>397</v>
      </c>
      <c r="B227" s="256">
        <v>4136605.7</v>
      </c>
      <c r="C227" s="253">
        <v>870967.22</v>
      </c>
      <c r="D227" s="256">
        <v>-2475.6400000000003</v>
      </c>
      <c r="E227" s="25">
        <v>5010048.5599999996</v>
      </c>
    </row>
    <row r="228" spans="1:6" x14ac:dyDescent="0.25">
      <c r="A228" s="16" t="s">
        <v>398</v>
      </c>
      <c r="B228" s="256">
        <v>18320501.390000001</v>
      </c>
      <c r="C228" s="253">
        <v>655023.97000000009</v>
      </c>
      <c r="D228" s="256">
        <v>0</v>
      </c>
      <c r="E228" s="25">
        <v>18975525.359999999</v>
      </c>
    </row>
    <row r="229" spans="1:6" x14ac:dyDescent="0.25">
      <c r="A229" s="16" t="s">
        <v>399</v>
      </c>
      <c r="B229" s="256">
        <v>100408468.78</v>
      </c>
      <c r="C229" s="253">
        <v>9467289.9399999976</v>
      </c>
      <c r="D229" s="256">
        <v>5230135.0099999988</v>
      </c>
      <c r="E229" s="25">
        <v>104645623.70999999</v>
      </c>
    </row>
    <row r="230" spans="1:6" x14ac:dyDescent="0.25">
      <c r="A230" s="16" t="s">
        <v>400</v>
      </c>
      <c r="B230" s="256">
        <v>0</v>
      </c>
      <c r="C230" s="253">
        <v>0</v>
      </c>
      <c r="D230" s="256">
        <v>0</v>
      </c>
      <c r="E230" s="25">
        <v>0</v>
      </c>
    </row>
    <row r="231" spans="1:6" x14ac:dyDescent="0.25">
      <c r="A231" s="16" t="s">
        <v>401</v>
      </c>
      <c r="B231" s="256">
        <v>13800399.110000001</v>
      </c>
      <c r="C231" s="253">
        <v>1243140.27</v>
      </c>
      <c r="D231" s="256">
        <v>0</v>
      </c>
      <c r="E231" s="25">
        <v>15043539.380000001</v>
      </c>
    </row>
    <row r="232" spans="1:6" x14ac:dyDescent="0.25">
      <c r="A232" s="16" t="s">
        <v>402</v>
      </c>
      <c r="B232" s="256">
        <v>0</v>
      </c>
      <c r="C232" s="253">
        <v>0</v>
      </c>
      <c r="D232" s="256">
        <v>0</v>
      </c>
      <c r="E232" s="25">
        <v>0</v>
      </c>
    </row>
    <row r="233" spans="1:6" x14ac:dyDescent="0.25">
      <c r="A233" s="16" t="s">
        <v>230</v>
      </c>
      <c r="B233" s="25">
        <v>163946274.52000001</v>
      </c>
      <c r="C233" s="224">
        <v>13899071.419999998</v>
      </c>
      <c r="D233" s="25">
        <v>5227659.3699999992</v>
      </c>
      <c r="E233" s="25">
        <v>172617686.56999999</v>
      </c>
    </row>
    <row r="234" spans="1:6" x14ac:dyDescent="0.25">
      <c r="A234" s="16"/>
      <c r="B234" s="16"/>
      <c r="C234" s="22"/>
      <c r="D234" s="16"/>
      <c r="E234" s="16"/>
      <c r="F234" s="11">
        <v>70359456.020000011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26" t="s">
        <v>405</v>
      </c>
      <c r="C236" s="326"/>
      <c r="D236" s="30"/>
      <c r="E236" s="30"/>
    </row>
    <row r="237" spans="1:6" x14ac:dyDescent="0.25">
      <c r="A237" s="43" t="s">
        <v>405</v>
      </c>
      <c r="B237" s="30"/>
      <c r="C237" s="253">
        <v>18124956.449999999</v>
      </c>
      <c r="D237" s="32">
        <v>18124956.449999999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6" t="s">
        <v>407</v>
      </c>
      <c r="B239" s="35" t="s">
        <v>299</v>
      </c>
      <c r="C239" s="253">
        <v>632284063.93000007</v>
      </c>
      <c r="D239" s="16"/>
      <c r="E239" s="16"/>
    </row>
    <row r="240" spans="1:6" x14ac:dyDescent="0.25">
      <c r="A240" s="16" t="s">
        <v>408</v>
      </c>
      <c r="B240" s="35" t="s">
        <v>299</v>
      </c>
      <c r="C240" s="253">
        <v>353529855.82999998</v>
      </c>
      <c r="D240" s="16"/>
      <c r="E240" s="16"/>
    </row>
    <row r="241" spans="1:5" x14ac:dyDescent="0.25">
      <c r="A241" s="16" t="s">
        <v>409</v>
      </c>
      <c r="B241" s="35" t="s">
        <v>299</v>
      </c>
      <c r="C241" s="253">
        <v>0</v>
      </c>
      <c r="D241" s="16"/>
      <c r="E241" s="16"/>
    </row>
    <row r="242" spans="1:5" x14ac:dyDescent="0.25">
      <c r="A242" s="16" t="s">
        <v>410</v>
      </c>
      <c r="B242" s="35" t="s">
        <v>299</v>
      </c>
      <c r="C242" s="253">
        <v>49727393.159999996</v>
      </c>
      <c r="D242" s="16"/>
      <c r="E242" s="16"/>
    </row>
    <row r="243" spans="1:5" x14ac:dyDescent="0.25">
      <c r="A243" s="16" t="s">
        <v>411</v>
      </c>
      <c r="B243" s="35" t="s">
        <v>299</v>
      </c>
      <c r="C243" s="253">
        <v>309993426.87</v>
      </c>
      <c r="D243" s="16"/>
      <c r="E243" s="16"/>
    </row>
    <row r="244" spans="1:5" x14ac:dyDescent="0.25">
      <c r="A244" s="16" t="s">
        <v>412</v>
      </c>
      <c r="B244" s="35" t="s">
        <v>299</v>
      </c>
      <c r="C244" s="253">
        <v>24097192.84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v>1369631932.6299999</v>
      </c>
      <c r="E245" s="16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299</v>
      </c>
      <c r="C247" s="253">
        <v>6910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416</v>
      </c>
      <c r="B249" s="35" t="s">
        <v>299</v>
      </c>
      <c r="C249" s="253">
        <v>9366960.9700000007</v>
      </c>
      <c r="D249" s="16"/>
      <c r="E249" s="16"/>
    </row>
    <row r="250" spans="1:5" x14ac:dyDescent="0.25">
      <c r="A250" s="21" t="s">
        <v>417</v>
      </c>
      <c r="B250" s="35" t="s">
        <v>299</v>
      </c>
      <c r="C250" s="253">
        <v>21273206.790000003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v>30640167.760000005</v>
      </c>
      <c r="E252" s="16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6" t="s">
        <v>420</v>
      </c>
      <c r="B254" s="35" t="s">
        <v>299</v>
      </c>
      <c r="C254" s="253">
        <v>11129968.49</v>
      </c>
      <c r="D254" s="16"/>
      <c r="E254" s="16"/>
    </row>
    <row r="255" spans="1:5" x14ac:dyDescent="0.25">
      <c r="A255" s="16" t="s">
        <v>419</v>
      </c>
      <c r="B255" s="35" t="s">
        <v>299</v>
      </c>
      <c r="C255" s="253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v>11129968.49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v>1429527025.3299999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6" t="s">
        <v>425</v>
      </c>
      <c r="B266" s="35" t="s">
        <v>299</v>
      </c>
      <c r="C266" s="253">
        <v>95694.549999999988</v>
      </c>
      <c r="D266" s="16"/>
      <c r="E266" s="16"/>
    </row>
    <row r="267" spans="1:5" x14ac:dyDescent="0.25">
      <c r="A267" s="16" t="s">
        <v>426</v>
      </c>
      <c r="B267" s="35" t="s">
        <v>299</v>
      </c>
      <c r="C267" s="253">
        <v>0</v>
      </c>
      <c r="D267" s="16"/>
      <c r="E267" s="16"/>
    </row>
    <row r="268" spans="1:5" x14ac:dyDescent="0.25">
      <c r="A268" s="16" t="s">
        <v>427</v>
      </c>
      <c r="B268" s="35" t="s">
        <v>299</v>
      </c>
      <c r="C268" s="253">
        <v>245227884.14999998</v>
      </c>
      <c r="D268" s="16"/>
      <c r="E268" s="16"/>
    </row>
    <row r="269" spans="1:5" x14ac:dyDescent="0.25">
      <c r="A269" s="16" t="s">
        <v>428</v>
      </c>
      <c r="B269" s="35" t="s">
        <v>299</v>
      </c>
      <c r="C269" s="253">
        <v>205769715.44</v>
      </c>
      <c r="D269" s="16"/>
      <c r="E269" s="16"/>
    </row>
    <row r="270" spans="1:5" x14ac:dyDescent="0.25">
      <c r="A270" s="16" t="s">
        <v>429</v>
      </c>
      <c r="B270" s="35" t="s">
        <v>299</v>
      </c>
      <c r="C270" s="253">
        <v>0</v>
      </c>
      <c r="D270" s="16"/>
      <c r="E270" s="16"/>
    </row>
    <row r="271" spans="1:5" x14ac:dyDescent="0.25">
      <c r="A271" s="16" t="s">
        <v>430</v>
      </c>
      <c r="B271" s="35" t="s">
        <v>299</v>
      </c>
      <c r="C271" s="253">
        <v>3369669.1599999997</v>
      </c>
      <c r="D271" s="16"/>
      <c r="E271" s="16"/>
    </row>
    <row r="272" spans="1:5" x14ac:dyDescent="0.25">
      <c r="A272" s="16" t="s">
        <v>431</v>
      </c>
      <c r="B272" s="35" t="s">
        <v>299</v>
      </c>
      <c r="C272" s="253">
        <v>0</v>
      </c>
      <c r="D272" s="16"/>
      <c r="E272" s="16"/>
    </row>
    <row r="273" spans="1:5" x14ac:dyDescent="0.25">
      <c r="A273" s="16" t="s">
        <v>432</v>
      </c>
      <c r="B273" s="35" t="s">
        <v>299</v>
      </c>
      <c r="C273" s="253">
        <v>7367918.1799999997</v>
      </c>
      <c r="D273" s="16"/>
      <c r="E273" s="16"/>
    </row>
    <row r="274" spans="1:5" x14ac:dyDescent="0.25">
      <c r="A274" s="16" t="s">
        <v>433</v>
      </c>
      <c r="B274" s="35" t="s">
        <v>299</v>
      </c>
      <c r="C274" s="253">
        <v>733976.32000000007</v>
      </c>
      <c r="D274" s="16"/>
      <c r="E274" s="16"/>
    </row>
    <row r="275" spans="1:5" x14ac:dyDescent="0.25">
      <c r="A275" s="16" t="s">
        <v>434</v>
      </c>
      <c r="B275" s="35" t="s">
        <v>299</v>
      </c>
      <c r="C275" s="253">
        <v>0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v>51025426.919999987</v>
      </c>
      <c r="E276" s="16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6" t="s">
        <v>425</v>
      </c>
      <c r="B278" s="35" t="s">
        <v>299</v>
      </c>
      <c r="C278" s="253">
        <v>0</v>
      </c>
      <c r="D278" s="16"/>
      <c r="E278" s="16"/>
    </row>
    <row r="279" spans="1:5" x14ac:dyDescent="0.25">
      <c r="A279" s="16" t="s">
        <v>426</v>
      </c>
      <c r="B279" s="35" t="s">
        <v>299</v>
      </c>
      <c r="C279" s="253">
        <v>0</v>
      </c>
      <c r="D279" s="16"/>
      <c r="E279" s="16"/>
    </row>
    <row r="280" spans="1:5" x14ac:dyDescent="0.25">
      <c r="A280" s="16" t="s">
        <v>437</v>
      </c>
      <c r="B280" s="35" t="s">
        <v>299</v>
      </c>
      <c r="C280" s="253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v>0</v>
      </c>
      <c r="E281" s="16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6" t="s">
        <v>394</v>
      </c>
      <c r="B283" s="35" t="s">
        <v>299</v>
      </c>
      <c r="C283" s="253">
        <v>7206096.9900000002</v>
      </c>
      <c r="D283" s="16"/>
      <c r="E283" s="16"/>
    </row>
    <row r="284" spans="1:5" x14ac:dyDescent="0.25">
      <c r="A284" s="16" t="s">
        <v>395</v>
      </c>
      <c r="B284" s="35" t="s">
        <v>299</v>
      </c>
      <c r="C284" s="253">
        <v>2956304.72</v>
      </c>
      <c r="D284" s="16"/>
      <c r="E284" s="16"/>
    </row>
    <row r="285" spans="1:5" x14ac:dyDescent="0.25">
      <c r="A285" s="16" t="s">
        <v>396</v>
      </c>
      <c r="B285" s="35" t="s">
        <v>299</v>
      </c>
      <c r="C285" s="253">
        <v>55434843.789999999</v>
      </c>
      <c r="D285" s="16"/>
      <c r="E285" s="16"/>
    </row>
    <row r="286" spans="1:5" x14ac:dyDescent="0.25">
      <c r="A286" s="16" t="s">
        <v>440</v>
      </c>
      <c r="B286" s="35" t="s">
        <v>299</v>
      </c>
      <c r="C286" s="253">
        <v>9956436.0500000007</v>
      </c>
      <c r="D286" s="16"/>
      <c r="E286" s="16"/>
    </row>
    <row r="287" spans="1:5" x14ac:dyDescent="0.25">
      <c r="A287" s="16" t="s">
        <v>441</v>
      </c>
      <c r="B287" s="35" t="s">
        <v>299</v>
      </c>
      <c r="C287" s="253">
        <v>23255608.170000002</v>
      </c>
      <c r="D287" s="16"/>
      <c r="E287" s="16"/>
    </row>
    <row r="288" spans="1:5" x14ac:dyDescent="0.25">
      <c r="A288" s="16" t="s">
        <v>442</v>
      </c>
      <c r="B288" s="35" t="s">
        <v>299</v>
      </c>
      <c r="C288" s="253">
        <v>117104326.22999999</v>
      </c>
      <c r="D288" s="16"/>
      <c r="E288" s="16"/>
    </row>
    <row r="289" spans="1:5" x14ac:dyDescent="0.25">
      <c r="A289" s="16" t="s">
        <v>401</v>
      </c>
      <c r="B289" s="35" t="s">
        <v>299</v>
      </c>
      <c r="C289" s="253">
        <v>18482746.960000001</v>
      </c>
      <c r="D289" s="16"/>
      <c r="E289" s="16"/>
    </row>
    <row r="290" spans="1:5" x14ac:dyDescent="0.25">
      <c r="A290" s="16" t="s">
        <v>402</v>
      </c>
      <c r="B290" s="35" t="s">
        <v>299</v>
      </c>
      <c r="C290" s="253">
        <v>8580779.7300000004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v>242977142.63999999</v>
      </c>
      <c r="E291" s="16"/>
    </row>
    <row r="292" spans="1:5" x14ac:dyDescent="0.25">
      <c r="A292" s="16" t="s">
        <v>444</v>
      </c>
      <c r="B292" s="35" t="s">
        <v>299</v>
      </c>
      <c r="C292" s="253">
        <v>172617686.93000001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v>70359455.709999979</v>
      </c>
      <c r="E293" s="16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2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25">
      <c r="A297" s="16" t="s">
        <v>449</v>
      </c>
      <c r="B297" s="35" t="s">
        <v>299</v>
      </c>
      <c r="C297" s="253">
        <v>7961118.7400000002</v>
      </c>
      <c r="D297" s="16"/>
      <c r="E297" s="16"/>
    </row>
    <row r="298" spans="1:5" x14ac:dyDescent="0.25">
      <c r="A298" s="16" t="s">
        <v>437</v>
      </c>
      <c r="B298" s="35" t="s">
        <v>299</v>
      </c>
      <c r="C298" s="253">
        <v>24385029.170000002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v>32346147.910000004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6" t="s">
        <v>452</v>
      </c>
      <c r="B302" s="35" t="s">
        <v>299</v>
      </c>
      <c r="C302" s="253">
        <v>10709300.279999999</v>
      </c>
      <c r="D302" s="16"/>
      <c r="E302" s="16"/>
    </row>
    <row r="303" spans="1:5" x14ac:dyDescent="0.25">
      <c r="A303" s="16" t="s">
        <v>453</v>
      </c>
      <c r="B303" s="35" t="s">
        <v>299</v>
      </c>
      <c r="C303" s="253">
        <v>0</v>
      </c>
      <c r="D303" s="16"/>
      <c r="E303" s="16"/>
    </row>
    <row r="304" spans="1:5" x14ac:dyDescent="0.25">
      <c r="A304" s="16" t="s">
        <v>454</v>
      </c>
      <c r="B304" s="35" t="s">
        <v>299</v>
      </c>
      <c r="C304" s="253">
        <v>0</v>
      </c>
      <c r="D304" s="16"/>
      <c r="E304" s="16"/>
    </row>
    <row r="305" spans="1:6" x14ac:dyDescent="0.25">
      <c r="A305" s="16" t="s">
        <v>455</v>
      </c>
      <c r="B305" s="35" t="s">
        <v>299</v>
      </c>
      <c r="C305" s="253">
        <v>3949491.2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v>14658791.48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v>168389822.01999995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168389822.01999995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6" t="s">
        <v>460</v>
      </c>
      <c r="B314" s="35" t="s">
        <v>299</v>
      </c>
      <c r="C314" s="253">
        <v>0</v>
      </c>
      <c r="D314" s="16"/>
      <c r="E314" s="16"/>
    </row>
    <row r="315" spans="1:6" x14ac:dyDescent="0.25">
      <c r="A315" s="16" t="s">
        <v>461</v>
      </c>
      <c r="B315" s="35" t="s">
        <v>299</v>
      </c>
      <c r="C315" s="253">
        <v>3105778.05</v>
      </c>
      <c r="D315" s="16"/>
      <c r="E315" s="16"/>
    </row>
    <row r="316" spans="1:6" x14ac:dyDescent="0.25">
      <c r="A316" s="16" t="s">
        <v>462</v>
      </c>
      <c r="B316" s="35" t="s">
        <v>299</v>
      </c>
      <c r="C316" s="253">
        <v>12348512.59</v>
      </c>
      <c r="D316" s="16"/>
      <c r="E316" s="16"/>
    </row>
    <row r="317" spans="1:6" x14ac:dyDescent="0.25">
      <c r="A317" s="16" t="s">
        <v>463</v>
      </c>
      <c r="B317" s="35" t="s">
        <v>299</v>
      </c>
      <c r="C317" s="253">
        <v>19422651.140000001</v>
      </c>
      <c r="D317" s="16"/>
      <c r="E317" s="16"/>
    </row>
    <row r="318" spans="1:6" x14ac:dyDescent="0.25">
      <c r="A318" s="16" t="s">
        <v>464</v>
      </c>
      <c r="B318" s="35" t="s">
        <v>299</v>
      </c>
      <c r="C318" s="253">
        <v>0</v>
      </c>
      <c r="D318" s="16"/>
      <c r="E318" s="16"/>
    </row>
    <row r="319" spans="1:6" x14ac:dyDescent="0.25">
      <c r="A319" s="16" t="s">
        <v>465</v>
      </c>
      <c r="B319" s="35" t="s">
        <v>299</v>
      </c>
      <c r="C319" s="253">
        <v>853405.5</v>
      </c>
      <c r="D319" s="16"/>
      <c r="E319" s="16"/>
    </row>
    <row r="320" spans="1:6" x14ac:dyDescent="0.25">
      <c r="A320" s="16" t="s">
        <v>466</v>
      </c>
      <c r="B320" s="35" t="s">
        <v>299</v>
      </c>
      <c r="C320" s="253">
        <v>0</v>
      </c>
      <c r="D320" s="16"/>
      <c r="E320" s="16"/>
    </row>
    <row r="321" spans="1:5" x14ac:dyDescent="0.25">
      <c r="A321" s="16" t="s">
        <v>467</v>
      </c>
      <c r="B321" s="35" t="s">
        <v>299</v>
      </c>
      <c r="C321" s="253">
        <v>0</v>
      </c>
      <c r="D321" s="16"/>
      <c r="E321" s="16"/>
    </row>
    <row r="322" spans="1:5" x14ac:dyDescent="0.25">
      <c r="A322" s="16" t="s">
        <v>468</v>
      </c>
      <c r="B322" s="35" t="s">
        <v>299</v>
      </c>
      <c r="C322" s="253">
        <v>0</v>
      </c>
      <c r="D322" s="16"/>
      <c r="E322" s="16"/>
    </row>
    <row r="323" spans="1:5" x14ac:dyDescent="0.25">
      <c r="A323" s="16" t="s">
        <v>469</v>
      </c>
      <c r="B323" s="35" t="s">
        <v>299</v>
      </c>
      <c r="C323" s="253">
        <v>477502.63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v>36207849.910000004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299</v>
      </c>
      <c r="C326" s="253">
        <v>0</v>
      </c>
      <c r="D326" s="16"/>
      <c r="E326" s="16"/>
    </row>
    <row r="327" spans="1:5" x14ac:dyDescent="0.25">
      <c r="A327" s="16" t="s">
        <v>473</v>
      </c>
      <c r="B327" s="35" t="s">
        <v>299</v>
      </c>
      <c r="C327" s="253">
        <v>0</v>
      </c>
      <c r="D327" s="16"/>
      <c r="E327" s="16"/>
    </row>
    <row r="328" spans="1:5" x14ac:dyDescent="0.25">
      <c r="A328" s="16" t="s">
        <v>474</v>
      </c>
      <c r="B328" s="35" t="s">
        <v>299</v>
      </c>
      <c r="C328" s="253">
        <v>23825731.879999999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v>23825731.879999999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299</v>
      </c>
      <c r="C331" s="253">
        <v>0</v>
      </c>
      <c r="D331" s="16"/>
      <c r="E331" s="16"/>
    </row>
    <row r="332" spans="1:5" x14ac:dyDescent="0.25">
      <c r="A332" s="16" t="s">
        <v>478</v>
      </c>
      <c r="B332" s="35" t="s">
        <v>299</v>
      </c>
      <c r="C332" s="253">
        <v>0</v>
      </c>
      <c r="D332" s="16"/>
      <c r="E332" s="16"/>
    </row>
    <row r="333" spans="1:5" x14ac:dyDescent="0.25">
      <c r="A333" s="16" t="s">
        <v>479</v>
      </c>
      <c r="B333" s="35" t="s">
        <v>299</v>
      </c>
      <c r="C333" s="253">
        <v>0</v>
      </c>
      <c r="D333" s="16"/>
      <c r="E333" s="16"/>
    </row>
    <row r="334" spans="1:5" x14ac:dyDescent="0.25">
      <c r="A334" s="21" t="s">
        <v>480</v>
      </c>
      <c r="B334" s="35" t="s">
        <v>299</v>
      </c>
      <c r="C334" s="253">
        <v>1389842.63</v>
      </c>
      <c r="D334" s="16"/>
      <c r="E334" s="16"/>
    </row>
    <row r="335" spans="1:5" x14ac:dyDescent="0.25">
      <c r="A335" s="16" t="s">
        <v>481</v>
      </c>
      <c r="B335" s="35" t="s">
        <v>299</v>
      </c>
      <c r="C335" s="253">
        <v>0</v>
      </c>
      <c r="D335" s="16"/>
      <c r="E335" s="16"/>
    </row>
    <row r="336" spans="1:5" x14ac:dyDescent="0.25">
      <c r="A336" s="21" t="s">
        <v>482</v>
      </c>
      <c r="B336" s="35" t="s">
        <v>299</v>
      </c>
      <c r="C336" s="253">
        <v>0</v>
      </c>
      <c r="D336" s="16"/>
      <c r="E336" s="16"/>
    </row>
    <row r="337" spans="1:5" x14ac:dyDescent="0.25">
      <c r="A337" s="21" t="s">
        <v>483</v>
      </c>
      <c r="B337" s="35" t="s">
        <v>299</v>
      </c>
      <c r="C337" s="275">
        <v>0</v>
      </c>
      <c r="D337" s="16"/>
      <c r="E337" s="16"/>
    </row>
    <row r="338" spans="1:5" x14ac:dyDescent="0.25">
      <c r="A338" s="16" t="s">
        <v>484</v>
      </c>
      <c r="B338" s="35" t="s">
        <v>299</v>
      </c>
      <c r="C338" s="253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1389842.63</v>
      </c>
      <c r="E339" s="16"/>
    </row>
    <row r="340" spans="1:5" x14ac:dyDescent="0.25">
      <c r="A340" s="16" t="s">
        <v>485</v>
      </c>
      <c r="B340" s="16"/>
      <c r="C340" s="22"/>
      <c r="D340" s="25">
        <v>477502.63</v>
      </c>
      <c r="E340" s="16"/>
    </row>
    <row r="341" spans="1:5" x14ac:dyDescent="0.25">
      <c r="A341" s="16" t="s">
        <v>486</v>
      </c>
      <c r="B341" s="16"/>
      <c r="C341" s="22"/>
      <c r="D341" s="25">
        <v>912339.99999999988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299</v>
      </c>
      <c r="C343" s="257">
        <v>107443900.23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2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2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2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2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v>168389822.02000001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v>168389822.01999995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299</v>
      </c>
      <c r="C358" s="255">
        <v>718387865.96000004</v>
      </c>
      <c r="D358" s="16"/>
      <c r="E358" s="16"/>
    </row>
    <row r="359" spans="1:5" x14ac:dyDescent="0.25">
      <c r="A359" s="16" t="s">
        <v>498</v>
      </c>
      <c r="B359" s="35" t="s">
        <v>299</v>
      </c>
      <c r="C359" s="255">
        <v>1029750557.7800001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v>1748138423.7400002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405</v>
      </c>
      <c r="B362" s="34"/>
      <c r="C362" s="253">
        <v>18124956.449999999</v>
      </c>
      <c r="D362" s="16"/>
      <c r="E362" s="34"/>
    </row>
    <row r="363" spans="1:5" x14ac:dyDescent="0.25">
      <c r="A363" s="16" t="s">
        <v>501</v>
      </c>
      <c r="B363" s="35" t="s">
        <v>299</v>
      </c>
      <c r="C363" s="253">
        <v>1369631932.6299999</v>
      </c>
      <c r="D363" s="16"/>
      <c r="E363" s="16"/>
    </row>
    <row r="364" spans="1:5" x14ac:dyDescent="0.25">
      <c r="A364" s="16" t="s">
        <v>502</v>
      </c>
      <c r="B364" s="35" t="s">
        <v>299</v>
      </c>
      <c r="C364" s="253">
        <v>30640167.760000002</v>
      </c>
      <c r="D364" s="16"/>
      <c r="E364" s="16"/>
    </row>
    <row r="365" spans="1:5" x14ac:dyDescent="0.25">
      <c r="A365" s="16" t="s">
        <v>503</v>
      </c>
      <c r="B365" s="35" t="s">
        <v>299</v>
      </c>
      <c r="C365" s="253">
        <v>11129968.49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v>1429527025.3299999</v>
      </c>
      <c r="E366" s="16"/>
    </row>
    <row r="367" spans="1:5" x14ac:dyDescent="0.25">
      <c r="A367" s="16" t="s">
        <v>504</v>
      </c>
      <c r="B367" s="16"/>
      <c r="C367" s="22"/>
      <c r="D367" s="25">
        <v>318611398.41000032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299</v>
      </c>
      <c r="C370" s="253">
        <v>20788.61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53">
        <v>7342203.080000001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53">
        <v>791041.49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53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53">
        <v>2913833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53">
        <v>0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53">
        <v>3664856.58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53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53">
        <v>93487.16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53">
        <v>949574.33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8">
        <v>377268</v>
      </c>
      <c r="D380" s="25">
        <v>0</v>
      </c>
      <c r="E380" s="204"/>
      <c r="F380" s="47"/>
    </row>
    <row r="381" spans="1:6" x14ac:dyDescent="0.25">
      <c r="A381" s="48" t="s">
        <v>518</v>
      </c>
      <c r="B381" s="35"/>
      <c r="C381" s="35"/>
      <c r="D381" s="25">
        <v>16153052.250000002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53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v>16153052.250000002</v>
      </c>
      <c r="E383" s="16"/>
    </row>
    <row r="384" spans="1:6" x14ac:dyDescent="0.25">
      <c r="A384" s="16" t="s">
        <v>521</v>
      </c>
      <c r="B384" s="16"/>
      <c r="C384" s="22"/>
      <c r="D384" s="25">
        <v>334764450.66000032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299</v>
      </c>
      <c r="C389" s="253">
        <v>143277823.59999999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3">
        <v>31927850.32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3">
        <v>14033692</v>
      </c>
      <c r="D391" s="16"/>
      <c r="E391" s="16"/>
    </row>
    <row r="392" spans="1:5" x14ac:dyDescent="0.25">
      <c r="A392" s="16" t="s">
        <v>524</v>
      </c>
      <c r="B392" s="35" t="s">
        <v>299</v>
      </c>
      <c r="C392" s="253">
        <v>40953313.130000003</v>
      </c>
      <c r="D392" s="16"/>
      <c r="E392" s="16"/>
    </row>
    <row r="393" spans="1:5" x14ac:dyDescent="0.25">
      <c r="A393" s="16" t="s">
        <v>525</v>
      </c>
      <c r="B393" s="35" t="s">
        <v>299</v>
      </c>
      <c r="C393" s="253">
        <v>1744955.74</v>
      </c>
      <c r="D393" s="16"/>
      <c r="E393" s="16"/>
    </row>
    <row r="394" spans="1:5" x14ac:dyDescent="0.25">
      <c r="A394" s="16" t="s">
        <v>526</v>
      </c>
      <c r="B394" s="35" t="s">
        <v>299</v>
      </c>
      <c r="C394" s="253">
        <v>61376335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3">
        <v>13899071.42</v>
      </c>
      <c r="D395" s="16"/>
      <c r="E395" s="16"/>
    </row>
    <row r="396" spans="1:5" x14ac:dyDescent="0.25">
      <c r="A396" s="16" t="s">
        <v>527</v>
      </c>
      <c r="B396" s="35" t="s">
        <v>299</v>
      </c>
      <c r="C396" s="253">
        <v>8387865.2000000002</v>
      </c>
      <c r="D396" s="16"/>
      <c r="E396" s="16"/>
    </row>
    <row r="397" spans="1:5" x14ac:dyDescent="0.25">
      <c r="A397" s="16" t="s">
        <v>528</v>
      </c>
      <c r="B397" s="35" t="s">
        <v>299</v>
      </c>
      <c r="C397" s="253">
        <v>0</v>
      </c>
      <c r="D397" s="16"/>
      <c r="E397" s="16"/>
    </row>
    <row r="398" spans="1:5" x14ac:dyDescent="0.25">
      <c r="A398" s="16" t="s">
        <v>529</v>
      </c>
      <c r="B398" s="35" t="s">
        <v>299</v>
      </c>
      <c r="C398" s="253">
        <v>0</v>
      </c>
      <c r="D398" s="16"/>
      <c r="E398" s="16"/>
    </row>
    <row r="399" spans="1:5" x14ac:dyDescent="0.25">
      <c r="A399" s="16" t="s">
        <v>530</v>
      </c>
      <c r="B399" s="35" t="s">
        <v>299</v>
      </c>
      <c r="C399" s="253">
        <v>-18044.21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3">
        <v>521004.5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3">
        <v>7651763.5099999998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3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3">
        <v>2137092.02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3">
        <v>861526.9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3">
        <v>351291.85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3">
        <v>816740.41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3">
        <v>1833663.53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3">
        <v>6810066.8700000001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3">
        <v>7199.71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3">
        <v>210680.97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3">
        <v>8645852.4900000002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3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8">
        <v>4254561.9399999976</v>
      </c>
      <c r="D414" s="25">
        <v>0</v>
      </c>
      <c r="E414" s="204" t="s">
        <v>1057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v>34101444.699999996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v>349684306.89999998</v>
      </c>
      <c r="E416" s="25"/>
    </row>
    <row r="417" spans="1:13" x14ac:dyDescent="0.25">
      <c r="A417" s="25" t="s">
        <v>535</v>
      </c>
      <c r="B417" s="16"/>
      <c r="C417" s="22"/>
      <c r="D417" s="25">
        <v>-14919856.239999652</v>
      </c>
      <c r="E417" s="25"/>
    </row>
    <row r="418" spans="1:13" x14ac:dyDescent="0.25">
      <c r="A418" s="25" t="s">
        <v>536</v>
      </c>
      <c r="B418" s="16"/>
      <c r="C418" s="258">
        <v>154039.51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53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v>154039.51</v>
      </c>
      <c r="E420" s="25"/>
      <c r="F420" s="11">
        <v>172083.72</v>
      </c>
    </row>
    <row r="421" spans="1:13" x14ac:dyDescent="0.25">
      <c r="A421" s="25" t="s">
        <v>539</v>
      </c>
      <c r="B421" s="16"/>
      <c r="C421" s="22"/>
      <c r="D421" s="25">
        <v>-14765816.729999652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53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299</v>
      </c>
      <c r="C423" s="253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v>-14765816.729999652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201512.72666666665</v>
      </c>
      <c r="E612" s="218">
        <f>SUM(C624:D647)+SUM(C668:D713)</f>
        <v>304442913.18098354</v>
      </c>
      <c r="F612" s="218">
        <f>CE64-(AX64+BD64+BE64+BG64+BJ64+BN64+BP64+BQ64+CB64+CC64+CD64)</f>
        <v>40788137.039999999</v>
      </c>
      <c r="G612" s="216">
        <f>CE91-(AX91+AY91+BD91+BE91+BG91+BJ91+BN91+BP91+BQ91+CB91+CC91+CD91)</f>
        <v>121535</v>
      </c>
      <c r="H612" s="221">
        <f>CE60-(AX60+AY60+AZ60+BD60+BE60+BG60+BJ60+BN60+BO60+BP60+BQ60+BR60+CB60+CC60+CD60)</f>
        <v>1163.9339182692304</v>
      </c>
      <c r="I612" s="216">
        <f>CE92-(AX92+AY92+AZ92+BD92+BE92+BF92+BG92+BJ92+BN92+BO92+BP92+BQ92+BR92+CB92+CC92+CD92)</f>
        <v>56526.356956443196</v>
      </c>
      <c r="J612" s="216">
        <f>CE93-(AX93+AY93+AZ93+BA93+BD93+BE93+BF93+BG93+BJ93+BN93+BO93+BP93+BQ93+BR93+CB93+CC93+CD93)</f>
        <v>1049178.79</v>
      </c>
      <c r="K612" s="216">
        <f>CE89-(AW89+AX89+AY89+AZ89+BA89+BB89+BC89+BD89+BE89+BF89+BG89+BH89+BI89+BJ89+BK89+BL89+BM89+BN89+BO89+BP89+BQ89+BR89+BS89+BT89+BU89+BV89+BW89+BX89+CB89+CC89+CD89)</f>
        <v>1748138423.7400002</v>
      </c>
      <c r="L612" s="222">
        <f>CE94-(AW94+AX94+AY94+AZ94+BA94+BB94+BC94+BD94+BE94+BF94+BG94+BH94+BI94+BJ94+BK94+BL94+BM94+BN94+BO94+BP94+BQ94+BR94+BS94+BT94+BU94+BV94+BW94+BX94+BY94+BZ94+CA94+CB94+CC94+CD94)</f>
        <v>430.30004326923086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9424561.7799999993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6826289.6799999997</v>
      </c>
      <c r="D615" s="216">
        <f>SUM(C614:C615)</f>
        <v>16250851.459999999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>
        <f>AX85</f>
        <v>57931.98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316438.65999999997</v>
      </c>
      <c r="D617" s="216">
        <f>(D615/D612)*BJ90</f>
        <v>0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449514.52</v>
      </c>
      <c r="D618" s="216">
        <f>(D615/D612)*BG90</f>
        <v>0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4520021.5799999991</v>
      </c>
      <c r="D619" s="216">
        <f>(D615/D612)*BN90</f>
        <v>1937397.699016423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19771331.75999999</v>
      </c>
      <c r="D620" s="216">
        <f>(D615/D612)*CC90</f>
        <v>0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1936748.9100000001</v>
      </c>
      <c r="D621" s="216">
        <f>(D615/D612)*BP90</f>
        <v>0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116997.3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>
        <f>BQ85</f>
        <v>0</v>
      </c>
      <c r="D623" s="216">
        <f>(D615/D612)*BQ90</f>
        <v>0</v>
      </c>
      <c r="E623" s="218">
        <f>SUM(C616:D623)</f>
        <v>29106382.409016415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402564.28</v>
      </c>
      <c r="D624" s="216">
        <f>(D615/D612)*BD90</f>
        <v>0</v>
      </c>
      <c r="E624" s="218">
        <f>(E623/E612)*SUM(C624:D624)</f>
        <v>38487.313616411193</v>
      </c>
      <c r="F624" s="218">
        <f>SUM(C624:E624)</f>
        <v>441051.59361641121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3439916.6799999997</v>
      </c>
      <c r="D625" s="216">
        <f>(D615/D612)*AY90</f>
        <v>0</v>
      </c>
      <c r="E625" s="218">
        <f>(E623/E612)*SUM(C625:D625)</f>
        <v>328874.56402610778</v>
      </c>
      <c r="F625" s="218">
        <f>(F624/F612)*AY64</f>
        <v>15118.49172745513</v>
      </c>
      <c r="G625" s="216">
        <f>SUM(C625:F625)</f>
        <v>3783909.7357535628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3876591.9300000006</v>
      </c>
      <c r="D626" s="216">
        <f>(D615/D612)*BR90</f>
        <v>491204.39130673266</v>
      </c>
      <c r="E626" s="218">
        <f>(E623/E612)*SUM(C626:D626)</f>
        <v>417584.85584150522</v>
      </c>
      <c r="F626" s="218">
        <f>(F624/F612)*BR64</f>
        <v>0</v>
      </c>
      <c r="G626" s="216">
        <f>(G625/G612)*BR91</f>
        <v>0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327305.02999999997</v>
      </c>
      <c r="D627" s="216">
        <f>(D615/D612)*BO90</f>
        <v>0</v>
      </c>
      <c r="E627" s="218">
        <f>(E623/E612)*SUM(C627:D627)</f>
        <v>31292.1239257464</v>
      </c>
      <c r="F627" s="218">
        <f>(F624/F612)*BO64</f>
        <v>0</v>
      </c>
      <c r="G627" s="216">
        <f>(G625/G612)*BO91</f>
        <v>0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132738</v>
      </c>
      <c r="D628" s="216">
        <f>(D615/D612)*AZ90</f>
        <v>460317.62692149566</v>
      </c>
      <c r="E628" s="218">
        <f>(E623/E612)*SUM(C628:D628)</f>
        <v>56699.312480742097</v>
      </c>
      <c r="F628" s="218">
        <f>(F624/F612)*AZ64</f>
        <v>0</v>
      </c>
      <c r="G628" s="216">
        <f>(G625/G612)*AZ91</f>
        <v>0</v>
      </c>
      <c r="H628" s="218">
        <f>SUM(C626:G628)</f>
        <v>5793733.270476223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3027281.43</v>
      </c>
      <c r="D629" s="216">
        <f>(D615/D612)*BF90</f>
        <v>50402.683396274493</v>
      </c>
      <c r="E629" s="218">
        <f>(E623/E612)*SUM(C629:D629)</f>
        <v>294243.1794607531</v>
      </c>
      <c r="F629" s="218">
        <f>(F624/F612)*BF64</f>
        <v>2304.671199611571</v>
      </c>
      <c r="G629" s="216">
        <f>(G625/G612)*BF91</f>
        <v>0</v>
      </c>
      <c r="H629" s="218">
        <f>(H628/H612)*BF60</f>
        <v>135672.90886605842</v>
      </c>
      <c r="I629" s="216">
        <f>SUM(C629:H629)</f>
        <v>3509904.872922698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187186.94999999998</v>
      </c>
      <c r="D630" s="216">
        <f>(D615/D612)*BA90</f>
        <v>174111.02952409061</v>
      </c>
      <c r="E630" s="218">
        <f>(E623/E612)*SUM(C630:D630)</f>
        <v>34542.03300630494</v>
      </c>
      <c r="F630" s="218">
        <f>(F624/F612)*BA64</f>
        <v>0.15441295469478866</v>
      </c>
      <c r="G630" s="216">
        <f>(G625/G612)*BA91</f>
        <v>0</v>
      </c>
      <c r="H630" s="218">
        <f>(H628/H612)*BA60</f>
        <v>5046.9260791543993</v>
      </c>
      <c r="I630" s="216">
        <f>(I629/I612)*BA92</f>
        <v>46043.569703956084</v>
      </c>
      <c r="J630" s="216">
        <f>SUM(C630:I630)</f>
        <v>446930.66272646072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0</v>
      </c>
      <c r="D631" s="216">
        <f>(D615/D612)*AW90</f>
        <v>0</v>
      </c>
      <c r="E631" s="218">
        <f>(E623/E612)*SUM(C631:D631)</f>
        <v>0</v>
      </c>
      <c r="F631" s="218">
        <f>(F624/F612)*AW64</f>
        <v>0</v>
      </c>
      <c r="G631" s="216">
        <f>(G625/G612)*AW91</f>
        <v>0</v>
      </c>
      <c r="H631" s="218">
        <f>(H628/H612)*AW60</f>
        <v>0</v>
      </c>
      <c r="I631" s="216">
        <f>(I629/I612)*AW92</f>
        <v>0</v>
      </c>
      <c r="J631" s="216">
        <f>(J630/J612)*AW93</f>
        <v>0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0</v>
      </c>
      <c r="D632" s="216">
        <f>(D615/D612)*BB90</f>
        <v>0</v>
      </c>
      <c r="E632" s="218">
        <f>(E623/E612)*SUM(C632:D632)</f>
        <v>0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0</v>
      </c>
      <c r="J632" s="216">
        <f>(J630/J612)*BB93</f>
        <v>0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456866.34999999992</v>
      </c>
      <c r="D633" s="216">
        <f>(D615/D612)*BC90</f>
        <v>0</v>
      </c>
      <c r="E633" s="218">
        <f>(E623/E612)*SUM(C633:D633)</f>
        <v>43678.884011356095</v>
      </c>
      <c r="F633" s="218">
        <f>(F624/F612)*BC64</f>
        <v>0.90668951338641668</v>
      </c>
      <c r="G633" s="216">
        <f>(G625/G612)*BC91</f>
        <v>0</v>
      </c>
      <c r="H633" s="218">
        <f>(H628/H612)*BC60</f>
        <v>26120.640032119194</v>
      </c>
      <c r="I633" s="216">
        <f>(I629/I612)*BC92</f>
        <v>0</v>
      </c>
      <c r="J633" s="216">
        <f>(J630/J612)*BC93</f>
        <v>0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-10448.810000000005</v>
      </c>
      <c r="D634" s="216">
        <f>(D615/D612)*BI90</f>
        <v>39031.838022074968</v>
      </c>
      <c r="E634" s="218">
        <f>(E623/E612)*SUM(C634:D634)</f>
        <v>2732.6914439409984</v>
      </c>
      <c r="F634" s="218">
        <f>(F624/F612)*BI64</f>
        <v>318.95109555117114</v>
      </c>
      <c r="G634" s="216">
        <f>(G625/G612)*BI91</f>
        <v>0</v>
      </c>
      <c r="H634" s="218">
        <f>(H628/H612)*BI60</f>
        <v>0</v>
      </c>
      <c r="I634" s="216">
        <f>(I629/I612)*BI92</f>
        <v>0</v>
      </c>
      <c r="J634" s="216">
        <f>(J630/J612)*BI93</f>
        <v>0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12984006.030000001</v>
      </c>
      <c r="D635" s="216">
        <f>(D615/D612)*BK90</f>
        <v>0</v>
      </c>
      <c r="E635" s="218">
        <f>(E623/E612)*SUM(C635:D635)</f>
        <v>1241340.9159749197</v>
      </c>
      <c r="F635" s="218">
        <f>(F624/F612)*BK64</f>
        <v>0</v>
      </c>
      <c r="G635" s="216">
        <f>(G625/G612)*BK91</f>
        <v>0</v>
      </c>
      <c r="H635" s="218">
        <f>(H628/H612)*BK60</f>
        <v>0</v>
      </c>
      <c r="I635" s="216">
        <f>(I629/I612)*BK92</f>
        <v>0</v>
      </c>
      <c r="J635" s="216">
        <f>(J630/J612)*BK93</f>
        <v>0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296073.86</v>
      </c>
      <c r="D636" s="216">
        <f>(D615/D612)*BH90</f>
        <v>0</v>
      </c>
      <c r="E636" s="218">
        <f>(E623/E612)*SUM(C636:D636)</f>
        <v>28306.255844262738</v>
      </c>
      <c r="F636" s="218">
        <f>(F624/F612)*BH64</f>
        <v>0</v>
      </c>
      <c r="G636" s="216">
        <f>(G625/G612)*BH91</f>
        <v>0</v>
      </c>
      <c r="H636" s="218">
        <f>(H628/H612)*BH60</f>
        <v>0</v>
      </c>
      <c r="I636" s="216">
        <f>(I629/I612)*BH92</f>
        <v>0</v>
      </c>
      <c r="J636" s="216">
        <f>(J630/J612)*BH93</f>
        <v>0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5192804.72</v>
      </c>
      <c r="D637" s="216">
        <f>(D615/D612)*BL90</f>
        <v>0</v>
      </c>
      <c r="E637" s="218">
        <f>(E623/E612)*SUM(C637:D637)</f>
        <v>496460.10273792868</v>
      </c>
      <c r="F637" s="218">
        <f>(F624/F612)*BL64</f>
        <v>256.35167281508319</v>
      </c>
      <c r="G637" s="216">
        <f>(G625/G612)*BL91</f>
        <v>0</v>
      </c>
      <c r="H637" s="218">
        <f>(H628/H612)*BL60</f>
        <v>9189.6307797132649</v>
      </c>
      <c r="I637" s="216">
        <f>(I629/I612)*BL92</f>
        <v>0</v>
      </c>
      <c r="J637" s="216">
        <f>(J630/J612)*BL93</f>
        <v>0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0</v>
      </c>
      <c r="D638" s="216">
        <f>(D615/D612)*BM90</f>
        <v>0</v>
      </c>
      <c r="E638" s="218">
        <f>(E623/E612)*SUM(C638:D638)</f>
        <v>0</v>
      </c>
      <c r="F638" s="218">
        <f>(F624/F612)*BM64</f>
        <v>0</v>
      </c>
      <c r="G638" s="216">
        <f>(G625/G612)*BM91</f>
        <v>0</v>
      </c>
      <c r="H638" s="218">
        <f>(H628/H612)*BM60</f>
        <v>0</v>
      </c>
      <c r="I638" s="216">
        <f>(I629/I612)*BM92</f>
        <v>0</v>
      </c>
      <c r="J638" s="216">
        <f>(J630/J612)*BM93</f>
        <v>0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56313.71</v>
      </c>
      <c r="D639" s="216">
        <f>(D615/D612)*BS90</f>
        <v>0</v>
      </c>
      <c r="E639" s="218">
        <f>(E623/E612)*SUM(C639:D639)</f>
        <v>5383.8940148232505</v>
      </c>
      <c r="F639" s="218">
        <f>(F624/F612)*BS64</f>
        <v>0</v>
      </c>
      <c r="G639" s="216">
        <f>(G625/G612)*BS91</f>
        <v>0</v>
      </c>
      <c r="H639" s="218">
        <f>(H628/H612)*BS60</f>
        <v>0</v>
      </c>
      <c r="I639" s="216">
        <f>(I629/I612)*BS92</f>
        <v>0</v>
      </c>
      <c r="J639" s="216">
        <f>(J630/J612)*BS93</f>
        <v>0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115097.37</v>
      </c>
      <c r="D640" s="216">
        <f>(D615/D612)*BT90</f>
        <v>0</v>
      </c>
      <c r="E640" s="218">
        <f>(E623/E612)*SUM(C640:D640)</f>
        <v>11003.928554252545</v>
      </c>
      <c r="F640" s="218">
        <f>(F624/F612)*BT64</f>
        <v>0</v>
      </c>
      <c r="G640" s="216">
        <f>(G625/G612)*BT91</f>
        <v>0</v>
      </c>
      <c r="H640" s="218">
        <f>(H628/H612)*BT60</f>
        <v>0</v>
      </c>
      <c r="I640" s="216">
        <f>(I629/I612)*BT92</f>
        <v>0</v>
      </c>
      <c r="J640" s="216">
        <f>(J630/J612)*BT93</f>
        <v>0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27230.3</v>
      </c>
      <c r="D641" s="216">
        <f>(D615/D612)*BU90</f>
        <v>0</v>
      </c>
      <c r="E641" s="218">
        <f>(E623/E612)*SUM(C641:D641)</f>
        <v>2603.3633584404502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0</v>
      </c>
      <c r="J641" s="216">
        <f>(J630/J612)*BU93</f>
        <v>0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59764</v>
      </c>
      <c r="D642" s="216">
        <f>(D615/D612)*BV90</f>
        <v>207255.8341254807</v>
      </c>
      <c r="E642" s="218">
        <f>(E623/E612)*SUM(C642:D642)</f>
        <v>25528.534468556107</v>
      </c>
      <c r="F642" s="218">
        <f>(F624/F612)*BV64</f>
        <v>0</v>
      </c>
      <c r="G642" s="216">
        <f>(G625/G612)*BV91</f>
        <v>0</v>
      </c>
      <c r="H642" s="218">
        <f>(H628/H612)*BV60</f>
        <v>0</v>
      </c>
      <c r="I642" s="216">
        <f>(I629/I612)*BV92</f>
        <v>54808.695756909277</v>
      </c>
      <c r="J642" s="216">
        <f>(J630/J612)*BV93</f>
        <v>0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573974.92999999993</v>
      </c>
      <c r="D643" s="216">
        <f>(D615/D612)*BW90</f>
        <v>0</v>
      </c>
      <c r="E643" s="218">
        <f>(E623/E612)*SUM(C643:D643)</f>
        <v>54875.09507517075</v>
      </c>
      <c r="F643" s="218">
        <f>(F624/F612)*BW64</f>
        <v>0</v>
      </c>
      <c r="G643" s="216">
        <f>(G625/G612)*BW91</f>
        <v>0</v>
      </c>
      <c r="H643" s="218">
        <f>(H628/H612)*BW60</f>
        <v>0</v>
      </c>
      <c r="I643" s="216">
        <f>(I629/I612)*BW92</f>
        <v>0</v>
      </c>
      <c r="J643" s="216">
        <f>(J630/J612)*BW93</f>
        <v>0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2242235.5699999998</v>
      </c>
      <c r="D644" s="216">
        <f>(D615/D612)*BX90</f>
        <v>0</v>
      </c>
      <c r="E644" s="218">
        <f>(E623/E612)*SUM(C644:D644)</f>
        <v>214369.79849395109</v>
      </c>
      <c r="F644" s="218">
        <f>(F624/F612)*BX64</f>
        <v>0</v>
      </c>
      <c r="G644" s="216">
        <f>(G625/G612)*BX91</f>
        <v>0</v>
      </c>
      <c r="H644" s="218">
        <f>(H628/H612)*BX60</f>
        <v>45859.655839651263</v>
      </c>
      <c r="I644" s="216">
        <f>(I629/I612)*BX92</f>
        <v>0</v>
      </c>
      <c r="J644" s="216">
        <f>(J630/J612)*BX93</f>
        <v>0</v>
      </c>
      <c r="K644" s="218">
        <f>SUM(C631:J644)</f>
        <v>24503043.997991439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3636495.5500000003</v>
      </c>
      <c r="D645" s="216">
        <f>(D615/D612)*BY90</f>
        <v>119514.84286924607</v>
      </c>
      <c r="E645" s="218">
        <f>(E623/E612)*SUM(C645:D645)</f>
        <v>359094.82564339414</v>
      </c>
      <c r="F645" s="218">
        <f>(F624/F612)*BY64</f>
        <v>187.18645553483032</v>
      </c>
      <c r="G645" s="216">
        <f>(G625/G612)*BY91</f>
        <v>0</v>
      </c>
      <c r="H645" s="218">
        <f>(H628/H612)*BY60</f>
        <v>122279.54849388974</v>
      </c>
      <c r="I645" s="216">
        <f>(I629/I612)*BY92</f>
        <v>31605.637008458969</v>
      </c>
      <c r="J645" s="216">
        <f>(J630/J612)*BY93</f>
        <v>0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207708.61</v>
      </c>
      <c r="D646" s="216">
        <f>(D615/D612)*BZ90</f>
        <v>0</v>
      </c>
      <c r="E646" s="218">
        <f>(E623/E612)*SUM(C646:D646)</f>
        <v>19858.061956959624</v>
      </c>
      <c r="F646" s="218">
        <f>(F624/F612)*BZ64</f>
        <v>0.88625250467681227</v>
      </c>
      <c r="G646" s="216">
        <f>(G625/G612)*BZ91</f>
        <v>0</v>
      </c>
      <c r="H646" s="218">
        <f>(H628/H612)*BZ60</f>
        <v>8740.7508199864878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1125072.06</v>
      </c>
      <c r="D647" s="216">
        <f>(D615/D612)*CA90</f>
        <v>0</v>
      </c>
      <c r="E647" s="218">
        <f>(E623/E612)*SUM(C647:D647)</f>
        <v>107562.94923703065</v>
      </c>
      <c r="F647" s="218">
        <f>(F624/F612)*CA64</f>
        <v>0</v>
      </c>
      <c r="G647" s="216">
        <f>(G625/G612)*CA91</f>
        <v>0</v>
      </c>
      <c r="H647" s="218">
        <f>(H628/H612)*CA60</f>
        <v>25284.407562495446</v>
      </c>
      <c r="I647" s="216">
        <f>(I629/I612)*CA92</f>
        <v>0</v>
      </c>
      <c r="J647" s="216">
        <f>(J630/J612)*CA93</f>
        <v>0</v>
      </c>
      <c r="K647" s="218">
        <v>0</v>
      </c>
      <c r="L647" s="218">
        <f>SUM(C645:K647)</f>
        <v>5763405.3162995018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81776614.719999984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343</v>
      </c>
      <c r="C668" s="216">
        <f>C85</f>
        <v>12485902.199999999</v>
      </c>
      <c r="D668" s="216">
        <f>(D615/D612)*C90</f>
        <v>896119.38863904343</v>
      </c>
      <c r="E668" s="218">
        <f>(E623/E612)*SUM(C668:D668)</f>
        <v>1279393.3473271299</v>
      </c>
      <c r="F668" s="218">
        <f>(F624/F612)*C64</f>
        <v>6553.0857524525845</v>
      </c>
      <c r="G668" s="216">
        <f>(G625/G612)*C91</f>
        <v>352284.84518905304</v>
      </c>
      <c r="H668" s="218">
        <f>(H628/H612)*C60</f>
        <v>261242.77594302839</v>
      </c>
      <c r="I668" s="216">
        <f>(I629/I612)*C92</f>
        <v>236978.29854115791</v>
      </c>
      <c r="J668" s="216">
        <f>(J630/J612)*C93</f>
        <v>0</v>
      </c>
      <c r="K668" s="216">
        <f>(K644/K612)*C89</f>
        <v>529678.97222534078</v>
      </c>
      <c r="L668" s="216">
        <f>(L647/L612)*C94</f>
        <v>603092.64394427428</v>
      </c>
      <c r="M668" s="202">
        <f t="shared" ref="M668:M713" si="0">ROUND(SUM(D668:L668),0)</f>
        <v>4165343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344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>
        <f>(K644/K612)*D89</f>
        <v>0</v>
      </c>
      <c r="L669" s="216">
        <f>(L647/L612)*D94</f>
        <v>0</v>
      </c>
      <c r="M669" s="202">
        <f t="shared" si="0"/>
        <v>0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39130406.719999991</v>
      </c>
      <c r="D670" s="216">
        <f>(D615/D612)*E90</f>
        <v>3944355.9397773109</v>
      </c>
      <c r="E670" s="218">
        <f>(E623/E612)*SUM(C670:D670)</f>
        <v>4118179.3363269269</v>
      </c>
      <c r="F670" s="218">
        <f>(F624/F612)*E64</f>
        <v>18558.012503275011</v>
      </c>
      <c r="G670" s="216">
        <f>(G625/G612)*E91</f>
        <v>1648935.9231906873</v>
      </c>
      <c r="H670" s="218">
        <f>(H628/H612)*E60</f>
        <v>1135123.3440901733</v>
      </c>
      <c r="I670" s="216">
        <f>(I629/I612)*E92</f>
        <v>1043082.8428662028</v>
      </c>
      <c r="J670" s="216">
        <f>(J630/J612)*E93</f>
        <v>143645.50301038168</v>
      </c>
      <c r="K670" s="216">
        <f>(K644/K612)*E89</f>
        <v>2237638.3847939004</v>
      </c>
      <c r="L670" s="216">
        <f>(L647/L612)*E94</f>
        <v>1966368.9351028397</v>
      </c>
      <c r="M670" s="202">
        <f t="shared" si="0"/>
        <v>16255888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>
        <f>(G625/G612)*F91</f>
        <v>0</v>
      </c>
      <c r="H671" s="218">
        <f>(H628/H612)*F60</f>
        <v>0</v>
      </c>
      <c r="I671" s="216">
        <f>(I629/I612)*F92</f>
        <v>0</v>
      </c>
      <c r="J671" s="216">
        <f>(J630/J612)*F93</f>
        <v>0</v>
      </c>
      <c r="K671" s="216">
        <f>(K644/K612)*F89</f>
        <v>0</v>
      </c>
      <c r="L671" s="216">
        <f>(L647/L612)*F94</f>
        <v>0</v>
      </c>
      <c r="M671" s="202">
        <f t="shared" si="0"/>
        <v>0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>
        <f>(K644/K612)*G89</f>
        <v>0</v>
      </c>
      <c r="L672" s="216">
        <f>(L647/L612)*G94</f>
        <v>0</v>
      </c>
      <c r="M672" s="202">
        <f t="shared" si="0"/>
        <v>0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0</v>
      </c>
      <c r="D673" s="216">
        <f>(D615/D612)*H90</f>
        <v>0</v>
      </c>
      <c r="E673" s="218">
        <f>(E623/E612)*SUM(C673:D673)</f>
        <v>0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0</v>
      </c>
      <c r="K673" s="216">
        <f>(K644/K612)*H89</f>
        <v>0</v>
      </c>
      <c r="L673" s="216">
        <f>(L647/L612)*H94</f>
        <v>0</v>
      </c>
      <c r="M673" s="202">
        <f t="shared" si="0"/>
        <v>0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>
        <f>(L647/L612)*I94</f>
        <v>0</v>
      </c>
      <c r="M674" s="202">
        <f t="shared" si="0"/>
        <v>0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>
        <f>(G625/G612)*J91</f>
        <v>0</v>
      </c>
      <c r="H675" s="218">
        <f>(H628/H612)*J60</f>
        <v>0</v>
      </c>
      <c r="I675" s="216">
        <f>(I629/I612)*J92</f>
        <v>0</v>
      </c>
      <c r="J675" s="216">
        <f>(J630/J612)*J93</f>
        <v>0</v>
      </c>
      <c r="K675" s="216">
        <f>(K644/K612)*J89</f>
        <v>0</v>
      </c>
      <c r="L675" s="216">
        <f>(L647/L612)*J94</f>
        <v>0</v>
      </c>
      <c r="M675" s="202">
        <f t="shared" si="0"/>
        <v>0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349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>
        <f>(K644/K612)*K89</f>
        <v>0</v>
      </c>
      <c r="L676" s="216">
        <f>(L647/L612)*K94</f>
        <v>0</v>
      </c>
      <c r="M676" s="202">
        <f t="shared" si="0"/>
        <v>0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350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>
        <f>(L647/L612)*L94</f>
        <v>0</v>
      </c>
      <c r="M677" s="202">
        <f t="shared" si="0"/>
        <v>0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>
        <f>(K644/K612)*M89</f>
        <v>0</v>
      </c>
      <c r="L678" s="216">
        <f>(L647/L612)*M94</f>
        <v>0</v>
      </c>
      <c r="M678" s="202">
        <f t="shared" si="0"/>
        <v>0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>
        <f>(G625/G612)*N91</f>
        <v>0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>
        <f>(K644/K612)*N89</f>
        <v>0</v>
      </c>
      <c r="L679" s="216">
        <f>(L647/L612)*N94</f>
        <v>0</v>
      </c>
      <c r="M679" s="202">
        <f t="shared" si="0"/>
        <v>0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11046187.960000001</v>
      </c>
      <c r="D680" s="216">
        <f>(D615/D612)*O90</f>
        <v>343060.82426840271</v>
      </c>
      <c r="E680" s="218">
        <f>(E623/E612)*SUM(C680:D680)</f>
        <v>1088873.5329807899</v>
      </c>
      <c r="F680" s="218">
        <f>(F624/F612)*O64</f>
        <v>8628.6367823622095</v>
      </c>
      <c r="G680" s="216">
        <f>(G625/G612)*O91</f>
        <v>196644.37315192746</v>
      </c>
      <c r="H680" s="218">
        <f>(H628/H612)*O60</f>
        <v>218510.10735814593</v>
      </c>
      <c r="I680" s="216">
        <f>(I629/I612)*O92</f>
        <v>90722.253599179792</v>
      </c>
      <c r="J680" s="216">
        <f>(J630/J612)*O93</f>
        <v>47536.867489417702</v>
      </c>
      <c r="K680" s="216">
        <f>(K644/K612)*O89</f>
        <v>827255.07913979073</v>
      </c>
      <c r="L680" s="216">
        <f>(L647/L612)*O94</f>
        <v>468215.20312185516</v>
      </c>
      <c r="M680" s="202">
        <f t="shared" si="0"/>
        <v>3289447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46023225.910000019</v>
      </c>
      <c r="D681" s="216">
        <f>(D615/D612)*P90</f>
        <v>1900802.9315419246</v>
      </c>
      <c r="E681" s="218">
        <f>(E623/E612)*SUM(C681:D681)</f>
        <v>4581795.3043085691</v>
      </c>
      <c r="F681" s="218">
        <f>(F624/F612)*P64</f>
        <v>226941.9527640545</v>
      </c>
      <c r="G681" s="216">
        <f>(G625/G612)*P91</f>
        <v>883187.29151373112</v>
      </c>
      <c r="H681" s="218">
        <f>(H628/H612)*P60</f>
        <v>473423.02254371351</v>
      </c>
      <c r="I681" s="216">
        <f>(I629/I612)*P92</f>
        <v>502666.33027877839</v>
      </c>
      <c r="J681" s="216">
        <f>(J630/J612)*P93</f>
        <v>112507.80808328676</v>
      </c>
      <c r="K681" s="216">
        <f>(K644/K612)*P89</f>
        <v>7430904.871084122</v>
      </c>
      <c r="L681" s="216">
        <f>(L647/L612)*P94</f>
        <v>679162.39496349997</v>
      </c>
      <c r="M681" s="202">
        <f t="shared" si="0"/>
        <v>16791392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5225407.7099999981</v>
      </c>
      <c r="D682" s="216">
        <f>(D615/D612)*Q90</f>
        <v>99837.635271340507</v>
      </c>
      <c r="E682" s="218">
        <f>(E623/E612)*SUM(C682:D682)</f>
        <v>509122.13991711312</v>
      </c>
      <c r="F682" s="218">
        <f>(F624/F612)*Q64</f>
        <v>2455.3402889489385</v>
      </c>
      <c r="G682" s="216">
        <f>(G625/G612)*Q91</f>
        <v>0</v>
      </c>
      <c r="H682" s="218">
        <f>(H628/H612)*Q60</f>
        <v>130170.54564271464</v>
      </c>
      <c r="I682" s="216">
        <f>(I629/I612)*Q92</f>
        <v>26402.009862666804</v>
      </c>
      <c r="J682" s="216">
        <f>(J630/J612)*Q93</f>
        <v>2544.7831384215128</v>
      </c>
      <c r="K682" s="216">
        <f>(K644/K612)*Q89</f>
        <v>384211.33266868169</v>
      </c>
      <c r="L682" s="216">
        <f>(L647/L612)*Q94</f>
        <v>286578.2275138913</v>
      </c>
      <c r="M682" s="202">
        <f t="shared" si="0"/>
        <v>1441322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0</v>
      </c>
      <c r="D683" s="216">
        <f>(D615/D612)*R90</f>
        <v>0</v>
      </c>
      <c r="E683" s="218">
        <f>(E623/E612)*SUM(C683:D683)</f>
        <v>0</v>
      </c>
      <c r="F683" s="218">
        <f>(F624/F612)*R64</f>
        <v>0</v>
      </c>
      <c r="G683" s="216">
        <f>(G625/G612)*R91</f>
        <v>0</v>
      </c>
      <c r="H683" s="218">
        <f>(H628/H612)*R60</f>
        <v>0</v>
      </c>
      <c r="I683" s="216">
        <f>(I629/I612)*R92</f>
        <v>0</v>
      </c>
      <c r="J683" s="216">
        <f>(J630/J612)*R93</f>
        <v>0</v>
      </c>
      <c r="K683" s="216">
        <f>(K644/K612)*R89</f>
        <v>0</v>
      </c>
      <c r="L683" s="216">
        <f>(L647/L612)*R94</f>
        <v>0</v>
      </c>
      <c r="M683" s="202">
        <f t="shared" si="0"/>
        <v>0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900347.72000000009</v>
      </c>
      <c r="D684" s="216">
        <f>(D615/D612)*S90</f>
        <v>449350.00301446632</v>
      </c>
      <c r="E684" s="218">
        <f>(E623/E612)*SUM(C684:D684)</f>
        <v>129038.37258738867</v>
      </c>
      <c r="F684" s="218">
        <f>(F624/F612)*S64</f>
        <v>-2506.5317517968606</v>
      </c>
      <c r="G684" s="216">
        <f>(G625/G612)*S91</f>
        <v>0</v>
      </c>
      <c r="H684" s="218">
        <f>(H628/H612)*S60</f>
        <v>68969.567018897069</v>
      </c>
      <c r="I684" s="216">
        <f>(I629/I612)*S92</f>
        <v>118830.37072276205</v>
      </c>
      <c r="J684" s="216">
        <f>(J630/J612)*S93</f>
        <v>0</v>
      </c>
      <c r="K684" s="216">
        <f>(K644/K612)*S89</f>
        <v>0</v>
      </c>
      <c r="L684" s="216">
        <f>(L647/L612)*S94</f>
        <v>28.977235599711907</v>
      </c>
      <c r="M684" s="202">
        <f t="shared" si="0"/>
        <v>763711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1675490.24</v>
      </c>
      <c r="D685" s="216">
        <f>(D615/D612)*T90</f>
        <v>0</v>
      </c>
      <c r="E685" s="218">
        <f>(E623/E612)*SUM(C685:D685)</f>
        <v>160185.89212166579</v>
      </c>
      <c r="F685" s="218">
        <f>(F624/F612)*T64</f>
        <v>4250.998807185726</v>
      </c>
      <c r="G685" s="216">
        <f>(G625/G612)*T91</f>
        <v>0</v>
      </c>
      <c r="H685" s="218">
        <f>(H628/H612)*T60</f>
        <v>25697.605908960362</v>
      </c>
      <c r="I685" s="216">
        <f>(I629/I612)*T92</f>
        <v>0</v>
      </c>
      <c r="J685" s="216">
        <f>(J630/J612)*T93</f>
        <v>0</v>
      </c>
      <c r="K685" s="216">
        <f>(K644/K612)*T89</f>
        <v>100254.36696048941</v>
      </c>
      <c r="L685" s="216">
        <f>(L647/L612)*T94</f>
        <v>63166.445582101776</v>
      </c>
      <c r="M685" s="202">
        <f t="shared" si="0"/>
        <v>353555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7424492.0199999996</v>
      </c>
      <c r="D686" s="216">
        <f>(D615/D612)*U90</f>
        <v>541203.85323583696</v>
      </c>
      <c r="E686" s="218">
        <f>(E623/E612)*SUM(C686:D686)</f>
        <v>761563.43341287028</v>
      </c>
      <c r="F686" s="218">
        <f>(F624/F612)*U64</f>
        <v>23112.065116543861</v>
      </c>
      <c r="G686" s="216">
        <f>(G625/G612)*U91</f>
        <v>0</v>
      </c>
      <c r="H686" s="218">
        <f>(H628/H612)*U60</f>
        <v>131447.90432109477</v>
      </c>
      <c r="I686" s="216">
        <f>(I629/I612)*U92</f>
        <v>143121.07285004598</v>
      </c>
      <c r="J686" s="216">
        <f>(J630/J612)*U93</f>
        <v>0</v>
      </c>
      <c r="K686" s="216">
        <f>(K644/K612)*U89</f>
        <v>1238185.5933443673</v>
      </c>
      <c r="L686" s="216">
        <f>(L647/L612)*U94</f>
        <v>0</v>
      </c>
      <c r="M686" s="202">
        <f t="shared" si="0"/>
        <v>2838634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1220726.6099999999</v>
      </c>
      <c r="D687" s="216">
        <f>(D615/D612)*V90</f>
        <v>0</v>
      </c>
      <c r="E687" s="218">
        <f>(E623/E612)*SUM(C687:D687)</f>
        <v>116708.03946879855</v>
      </c>
      <c r="F687" s="218">
        <f>(F624/F612)*V64</f>
        <v>1798.8279847039162</v>
      </c>
      <c r="G687" s="216">
        <f>(G625/G612)*V91</f>
        <v>0</v>
      </c>
      <c r="H687" s="218">
        <f>(H628/H612)*V60</f>
        <v>29249.302479998914</v>
      </c>
      <c r="I687" s="216">
        <f>(I629/I612)*V92</f>
        <v>0</v>
      </c>
      <c r="J687" s="216">
        <f>(J630/J612)*V93</f>
        <v>0</v>
      </c>
      <c r="K687" s="216">
        <f>(K644/K612)*V89</f>
        <v>288978.46496166004</v>
      </c>
      <c r="L687" s="216">
        <f>(L647/L612)*V94</f>
        <v>14031.485809806276</v>
      </c>
      <c r="M687" s="202">
        <f t="shared" si="0"/>
        <v>450766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830380.49</v>
      </c>
      <c r="D688" s="216">
        <f>(D615/D612)*W90</f>
        <v>0</v>
      </c>
      <c r="E688" s="218">
        <f>(E623/E612)*SUM(C688:D688)</f>
        <v>79388.847762596313</v>
      </c>
      <c r="F688" s="218">
        <f>(F624/F612)*W64</f>
        <v>348.31291352456344</v>
      </c>
      <c r="G688" s="216">
        <f>(G625/G612)*W91</f>
        <v>0</v>
      </c>
      <c r="H688" s="218">
        <f>(H628/H612)*W60</f>
        <v>15918.833643478925</v>
      </c>
      <c r="I688" s="216">
        <f>(I629/I612)*W92</f>
        <v>0</v>
      </c>
      <c r="J688" s="216">
        <f>(J630/J612)*W93</f>
        <v>0</v>
      </c>
      <c r="K688" s="216">
        <f>(K644/K612)*W89</f>
        <v>297515.89292896062</v>
      </c>
      <c r="L688" s="216">
        <f>(L647/L612)*W94</f>
        <v>0</v>
      </c>
      <c r="M688" s="202">
        <f t="shared" si="0"/>
        <v>393172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1857436.1899999997</v>
      </c>
      <c r="D689" s="216">
        <f>(D615/D612)*X90</f>
        <v>63467.058932588836</v>
      </c>
      <c r="E689" s="218">
        <f>(E623/E612)*SUM(C689:D689)</f>
        <v>183648.69771468974</v>
      </c>
      <c r="F689" s="218">
        <f>(F624/F612)*X64</f>
        <v>2526.1267341211651</v>
      </c>
      <c r="G689" s="216">
        <f>(G625/G612)*X91</f>
        <v>0</v>
      </c>
      <c r="H689" s="218">
        <f>(H628/H612)*X60</f>
        <v>30359.620473893654</v>
      </c>
      <c r="I689" s="216">
        <f>(I629/I612)*X92</f>
        <v>16783.830179255878</v>
      </c>
      <c r="J689" s="216">
        <f>(J630/J612)*X93</f>
        <v>0</v>
      </c>
      <c r="K689" s="216">
        <f>(K644/K612)*X89</f>
        <v>2166297.4360845652</v>
      </c>
      <c r="L689" s="216">
        <f>(L647/L612)*X94</f>
        <v>309.7988454893644</v>
      </c>
      <c r="M689" s="202">
        <f t="shared" si="0"/>
        <v>2463393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6972436.7100000009</v>
      </c>
      <c r="D690" s="216">
        <f>(D615/D612)*Y90</f>
        <v>1983702.8458633141</v>
      </c>
      <c r="E690" s="218">
        <f>(E623/E612)*SUM(C690:D690)</f>
        <v>856255.18458532158</v>
      </c>
      <c r="F690" s="218">
        <f>(F624/F612)*Y64</f>
        <v>2263.0889154884048</v>
      </c>
      <c r="G690" s="216">
        <f>(G625/G612)*Y91</f>
        <v>778.35803179198649</v>
      </c>
      <c r="H690" s="218">
        <f>(H628/H612)*Y60</f>
        <v>157515.75183889095</v>
      </c>
      <c r="I690" s="216">
        <f>(I629/I612)*Y92</f>
        <v>524589.16879131936</v>
      </c>
      <c r="J690" s="216">
        <f>(J630/J612)*Y93</f>
        <v>23703.803844833677</v>
      </c>
      <c r="K690" s="216">
        <f>(K644/K612)*Y89</f>
        <v>763866.36915773677</v>
      </c>
      <c r="L690" s="216">
        <f>(L647/L612)*Y94</f>
        <v>71.348393432179535</v>
      </c>
      <c r="M690" s="202">
        <f t="shared" si="0"/>
        <v>4312746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3289960.45</v>
      </c>
      <c r="D691" s="216">
        <f>(D615/D612)*Z90</f>
        <v>0</v>
      </c>
      <c r="E691" s="218">
        <f>(E623/E612)*SUM(C691:D691)</f>
        <v>314537.94068549573</v>
      </c>
      <c r="F691" s="218">
        <f>(F624/F612)*Z64</f>
        <v>311.13269619805351</v>
      </c>
      <c r="G691" s="216">
        <f>(G625/G612)*Z91</f>
        <v>0</v>
      </c>
      <c r="H691" s="218">
        <f>(H628/H612)*Z60</f>
        <v>26740.317895165801</v>
      </c>
      <c r="I691" s="216">
        <f>(I629/I612)*Z92</f>
        <v>0</v>
      </c>
      <c r="J691" s="216">
        <f>(J630/J612)*Z93</f>
        <v>0</v>
      </c>
      <c r="K691" s="216">
        <f>(K644/K612)*Z89</f>
        <v>418869.32259856758</v>
      </c>
      <c r="L691" s="216">
        <f>(L647/L612)*Z94</f>
        <v>18287.468993121292</v>
      </c>
      <c r="M691" s="202">
        <f t="shared" si="0"/>
        <v>778746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1115651.5299999998</v>
      </c>
      <c r="D692" s="216">
        <f>(D615/D612)*AA90</f>
        <v>63547.703226022881</v>
      </c>
      <c r="E692" s="218">
        <f>(E623/E612)*SUM(C692:D692)</f>
        <v>112737.79855828625</v>
      </c>
      <c r="F692" s="218">
        <f>(F624/F612)*AA64</f>
        <v>1713.4846583174271</v>
      </c>
      <c r="G692" s="216">
        <f>(G625/G612)*AA91</f>
        <v>0</v>
      </c>
      <c r="H692" s="218">
        <f>(H628/H612)*AA60</f>
        <v>11854.863019131664</v>
      </c>
      <c r="I692" s="216">
        <f>(I629/I612)*AA92</f>
        <v>16805.156520017321</v>
      </c>
      <c r="J692" s="216">
        <f>(J630/J612)*AA93</f>
        <v>0</v>
      </c>
      <c r="K692" s="216">
        <f>(K644/K612)*AA89</f>
        <v>137665.52489501427</v>
      </c>
      <c r="L692" s="216">
        <f>(L647/L612)*AA94</f>
        <v>0</v>
      </c>
      <c r="M692" s="202">
        <f t="shared" si="0"/>
        <v>344325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9813576.9399999976</v>
      </c>
      <c r="D693" s="216">
        <f>(D615/D612)*AB90</f>
        <v>299996.77157462575</v>
      </c>
      <c r="E693" s="218">
        <f>(E623/E612)*SUM(C693:D693)</f>
        <v>966912.12449366914</v>
      </c>
      <c r="F693" s="218">
        <f>(F624/F612)*AB64</f>
        <v>69047.35099561463</v>
      </c>
      <c r="G693" s="216">
        <f>(G625/G612)*AB91</f>
        <v>0</v>
      </c>
      <c r="H693" s="218">
        <f>(H628/H612)*AB60</f>
        <v>119214.6869722046</v>
      </c>
      <c r="I693" s="216">
        <f>(I629/I612)*AB92</f>
        <v>79333.987632569071</v>
      </c>
      <c r="J693" s="216">
        <f>(J630/J612)*AB93</f>
        <v>0</v>
      </c>
      <c r="K693" s="216">
        <f>(K644/K612)*AB89</f>
        <v>2238668.3726502215</v>
      </c>
      <c r="L693" s="216">
        <f>(L647/L612)*AB94</f>
        <v>0</v>
      </c>
      <c r="M693" s="202">
        <f t="shared" si="0"/>
        <v>3773173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2330178.52</v>
      </c>
      <c r="D694" s="216">
        <f>(D615/D612)*AC90</f>
        <v>95563.487719336437</v>
      </c>
      <c r="E694" s="218">
        <f>(E623/E612)*SUM(C694:D694)</f>
        <v>231914.00241371899</v>
      </c>
      <c r="F694" s="218">
        <f>(F624/F612)*AC64</f>
        <v>4045.5059821985092</v>
      </c>
      <c r="G694" s="216">
        <f>(G625/G612)*AC91</f>
        <v>0</v>
      </c>
      <c r="H694" s="218">
        <f>(H628/H612)*AC60</f>
        <v>63893.181472321237</v>
      </c>
      <c r="I694" s="216">
        <f>(I629/I612)*AC92</f>
        <v>25271.713802310307</v>
      </c>
      <c r="J694" s="216">
        <f>(J630/J612)*AC93</f>
        <v>0</v>
      </c>
      <c r="K694" s="216">
        <f>(K644/K612)*AC89</f>
        <v>511531.39503332943</v>
      </c>
      <c r="L694" s="216">
        <f>(L647/L612)*AC94</f>
        <v>0</v>
      </c>
      <c r="M694" s="202">
        <f t="shared" si="0"/>
        <v>932219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874163.35</v>
      </c>
      <c r="D695" s="216">
        <f>(D615/D612)*AD90</f>
        <v>0</v>
      </c>
      <c r="E695" s="218">
        <f>(E623/E612)*SUM(C695:D695)</f>
        <v>83574.725018878031</v>
      </c>
      <c r="F695" s="218">
        <f>(F624/F612)*AD64</f>
        <v>8.2420617876373825</v>
      </c>
      <c r="G695" s="216">
        <f>(G625/G612)*AD91</f>
        <v>0</v>
      </c>
      <c r="H695" s="218">
        <f>(H628/H612)*AD60</f>
        <v>0</v>
      </c>
      <c r="I695" s="216">
        <f>(I629/I612)*AD92</f>
        <v>0</v>
      </c>
      <c r="J695" s="216">
        <f>(J630/J612)*AD93</f>
        <v>0</v>
      </c>
      <c r="K695" s="216">
        <f>(K644/K612)*AD89</f>
        <v>52842.460345700951</v>
      </c>
      <c r="L695" s="216">
        <f>(L647/L612)*AD94</f>
        <v>0</v>
      </c>
      <c r="M695" s="202">
        <f t="shared" si="0"/>
        <v>136425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3168311.9700000007</v>
      </c>
      <c r="D696" s="216">
        <f>(D615/D612)*AE90</f>
        <v>794922.09058040497</v>
      </c>
      <c r="E696" s="218">
        <f>(E623/E612)*SUM(C696:D696)</f>
        <v>378906.52450535569</v>
      </c>
      <c r="F696" s="218">
        <f>(F624/F612)*AE64</f>
        <v>237.73236842510028</v>
      </c>
      <c r="G696" s="216">
        <f>(G625/G612)*AE91</f>
        <v>0</v>
      </c>
      <c r="H696" s="218">
        <f>(H628/H612)*AE60</f>
        <v>82697.272004668252</v>
      </c>
      <c r="I696" s="216">
        <f>(I629/I612)*AE92</f>
        <v>210216.7265732532</v>
      </c>
      <c r="J696" s="216">
        <f>(J630/J612)*AE93</f>
        <v>0</v>
      </c>
      <c r="K696" s="216">
        <f>(K644/K612)*AE89</f>
        <v>185047.80101306623</v>
      </c>
      <c r="L696" s="216">
        <f>(L647/L612)*AE94</f>
        <v>0</v>
      </c>
      <c r="M696" s="202">
        <f t="shared" si="0"/>
        <v>1652028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0</v>
      </c>
      <c r="D697" s="216">
        <f>(D615/D612)*AF90</f>
        <v>0</v>
      </c>
      <c r="E697" s="218">
        <f>(E623/E612)*SUM(C697:D697)</f>
        <v>0</v>
      </c>
      <c r="F697" s="218">
        <f>(F624/F612)*AF64</f>
        <v>0</v>
      </c>
      <c r="G697" s="216">
        <f>(G625/G612)*AF91</f>
        <v>0</v>
      </c>
      <c r="H697" s="218">
        <f>(H628/H612)*AF60</f>
        <v>0</v>
      </c>
      <c r="I697" s="216">
        <f>(I629/I612)*AF92</f>
        <v>0</v>
      </c>
      <c r="J697" s="216">
        <f>(J630/J612)*AF93</f>
        <v>0</v>
      </c>
      <c r="K697" s="216">
        <f>(K644/K612)*AF89</f>
        <v>0</v>
      </c>
      <c r="L697" s="216">
        <f>(L647/L612)*AF94</f>
        <v>0</v>
      </c>
      <c r="M697" s="202">
        <f t="shared" si="0"/>
        <v>0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12776941.780000003</v>
      </c>
      <c r="D698" s="216">
        <f>(D615/D612)*AG90</f>
        <v>819910.53134387638</v>
      </c>
      <c r="E698" s="218">
        <f>(E623/E612)*SUM(C698:D698)</f>
        <v>1299932.3216225673</v>
      </c>
      <c r="F698" s="218">
        <f>(F624/F612)*AG64</f>
        <v>19009.590269707242</v>
      </c>
      <c r="G698" s="216">
        <f>(G625/G612)*AG91</f>
        <v>409478.59336512821</v>
      </c>
      <c r="H698" s="218">
        <f>(H628/H612)*AG60</f>
        <v>335880.21526462468</v>
      </c>
      <c r="I698" s="216">
        <f>(I629/I612)*AG92</f>
        <v>216824.90652159401</v>
      </c>
      <c r="J698" s="216">
        <f>(J630/J612)*AG93</f>
        <v>111598.5763176028</v>
      </c>
      <c r="K698" s="216">
        <f>(K644/K612)*AG89</f>
        <v>2708597.0245531993</v>
      </c>
      <c r="L698" s="216">
        <f>(L647/L612)*AG94</f>
        <v>591491.18911185989</v>
      </c>
      <c r="M698" s="202">
        <f t="shared" si="0"/>
        <v>6512723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>
        <f>(L647/L612)*AH94</f>
        <v>0</v>
      </c>
      <c r="M699" s="202">
        <f t="shared" si="0"/>
        <v>0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>
        <f>(J630/J612)*AI93</f>
        <v>0</v>
      </c>
      <c r="K700" s="216">
        <f>(K644/K612)*AI89</f>
        <v>0</v>
      </c>
      <c r="L700" s="216">
        <f>(L647/L612)*AI94</f>
        <v>0</v>
      </c>
      <c r="M700" s="202">
        <f t="shared" si="0"/>
        <v>0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80590030.080000013</v>
      </c>
      <c r="D701" s="216">
        <f>(D615/D612)*AJ90</f>
        <v>89434.521418349454</v>
      </c>
      <c r="E701" s="218">
        <f>(E623/E612)*SUM(C701:D701)</f>
        <v>7713391.4030299298</v>
      </c>
      <c r="F701" s="218">
        <f>(F624/F612)*AJ64</f>
        <v>33069.176129054329</v>
      </c>
      <c r="G701" s="216">
        <f>(G625/G612)*AJ91</f>
        <v>2926.6261995378691</v>
      </c>
      <c r="H701" s="218">
        <f>(H628/H612)*AJ60</f>
        <v>1982810.2816482245</v>
      </c>
      <c r="I701" s="216">
        <f>(I629/I612)*AJ92</f>
        <v>23650.911904440618</v>
      </c>
      <c r="J701" s="216">
        <f>(J630/J612)*AJ93</f>
        <v>0</v>
      </c>
      <c r="K701" s="216">
        <f>(K644/K612)*AJ89</f>
        <v>1911386.2535979315</v>
      </c>
      <c r="L701" s="216">
        <f>(L647/L612)*AJ94</f>
        <v>582210.10251855652</v>
      </c>
      <c r="M701" s="202">
        <f t="shared" si="0"/>
        <v>12338879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502781.85000000003</v>
      </c>
      <c r="D702" s="216">
        <f>(D615/D612)*AK90</f>
        <v>265964.87974546122</v>
      </c>
      <c r="E702" s="218">
        <f>(E623/E612)*SUM(C702:D702)</f>
        <v>73496.328286513817</v>
      </c>
      <c r="F702" s="218">
        <f>(F624/F612)*AK64</f>
        <v>76.19749465813868</v>
      </c>
      <c r="G702" s="216">
        <f>(G625/G612)*AK91</f>
        <v>0</v>
      </c>
      <c r="H702" s="218">
        <f>(H628/H612)*AK60</f>
        <v>15841.20040845447</v>
      </c>
      <c r="I702" s="216">
        <f>(I629/I612)*AK92</f>
        <v>70334.271831239996</v>
      </c>
      <c r="J702" s="216">
        <f>(J630/J612)*AK93</f>
        <v>4150.7373226319887</v>
      </c>
      <c r="K702" s="216">
        <f>(K644/K612)*AK89</f>
        <v>45796.847818970753</v>
      </c>
      <c r="L702" s="216">
        <f>(L647/L612)*AK94</f>
        <v>0</v>
      </c>
      <c r="M702" s="202">
        <f t="shared" si="0"/>
        <v>475660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144094.31</v>
      </c>
      <c r="D703" s="216">
        <f>(D615/D612)*AL90</f>
        <v>55644.562469487035</v>
      </c>
      <c r="E703" s="218">
        <f>(E623/E612)*SUM(C703:D703)</f>
        <v>19096.112119340312</v>
      </c>
      <c r="F703" s="218">
        <f>(F624/F612)*AL64</f>
        <v>0.48118882940602914</v>
      </c>
      <c r="G703" s="216">
        <f>(G625/G612)*AL91</f>
        <v>0</v>
      </c>
      <c r="H703" s="218">
        <f>(H628/H612)*AL60</f>
        <v>5725.5468083740061</v>
      </c>
      <c r="I703" s="216">
        <f>(I629/I612)*AL92</f>
        <v>14715.175125395876</v>
      </c>
      <c r="J703" s="216">
        <f>(J630/J612)*AL93</f>
        <v>0</v>
      </c>
      <c r="K703" s="216">
        <f>(K644/K612)*AL89</f>
        <v>19598.919976931429</v>
      </c>
      <c r="L703" s="216">
        <f>(L647/L612)*AL94</f>
        <v>0</v>
      </c>
      <c r="M703" s="202">
        <f t="shared" si="0"/>
        <v>114781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>
        <f>(L647/L612)*AM94</f>
        <v>0</v>
      </c>
      <c r="M704" s="202">
        <f t="shared" si="0"/>
        <v>0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>
        <f>(L647/L612)*AN94</f>
        <v>0</v>
      </c>
      <c r="M705" s="202">
        <f t="shared" si="0"/>
        <v>0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>
        <f>(K644/K612)*AO89</f>
        <v>0</v>
      </c>
      <c r="L706" s="216">
        <f>(L647/L612)*AO94</f>
        <v>0</v>
      </c>
      <c r="M706" s="202">
        <f t="shared" si="0"/>
        <v>0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0</v>
      </c>
      <c r="D707" s="216">
        <f>(D615/D612)*AP90</f>
        <v>0</v>
      </c>
      <c r="E707" s="218">
        <f>(E623/E612)*SUM(C707:D707)</f>
        <v>0</v>
      </c>
      <c r="F707" s="218">
        <f>(F624/F612)*AP64</f>
        <v>0</v>
      </c>
      <c r="G707" s="216">
        <f>(G625/G612)*AP91</f>
        <v>0</v>
      </c>
      <c r="H707" s="218">
        <f>(H628/H612)*AP60</f>
        <v>0</v>
      </c>
      <c r="I707" s="216">
        <f>(I629/I612)*AP92</f>
        <v>0</v>
      </c>
      <c r="J707" s="216">
        <f>(J630/J612)*AP93</f>
        <v>0</v>
      </c>
      <c r="K707" s="216">
        <f>(K644/K612)*AP89</f>
        <v>0</v>
      </c>
      <c r="L707" s="216">
        <f>(L647/L612)*AP94</f>
        <v>0</v>
      </c>
      <c r="M707" s="202">
        <f t="shared" si="0"/>
        <v>0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>
        <f>(L647/L612)*AQ94</f>
        <v>0</v>
      </c>
      <c r="M708" s="202">
        <f t="shared" si="0"/>
        <v>0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0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>
        <f>(K644/K612)*AR89</f>
        <v>0</v>
      </c>
      <c r="L709" s="216">
        <f>(L647/L612)*AR94</f>
        <v>0</v>
      </c>
      <c r="M709" s="202">
        <f t="shared" si="0"/>
        <v>0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>
        <f>(L647/L612)*AS94</f>
        <v>0</v>
      </c>
      <c r="M710" s="202">
        <f t="shared" si="0"/>
        <v>0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>
        <f>(K644/K612)*AT89</f>
        <v>0</v>
      </c>
      <c r="L711" s="216">
        <f>(L647/L612)*AT94</f>
        <v>0</v>
      </c>
      <c r="M711" s="202">
        <f t="shared" si="0"/>
        <v>0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>
        <f>(L647/L612)*AU94</f>
        <v>0</v>
      </c>
      <c r="M712" s="202">
        <f t="shared" si="0"/>
        <v>0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2374549.6099999989</v>
      </c>
      <c r="D713" s="216">
        <f>(D615/D612)*AV90</f>
        <v>64730.486196388789</v>
      </c>
      <c r="E713" s="218">
        <f>(E623/E612)*SUM(C713:D713)</f>
        <v>233208.31659624656</v>
      </c>
      <c r="F713" s="218">
        <f>(F624/F612)*AV64</f>
        <v>415.18345481631621</v>
      </c>
      <c r="G713" s="216">
        <f>(G625/G612)*AV91</f>
        <v>289673.72511170566</v>
      </c>
      <c r="H713" s="218">
        <f>(H628/H612)*AV60</f>
        <v>93252.855246997322</v>
      </c>
      <c r="I713" s="216">
        <f>(I629/I612)*AV92</f>
        <v>17117.942851185155</v>
      </c>
      <c r="J713" s="216">
        <f>(J630/J612)*AV93</f>
        <v>1242.5835198845932</v>
      </c>
      <c r="K713" s="216">
        <f>(K644/K612)*AV89</f>
        <v>8253.3121588902795</v>
      </c>
      <c r="L713" s="216">
        <f>(L647/L612)*AV94</f>
        <v>490391.09516317333</v>
      </c>
      <c r="M713" s="202">
        <f t="shared" si="0"/>
        <v>1198286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333549295.58999997</v>
      </c>
      <c r="D715" s="202">
        <f>SUM(D616:D647)+SUM(D668:D713)</f>
        <v>16250851.459999999</v>
      </c>
      <c r="E715" s="202">
        <f>SUM(E624:E647)+SUM(E668:E713)</f>
        <v>29106382.409016419</v>
      </c>
      <c r="F715" s="202">
        <f>SUM(F625:F648)+SUM(F668:F713)</f>
        <v>441051.59361641138</v>
      </c>
      <c r="G715" s="202">
        <f>SUM(G626:G647)+SUM(G668:G713)</f>
        <v>3783909.7357535628</v>
      </c>
      <c r="H715" s="202">
        <f>SUM(H629:H647)+SUM(H668:H713)</f>
        <v>5793733.2704762248</v>
      </c>
      <c r="I715" s="202">
        <f>SUM(I630:I647)+SUM(I668:I713)</f>
        <v>3509904.872922699</v>
      </c>
      <c r="J715" s="202">
        <f>SUM(J631:J647)+SUM(J668:J713)</f>
        <v>446930.66272646072</v>
      </c>
      <c r="K715" s="202">
        <f>SUM(K668:K713)</f>
        <v>24503043.997991435</v>
      </c>
      <c r="L715" s="202">
        <f>SUM(L668:L713)</f>
        <v>5763405.3162995009</v>
      </c>
      <c r="M715" s="202">
        <f>SUM(M668:M713)</f>
        <v>81776614</v>
      </c>
      <c r="N715" s="210" t="s">
        <v>697</v>
      </c>
    </row>
    <row r="716" spans="1:14" s="202" customFormat="1" ht="12.6" customHeight="1" x14ac:dyDescent="0.2">
      <c r="C716" s="213">
        <f>CE85</f>
        <v>333549295.58999997</v>
      </c>
      <c r="D716" s="202">
        <f>D615</f>
        <v>16250851.459999999</v>
      </c>
      <c r="E716" s="202">
        <f>E623</f>
        <v>29106382.409016415</v>
      </c>
      <c r="F716" s="202">
        <f>F624</f>
        <v>441051.59361641121</v>
      </c>
      <c r="G716" s="202">
        <f>G625</f>
        <v>3783909.7357535628</v>
      </c>
      <c r="H716" s="202">
        <f>H628</f>
        <v>5793733.270476223</v>
      </c>
      <c r="I716" s="202">
        <f>I629</f>
        <v>3509904.872922698</v>
      </c>
      <c r="J716" s="202">
        <f>J630</f>
        <v>446930.66272646072</v>
      </c>
      <c r="K716" s="202">
        <f>K644</f>
        <v>24503043.997991439</v>
      </c>
      <c r="L716" s="202">
        <f>L647</f>
        <v>5763405.3162995018</v>
      </c>
      <c r="M716" s="202">
        <f>C648</f>
        <v>81776614.719999984</v>
      </c>
      <c r="N716" s="210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25">
      <c r="A2" s="11" t="str">
        <f>MONTH(data!C96) &amp; "-" &amp; DAY(data!C96)</f>
        <v>6-30</v>
      </c>
      <c r="B2" s="201" t="str">
        <f>RIGHT(data!C97, 3)</f>
        <v>201</v>
      </c>
      <c r="C2" s="11" t="str">
        <f>SUBSTITUTE(LEFT(data!C98,49),",","")</f>
        <v>St. Francis Hospital</v>
      </c>
      <c r="D2" s="11" t="str">
        <f>LEFT(data!C99, 49)</f>
        <v>34515 9th Ave S</v>
      </c>
      <c r="E2" s="11" t="str">
        <f>LEFT(data!C100, 100)</f>
        <v>Federal Way</v>
      </c>
      <c r="F2" s="11" t="str">
        <f>LEFT(data!C101, 2)</f>
        <v>WA</v>
      </c>
      <c r="G2" s="11" t="str">
        <f>LEFT(data!C102, 100)</f>
        <v>98003</v>
      </c>
      <c r="H2" s="11" t="str">
        <f>LEFT(data!C103, 100)</f>
        <v>King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253-944-8100</v>
      </c>
      <c r="L2" s="11" t="str">
        <f>LEFT(data!C108, 49)</f>
        <v>253-428-8313</v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C104" sqref="C10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69" customFormat="1" ht="12.6" customHeight="1" x14ac:dyDescent="0.25">
      <c r="A2" s="12" t="str">
        <f>RIGHT(data!C97,3)</f>
        <v>201</v>
      </c>
      <c r="B2" s="200" t="str">
        <f>RIGHT(data!C96,4)</f>
        <v>2024</v>
      </c>
      <c r="C2" s="12" t="s">
        <v>1156</v>
      </c>
      <c r="D2" s="199">
        <f>ROUND(N(data!C181),0)</f>
        <v>9044096</v>
      </c>
      <c r="E2" s="199">
        <f>ROUND(N(data!C182),0)</f>
        <v>259221</v>
      </c>
      <c r="F2" s="199">
        <f>ROUND(N(data!C183),0)</f>
        <v>725311</v>
      </c>
      <c r="G2" s="199">
        <f>ROUND(N(data!C184),0)</f>
        <v>13532871</v>
      </c>
      <c r="H2" s="199">
        <f>ROUND(N(data!C185),0)</f>
        <v>269772</v>
      </c>
      <c r="I2" s="199">
        <f>ROUND(N(data!C186),0)</f>
        <v>6278203</v>
      </c>
      <c r="J2" s="199">
        <f>ROUND(N(data!C187)+N(data!C188),0)</f>
        <v>3787289</v>
      </c>
      <c r="K2" s="199">
        <f>ROUND(N(data!C191),0)</f>
        <v>7808563</v>
      </c>
      <c r="L2" s="199">
        <f>ROUND(N(data!C192),0)</f>
        <v>864663</v>
      </c>
      <c r="M2" s="199">
        <f>ROUND(N(data!C195),0)</f>
        <v>2490065</v>
      </c>
      <c r="N2" s="199">
        <f>ROUND(N(data!C196),0)</f>
        <v>0</v>
      </c>
      <c r="O2" s="199">
        <f>ROUND(N(data!C199),0)</f>
        <v>90760</v>
      </c>
      <c r="P2" s="199">
        <f>ROUND(N(data!C200),0)</f>
        <v>0</v>
      </c>
      <c r="Q2" s="199">
        <f>ROUND(N(data!C201),0)</f>
        <v>-90760</v>
      </c>
      <c r="R2" s="199">
        <f>ROUND(N(data!C204),0)</f>
        <v>0</v>
      </c>
      <c r="S2" s="199">
        <f>ROUND(N(data!C205),0)</f>
        <v>0</v>
      </c>
      <c r="T2" s="199">
        <f>ROUND(N(data!B211),0)</f>
        <v>7206097</v>
      </c>
      <c r="U2" s="199">
        <f>ROUND(N(data!C211),0)</f>
        <v>0</v>
      </c>
      <c r="V2" s="199">
        <f>ROUND(N(data!D211),0)</f>
        <v>0</v>
      </c>
      <c r="W2" s="199">
        <f>ROUND(N(data!B212),0)</f>
        <v>2956305</v>
      </c>
      <c r="X2" s="199">
        <f>ROUND(N(data!C212),0)</f>
        <v>148874</v>
      </c>
      <c r="Y2" s="199">
        <f>ROUND(N(data!D212),0)</f>
        <v>0</v>
      </c>
      <c r="Z2" s="199">
        <f>ROUND(N(data!B213),0)</f>
        <v>55434844</v>
      </c>
      <c r="AA2" s="199">
        <f>ROUND(N(data!C213),0)</f>
        <v>0</v>
      </c>
      <c r="AB2" s="199">
        <f>ROUND(N(data!D213),0)</f>
        <v>0</v>
      </c>
      <c r="AC2" s="199">
        <f>ROUND(N(data!B214),0)</f>
        <v>9956436</v>
      </c>
      <c r="AD2" s="199">
        <f>ROUND(N(data!C214),0)</f>
        <v>54101</v>
      </c>
      <c r="AE2" s="199">
        <f>ROUND(N(data!D214),0)</f>
        <v>0</v>
      </c>
      <c r="AF2" s="199">
        <f>ROUND(N(data!B215),0)</f>
        <v>23255608</v>
      </c>
      <c r="AG2" s="199">
        <f>ROUND(N(data!C215),0)</f>
        <v>415925</v>
      </c>
      <c r="AH2" s="199">
        <f>ROUND(N(data!D215),0)</f>
        <v>1657</v>
      </c>
      <c r="AI2" s="199">
        <f>ROUND(N(data!B216),0)</f>
        <v>117104326</v>
      </c>
      <c r="AJ2" s="199">
        <f>ROUND(N(data!C216),0)</f>
        <v>3406597</v>
      </c>
      <c r="AK2" s="199">
        <f>ROUND(N(data!D216),0)</f>
        <v>190977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18482747</v>
      </c>
      <c r="AP2" s="199">
        <f>ROUND(N(data!C218),0)</f>
        <v>-32466</v>
      </c>
      <c r="AQ2" s="199">
        <f>ROUND(N(data!D218),0)</f>
        <v>159210</v>
      </c>
      <c r="AR2" s="199">
        <f>ROUND(N(data!B219),0)</f>
        <v>8580780</v>
      </c>
      <c r="AS2" s="199">
        <f>ROUND(N(data!C219),0)</f>
        <v>12015664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2599783</v>
      </c>
      <c r="AY2" s="199">
        <f>ROUND(N(data!C225),0)</f>
        <v>162008</v>
      </c>
      <c r="AZ2" s="199">
        <f>ROUND(N(data!D225),0)</f>
        <v>0</v>
      </c>
      <c r="BA2" s="199">
        <f>ROUND(N(data!B226),0)</f>
        <v>26343166</v>
      </c>
      <c r="BB2" s="199">
        <f>ROUND(N(data!C226),0)</f>
        <v>1395859</v>
      </c>
      <c r="BC2" s="199">
        <f>ROUND(N(data!D226),0)</f>
        <v>0</v>
      </c>
      <c r="BD2" s="199">
        <f>ROUND(N(data!B227),0)</f>
        <v>5010049</v>
      </c>
      <c r="BE2" s="199">
        <f>ROUND(N(data!C227),0)</f>
        <v>861765</v>
      </c>
      <c r="BF2" s="199">
        <f>ROUND(N(data!D227),0)</f>
        <v>557</v>
      </c>
      <c r="BG2" s="199">
        <f>ROUND(N(data!B228),0)</f>
        <v>18975525</v>
      </c>
      <c r="BH2" s="199">
        <f>ROUND(N(data!C228),0)</f>
        <v>658377</v>
      </c>
      <c r="BI2" s="199">
        <f>ROUND(N(data!D228),0)</f>
        <v>2239</v>
      </c>
      <c r="BJ2" s="199">
        <f>ROUND(N(data!B229),0)</f>
        <v>104645624</v>
      </c>
      <c r="BK2" s="199">
        <f>ROUND(N(data!C229),0)</f>
        <v>7403309</v>
      </c>
      <c r="BL2" s="199">
        <f>ROUND(N(data!D229),0)</f>
        <v>2880531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15043539</v>
      </c>
      <c r="BQ2" s="199">
        <f>ROUND(N(data!C231),0)</f>
        <v>722027</v>
      </c>
      <c r="BR2" s="199">
        <f>ROUND(N(data!D231),0)</f>
        <v>174970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699087853</v>
      </c>
      <c r="BW2" s="199">
        <f>ROUND(N(data!C240),0)</f>
        <v>351236928</v>
      </c>
      <c r="BX2" s="199">
        <f>ROUND(N(data!C241),0)</f>
        <v>0</v>
      </c>
      <c r="BY2" s="199">
        <f>ROUND(N(data!C242),0)</f>
        <v>55749379</v>
      </c>
      <c r="BZ2" s="199">
        <f>ROUND(N(data!C243),0)</f>
        <v>331598925</v>
      </c>
      <c r="CA2" s="199">
        <f>ROUND(N(data!C244),0)</f>
        <v>33588360</v>
      </c>
      <c r="CB2" s="199">
        <f>ROUND(N(data!C247),0)</f>
        <v>9662</v>
      </c>
      <c r="CC2" s="199">
        <f>ROUND(N(data!C249),0)</f>
        <v>14853776</v>
      </c>
      <c r="CD2" s="199">
        <f>ROUND(N(data!C250),0)</f>
        <v>26035082</v>
      </c>
      <c r="CE2" s="199">
        <f>ROUND(N(data!C254)+N(data!C255),0)</f>
        <v>15258554</v>
      </c>
      <c r="CF2" s="199">
        <f>ROUND(N(data!D237),0)</f>
        <v>14771345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69" customFormat="1" ht="12.6" customHeight="1" x14ac:dyDescent="0.25">
      <c r="A2" s="12" t="str">
        <f>RIGHT(data!C97,3)</f>
        <v>201</v>
      </c>
      <c r="B2" s="12" t="str">
        <f>RIGHT(data!C96,4)</f>
        <v>2024</v>
      </c>
      <c r="C2" s="12" t="s">
        <v>1156</v>
      </c>
      <c r="D2" s="198">
        <f>ROUND(N(data!C127),0)</f>
        <v>9740</v>
      </c>
      <c r="E2" s="198">
        <f>ROUND(N(data!C128),0)</f>
        <v>0</v>
      </c>
      <c r="F2" s="198">
        <f>ROUND(N(data!C129),0)</f>
        <v>0</v>
      </c>
      <c r="G2" s="198">
        <f>ROUND(N(data!C130),0)</f>
        <v>1357</v>
      </c>
      <c r="H2" s="198">
        <f>ROUND(N(data!D127),0)</f>
        <v>40197</v>
      </c>
      <c r="I2" s="198">
        <f>ROUND(N(data!D128),0)</f>
        <v>0</v>
      </c>
      <c r="J2" s="198">
        <f>ROUND(N(data!D129),0)</f>
        <v>0</v>
      </c>
      <c r="K2" s="198">
        <f>ROUND(N(data!D130),0)</f>
        <v>1936</v>
      </c>
      <c r="L2" s="198">
        <f>ROUND(N(data!C132),0)</f>
        <v>14</v>
      </c>
      <c r="M2" s="198">
        <f>ROUND(N(data!C133),0)</f>
        <v>16</v>
      </c>
      <c r="N2" s="198">
        <f>ROUND(N(data!C134),0)</f>
        <v>72</v>
      </c>
      <c r="O2" s="198">
        <f>ROUND(N(data!C135),0)</f>
        <v>0</v>
      </c>
      <c r="P2" s="198">
        <f>ROUND(N(data!C136),0)</f>
        <v>16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6</v>
      </c>
      <c r="W2" s="198">
        <f>ROUND(N(data!C144),0)</f>
        <v>124</v>
      </c>
      <c r="X2" s="198">
        <f>ROUND(N(data!C145),0)</f>
        <v>18</v>
      </c>
      <c r="Y2" s="198">
        <f>ROUND(N(data!B154),0)</f>
        <v>4476</v>
      </c>
      <c r="Z2" s="198">
        <f>ROUND(N(data!B155),0)</f>
        <v>23377</v>
      </c>
      <c r="AA2" s="198">
        <f>ROUND(N(data!B156),0)</f>
        <v>0</v>
      </c>
      <c r="AB2" s="198">
        <f>ROUND(N(data!B157),0)</f>
        <v>410054632</v>
      </c>
      <c r="AC2" s="198">
        <f>ROUND(N(data!B158),0)</f>
        <v>405660724</v>
      </c>
      <c r="AD2" s="198">
        <f>ROUND(N(data!C154),0)</f>
        <v>2714</v>
      </c>
      <c r="AE2" s="198">
        <f>ROUND(N(data!C155),0)</f>
        <v>8883</v>
      </c>
      <c r="AF2" s="198">
        <f>ROUND(N(data!C156),0)</f>
        <v>0</v>
      </c>
      <c r="AG2" s="198">
        <f>ROUND(N(data!C157),0)</f>
        <v>183264446</v>
      </c>
      <c r="AH2" s="198">
        <f>ROUND(N(data!C158),0)</f>
        <v>229375795</v>
      </c>
      <c r="AI2" s="198">
        <f>ROUND(N(data!D154),0)</f>
        <v>2550</v>
      </c>
      <c r="AJ2" s="198">
        <f>ROUND(N(data!D155),0)</f>
        <v>7937</v>
      </c>
      <c r="AK2" s="198">
        <f>ROUND(N(data!D156),0)</f>
        <v>0</v>
      </c>
      <c r="AL2" s="198">
        <f>ROUND(N(data!D157),0)</f>
        <v>214490818</v>
      </c>
      <c r="AM2" s="198">
        <f>ROUND(N(data!D158),0)</f>
        <v>463706087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197" t="s">
        <v>1322</v>
      </c>
      <c r="CR1" s="197" t="s">
        <v>1323</v>
      </c>
      <c r="CS1" s="197" t="s">
        <v>1324</v>
      </c>
      <c r="CT1" s="197" t="s">
        <v>1325</v>
      </c>
      <c r="CU1" s="197" t="s">
        <v>1326</v>
      </c>
      <c r="CV1" s="197" t="s">
        <v>1327</v>
      </c>
      <c r="CW1" s="197" t="s">
        <v>1328</v>
      </c>
      <c r="CX1" s="197" t="s">
        <v>1329</v>
      </c>
      <c r="CY1" s="197" t="s">
        <v>1330</v>
      </c>
      <c r="CZ1" s="197" t="s">
        <v>1331</v>
      </c>
      <c r="DA1" s="197" t="s">
        <v>1332</v>
      </c>
      <c r="DB1" s="197" t="s">
        <v>1333</v>
      </c>
      <c r="DC1" s="197" t="s">
        <v>1334</v>
      </c>
      <c r="DD1" s="197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69" customFormat="1" ht="12.6" customHeight="1" x14ac:dyDescent="0.25">
      <c r="A2" s="199" t="str">
        <f>RIGHT(data!C97,3)</f>
        <v>201</v>
      </c>
      <c r="B2" s="200" t="str">
        <f>RIGHT(data!C96,4)</f>
        <v>2024</v>
      </c>
      <c r="C2" s="12" t="s">
        <v>1156</v>
      </c>
      <c r="D2" s="198">
        <f>ROUND(N(data!C181),0)</f>
        <v>9044096</v>
      </c>
      <c r="E2" s="198">
        <f>ROUND(N(data!C267),0)</f>
        <v>0</v>
      </c>
      <c r="F2" s="198">
        <f>ROUND(N(data!C268),0)</f>
        <v>149876495</v>
      </c>
      <c r="G2" s="198">
        <f>ROUND(N(data!C269),0)</f>
        <v>91623946</v>
      </c>
      <c r="H2" s="198">
        <f>ROUND(N(data!C270),0)</f>
        <v>0</v>
      </c>
      <c r="I2" s="198">
        <f>ROUND(N(data!C271),0)</f>
        <v>18230310</v>
      </c>
      <c r="J2" s="198">
        <f>ROUND(N(data!C272),0)</f>
        <v>0</v>
      </c>
      <c r="K2" s="198">
        <f>ROUND(N(data!C273),0)</f>
        <v>7354047</v>
      </c>
      <c r="L2" s="198">
        <f>ROUND(N(data!C274),0)</f>
        <v>698491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7206097</v>
      </c>
      <c r="R2" s="198">
        <f>ROUND(N(data!C284),0)</f>
        <v>3105179</v>
      </c>
      <c r="S2" s="198">
        <f>ROUND(N(data!C285),0)</f>
        <v>55434844</v>
      </c>
      <c r="T2" s="198">
        <f>ROUND(N(data!C286),0)</f>
        <v>10010537</v>
      </c>
      <c r="U2" s="198">
        <f>ROUND(N(data!C287),0)</f>
        <v>23669875</v>
      </c>
      <c r="V2" s="198">
        <f>ROUND(N(data!C288),0)</f>
        <v>120319948</v>
      </c>
      <c r="W2" s="198">
        <f>ROUND(N(data!C289),0)</f>
        <v>18291071</v>
      </c>
      <c r="X2" s="198">
        <f>ROUND(N(data!C290),0)</f>
        <v>20596443</v>
      </c>
      <c r="Y2" s="198">
        <f>ROUND(N(data!C291),0)</f>
        <v>0</v>
      </c>
      <c r="Z2" s="198">
        <f>ROUND(N(data!C292),0)</f>
        <v>180762736</v>
      </c>
      <c r="AA2" s="198">
        <f>ROUND(N(data!C295),0)</f>
        <v>0</v>
      </c>
      <c r="AB2" s="198">
        <f>ROUND(N(data!C296),0)</f>
        <v>0</v>
      </c>
      <c r="AC2" s="198">
        <f>ROUND(N(data!C297),0)</f>
        <v>4760214</v>
      </c>
      <c r="AD2" s="198">
        <f>ROUND(N(data!C298),0)</f>
        <v>21804874</v>
      </c>
      <c r="AE2" s="198">
        <f>ROUND(N(data!C302),0)</f>
        <v>10791889</v>
      </c>
      <c r="AF2" s="198">
        <f>ROUND(N(data!C303),0)</f>
        <v>0</v>
      </c>
      <c r="AG2" s="198">
        <f>ROUND(N(data!C304),0)</f>
        <v>0</v>
      </c>
      <c r="AH2" s="198">
        <f>ROUND(N(data!C305),0)</f>
        <v>3928028</v>
      </c>
      <c r="AI2" s="198">
        <f>ROUND(N(data!C314),0)</f>
        <v>0</v>
      </c>
      <c r="AJ2" s="198">
        <f>ROUND(N(data!C315),0)</f>
        <v>6910333</v>
      </c>
      <c r="AK2" s="198">
        <f>ROUND(N(data!C316),0)</f>
        <v>13905752</v>
      </c>
      <c r="AL2" s="198">
        <f>ROUND(N(data!C317),0)</f>
        <v>16904649</v>
      </c>
      <c r="AM2" s="198">
        <f>ROUND(N(data!C318),0)</f>
        <v>0</v>
      </c>
      <c r="AN2" s="198">
        <f>ROUND(N(data!C319),0)</f>
        <v>4176145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470158</v>
      </c>
      <c r="AS2" s="198">
        <f>ROUND(N(data!C326),0)</f>
        <v>0</v>
      </c>
      <c r="AT2" s="198">
        <f>ROUND(N(data!C327),0)</f>
        <v>0</v>
      </c>
      <c r="AU2" s="198">
        <f>ROUND(N(data!C328),0)</f>
        <v>20910105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1558376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139542721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1216.28</v>
      </c>
      <c r="BL2" s="198">
        <f>ROUND(N(data!C358),0)</f>
        <v>807809895</v>
      </c>
      <c r="BM2" s="198">
        <f>ROUND(N(data!C359),0)</f>
        <v>1098742606</v>
      </c>
      <c r="BN2" s="198">
        <f>ROUND(N(data!C363),0)</f>
        <v>1471261445</v>
      </c>
      <c r="BO2" s="198">
        <f>ROUND(N(data!C364),0)</f>
        <v>40888858</v>
      </c>
      <c r="BP2" s="198">
        <f>ROUND(N(data!C365),0)</f>
        <v>15258554</v>
      </c>
      <c r="BQ2" s="198">
        <f>ROUND(N(data!D381),0)</f>
        <v>13437363</v>
      </c>
      <c r="BR2" s="198">
        <f>ROUND(N(data!C370),0)</f>
        <v>1143</v>
      </c>
      <c r="BS2" s="198">
        <f>ROUND(N(data!C371),0)</f>
        <v>2278806</v>
      </c>
      <c r="BT2" s="198">
        <f>ROUND(N(data!C372),0)</f>
        <v>1234298</v>
      </c>
      <c r="BU2" s="198">
        <f>ROUND(N(data!C373),0)</f>
        <v>0</v>
      </c>
      <c r="BV2" s="198">
        <f>ROUND(N(data!C374),0)</f>
        <v>3250366</v>
      </c>
      <c r="BW2" s="198">
        <f>ROUND(N(data!C375),0)</f>
        <v>0</v>
      </c>
      <c r="BX2" s="198">
        <f>ROUND(N(data!C376),0)</f>
        <v>3022584</v>
      </c>
      <c r="BY2" s="198">
        <f>ROUND(N(data!C377),0)</f>
        <v>0</v>
      </c>
      <c r="BZ2" s="198">
        <f>ROUND(N(data!C378),0)</f>
        <v>141459</v>
      </c>
      <c r="CA2" s="198">
        <f>ROUND(N(data!C379),0)</f>
        <v>755492</v>
      </c>
      <c r="CB2" s="198">
        <f>ROUND(N(data!C380),0)</f>
        <v>2753216</v>
      </c>
      <c r="CC2" s="198">
        <f>ROUND(N(data!C382),0)</f>
        <v>0</v>
      </c>
      <c r="CD2" s="198">
        <f>ROUND(N(data!C389),0)</f>
        <v>149910410</v>
      </c>
      <c r="CE2" s="198">
        <f>ROUND(N(data!C390),0)</f>
        <v>33896764</v>
      </c>
      <c r="CF2" s="198">
        <f>ROUND(N(data!C391),0)</f>
        <v>19502699</v>
      </c>
      <c r="CG2" s="198">
        <f>ROUND(N(data!C392),0)</f>
        <v>44114778</v>
      </c>
      <c r="CH2" s="198">
        <f>ROUND(N(data!C393),0)</f>
        <v>1618259</v>
      </c>
      <c r="CI2" s="198">
        <f>ROUND(N(data!C394),0)</f>
        <v>62487342</v>
      </c>
      <c r="CJ2" s="198">
        <f>ROUND(N(data!C395),0)</f>
        <v>11203346</v>
      </c>
      <c r="CK2" s="198">
        <f>ROUND(N(data!C396),0)</f>
        <v>8673227</v>
      </c>
      <c r="CL2" s="198">
        <f>ROUND(N(data!C397),0)</f>
        <v>0</v>
      </c>
      <c r="CM2" s="198">
        <f>ROUND(N(data!C398),0)</f>
        <v>0</v>
      </c>
      <c r="CN2" s="198">
        <f>ROUND(N(data!C399),0)</f>
        <v>0</v>
      </c>
      <c r="CO2" s="198">
        <f>ROUND(N(data!C362),0)</f>
        <v>14771345</v>
      </c>
      <c r="CP2" s="198">
        <f>ROUND(N(data!D415),0)</f>
        <v>37500442</v>
      </c>
      <c r="CQ2" s="52">
        <f>ROUND(N(data!C401),0)</f>
        <v>617932</v>
      </c>
      <c r="CR2" s="52">
        <f>ROUND(N(data!C402),0)</f>
        <v>4186107</v>
      </c>
      <c r="CS2" s="52">
        <f>ROUND(N(data!C403),0)</f>
        <v>0</v>
      </c>
      <c r="CT2" s="52">
        <f>ROUND(N(data!C404),0)</f>
        <v>2490065</v>
      </c>
      <c r="CU2" s="52">
        <f>ROUND(N(data!C405),0)</f>
        <v>869131</v>
      </c>
      <c r="CV2" s="52">
        <f>ROUND(N(data!C406),0)</f>
        <v>327001</v>
      </c>
      <c r="CW2" s="52">
        <f>ROUND(N(data!C407),0)</f>
        <v>816476</v>
      </c>
      <c r="CX2" s="52">
        <f>ROUND(N(data!C408),0)</f>
        <v>1974150</v>
      </c>
      <c r="CY2" s="52">
        <f>ROUND(N(data!C409),0)</f>
        <v>8989937</v>
      </c>
      <c r="CZ2" s="52">
        <f>ROUND(N(data!C410),0)</f>
        <v>28394</v>
      </c>
      <c r="DA2" s="52">
        <f>ROUND(N(data!C411),0)</f>
        <v>223912</v>
      </c>
      <c r="DB2" s="52">
        <f>ROUND(N(data!C412),0)</f>
        <v>14035255</v>
      </c>
      <c r="DC2" s="52">
        <f>ROUND(N(data!C413),0)</f>
        <v>0</v>
      </c>
      <c r="DD2" s="52">
        <f>ROUND(N(data!C414),0)</f>
        <v>2942082</v>
      </c>
      <c r="DE2" s="52">
        <f>ROUND(N(data!C419),0)</f>
        <v>0</v>
      </c>
      <c r="DF2" s="198">
        <f>ROUND(N(data!D420),0)</f>
        <v>51649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201</v>
      </c>
      <c r="B2" s="200" t="str">
        <f>RIGHT(data!$C$96,4)</f>
        <v>2024</v>
      </c>
      <c r="C2" s="12" t="str">
        <f>data!C$55</f>
        <v>6010</v>
      </c>
      <c r="D2" s="12" t="s">
        <v>1156</v>
      </c>
      <c r="E2" s="198">
        <f>ROUND(N(data!C59), 0)</f>
        <v>4980</v>
      </c>
      <c r="F2" s="313">
        <f>ROUND(N(data!C60), 2)</f>
        <v>53.26</v>
      </c>
      <c r="G2" s="198">
        <f>ROUND(N(data!C61), 0)</f>
        <v>7508792</v>
      </c>
      <c r="H2" s="198">
        <f>ROUND(N(data!C62), 0)</f>
        <v>1695410</v>
      </c>
      <c r="I2" s="198">
        <f>ROUND(N(data!C63), 0)</f>
        <v>2518744</v>
      </c>
      <c r="J2" s="198">
        <f>ROUND(N(data!C64), 0)</f>
        <v>687846</v>
      </c>
      <c r="K2" s="198">
        <f>ROUND(N(data!C65), 0)</f>
        <v>409</v>
      </c>
      <c r="L2" s="198">
        <f>ROUND(N(data!C66), 0)</f>
        <v>6490</v>
      </c>
      <c r="M2" s="198">
        <f>ROUND(N(data!C67), 0)</f>
        <v>393061</v>
      </c>
      <c r="N2" s="198">
        <f>ROUND(N(data!C68), 0)</f>
        <v>3415</v>
      </c>
      <c r="O2" s="198">
        <f>ROUND(N(data!C69), 0)</f>
        <v>-10178</v>
      </c>
      <c r="P2" s="198">
        <f>ROUND(N(data!C70), 0)</f>
        <v>0</v>
      </c>
      <c r="Q2" s="198">
        <f>ROUND(N(data!C71), 0)</f>
        <v>-36384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10057</v>
      </c>
      <c r="X2" s="198">
        <f>ROUND(N(data!C78), 0)</f>
        <v>0</v>
      </c>
      <c r="Y2" s="198">
        <f>ROUND(N(data!C79), 0)</f>
        <v>0</v>
      </c>
      <c r="Z2" s="198">
        <f>ROUND(N(data!C80), 0)</f>
        <v>7089</v>
      </c>
      <c r="AA2" s="198">
        <f>ROUND(N(data!C81), 0)</f>
        <v>0</v>
      </c>
      <c r="AB2" s="198">
        <f>ROUND(N(data!C82), 0)</f>
        <v>0</v>
      </c>
      <c r="AC2" s="198">
        <f>ROUND(N(data!C83), 0)</f>
        <v>9059</v>
      </c>
      <c r="AD2" s="198">
        <f>ROUND(N(data!C84), 0)</f>
        <v>5000</v>
      </c>
      <c r="AE2" s="198">
        <f>ROUND(N(data!C89), 0)</f>
        <v>37656458</v>
      </c>
      <c r="AF2" s="198">
        <f>ROUND(N(data!C87), 0)</f>
        <v>37483560</v>
      </c>
      <c r="AG2" s="198">
        <f>ROUND(N(data!C90), 0)</f>
        <v>11112</v>
      </c>
      <c r="AH2" s="198">
        <f>ROUND(N(data!C91), 0)</f>
        <v>12350</v>
      </c>
      <c r="AI2" s="198">
        <f>ROUND(N(data!C92), 0)</f>
        <v>4073</v>
      </c>
      <c r="AJ2" s="198">
        <f>ROUND(N(data!C93), 0)</f>
        <v>0</v>
      </c>
      <c r="AK2" s="313">
        <f>ROUND(N(data!C94), 2)</f>
        <v>45.32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201</v>
      </c>
      <c r="B3" s="200" t="str">
        <f>RIGHT(data!$C$96,4)</f>
        <v>2024</v>
      </c>
      <c r="C3" s="12" t="str">
        <f>data!D$55</f>
        <v>6030</v>
      </c>
      <c r="D3" s="12" t="s">
        <v>1156</v>
      </c>
      <c r="E3" s="198">
        <f>ROUND(N(data!D59), 0)</f>
        <v>0</v>
      </c>
      <c r="F3" s="313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3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201</v>
      </c>
      <c r="B4" s="200" t="str">
        <f>RIGHT(data!$C$96,4)</f>
        <v>2024</v>
      </c>
      <c r="C4" s="12" t="str">
        <f>data!E$55</f>
        <v>6070</v>
      </c>
      <c r="D4" s="12" t="s">
        <v>1156</v>
      </c>
      <c r="E4" s="198">
        <f>ROUND(N(data!E59), 0)</f>
        <v>35217</v>
      </c>
      <c r="F4" s="313">
        <f>ROUND(N(data!E60), 2)</f>
        <v>223.01</v>
      </c>
      <c r="G4" s="198">
        <f>ROUND(N(data!E61), 0)</f>
        <v>26916697</v>
      </c>
      <c r="H4" s="198">
        <f>ROUND(N(data!E62), 0)</f>
        <v>6070524</v>
      </c>
      <c r="I4" s="198">
        <f>ROUND(N(data!E63), 0)</f>
        <v>5938599</v>
      </c>
      <c r="J4" s="198">
        <f>ROUND(N(data!E64), 0)</f>
        <v>1895068</v>
      </c>
      <c r="K4" s="198">
        <f>ROUND(N(data!E65), 0)</f>
        <v>1264</v>
      </c>
      <c r="L4" s="198">
        <f>ROUND(N(data!E66), 0)</f>
        <v>474630</v>
      </c>
      <c r="M4" s="198">
        <f>ROUND(N(data!E67), 0)</f>
        <v>960913</v>
      </c>
      <c r="N4" s="198">
        <f>ROUND(N(data!E68), 0)</f>
        <v>18565</v>
      </c>
      <c r="O4" s="198">
        <f>ROUND(N(data!E69), 0)</f>
        <v>450812</v>
      </c>
      <c r="P4" s="198">
        <f>ROUND(N(data!E70), 0)</f>
        <v>0</v>
      </c>
      <c r="Q4" s="198">
        <f>ROUND(N(data!E71), 0)</f>
        <v>83557</v>
      </c>
      <c r="R4" s="198">
        <f>ROUND(N(data!E72), 0)</f>
        <v>0</v>
      </c>
      <c r="S4" s="198">
        <f>ROUND(N(data!E73), 0)</f>
        <v>0</v>
      </c>
      <c r="T4" s="198">
        <f>ROUND(N(data!E74), 0)</f>
        <v>238671</v>
      </c>
      <c r="U4" s="198">
        <f>ROUND(N(data!E75), 0)</f>
        <v>0</v>
      </c>
      <c r="V4" s="198">
        <f>ROUND(N(data!E76), 0)</f>
        <v>0</v>
      </c>
      <c r="W4" s="198">
        <f>ROUND(N(data!E77), 0)</f>
        <v>10605</v>
      </c>
      <c r="X4" s="198">
        <f>ROUND(N(data!E78), 0)</f>
        <v>0</v>
      </c>
      <c r="Y4" s="198">
        <f>ROUND(N(data!E79), 0)</f>
        <v>0</v>
      </c>
      <c r="Z4" s="198">
        <f>ROUND(N(data!E80), 0)</f>
        <v>19147</v>
      </c>
      <c r="AA4" s="198">
        <f>ROUND(N(data!E81), 0)</f>
        <v>0</v>
      </c>
      <c r="AB4" s="198">
        <f>ROUND(N(data!E82), 0)</f>
        <v>0</v>
      </c>
      <c r="AC4" s="198">
        <f>ROUND(N(data!E83), 0)</f>
        <v>98831</v>
      </c>
      <c r="AD4" s="198">
        <f>ROUND(N(data!E84), 0)</f>
        <v>6750</v>
      </c>
      <c r="AE4" s="198">
        <f>ROUND(N(data!E89), 0)</f>
        <v>158713354</v>
      </c>
      <c r="AF4" s="198">
        <f>ROUND(N(data!E87), 0)</f>
        <v>146230165</v>
      </c>
      <c r="AG4" s="198">
        <f>ROUND(N(data!E90), 0)</f>
        <v>48911</v>
      </c>
      <c r="AH4" s="198">
        <f>ROUND(N(data!E91), 0)</f>
        <v>55056</v>
      </c>
      <c r="AI4" s="198">
        <f>ROUND(N(data!E92), 0)</f>
        <v>17928</v>
      </c>
      <c r="AJ4" s="198">
        <f>ROUND(N(data!E93), 0)</f>
        <v>342575</v>
      </c>
      <c r="AK4" s="313">
        <f>ROUND(N(data!E94), 2)</f>
        <v>146.34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201</v>
      </c>
      <c r="B5" s="200" t="str">
        <f>RIGHT(data!$C$96,4)</f>
        <v>2024</v>
      </c>
      <c r="C5" s="12" t="str">
        <f>data!F$55</f>
        <v>6100</v>
      </c>
      <c r="D5" s="12" t="s">
        <v>1156</v>
      </c>
      <c r="E5" s="198">
        <f>ROUND(N(data!F59), 0)</f>
        <v>0</v>
      </c>
      <c r="F5" s="313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3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201</v>
      </c>
      <c r="B6" s="200" t="str">
        <f>RIGHT(data!$C$96,4)</f>
        <v>2024</v>
      </c>
      <c r="C6" s="12" t="str">
        <f>data!G$55</f>
        <v>6120</v>
      </c>
      <c r="D6" s="12" t="s">
        <v>1156</v>
      </c>
      <c r="E6" s="198">
        <f>ROUND(N(data!G59), 0)</f>
        <v>0</v>
      </c>
      <c r="F6" s="313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3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201</v>
      </c>
      <c r="B7" s="200" t="str">
        <f>RIGHT(data!$C$96,4)</f>
        <v>2024</v>
      </c>
      <c r="C7" s="12" t="str">
        <f>data!H$55</f>
        <v>6140</v>
      </c>
      <c r="D7" s="12" t="s">
        <v>1156</v>
      </c>
      <c r="E7" s="198">
        <f>ROUND(N(data!H59), 0)</f>
        <v>0</v>
      </c>
      <c r="F7" s="313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235994</v>
      </c>
      <c r="J7" s="198">
        <f>ROUND(N(data!H64), 0)</f>
        <v>0</v>
      </c>
      <c r="K7" s="198">
        <f>ROUND(N(data!H65), 0)</f>
        <v>0</v>
      </c>
      <c r="L7" s="198">
        <f>ROUND(N(data!H66), 0)</f>
        <v>33069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13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201</v>
      </c>
      <c r="B8" s="200" t="str">
        <f>RIGHT(data!$C$96,4)</f>
        <v>2024</v>
      </c>
      <c r="C8" s="12" t="str">
        <f>data!I$55</f>
        <v>6150</v>
      </c>
      <c r="D8" s="12" t="s">
        <v>1156</v>
      </c>
      <c r="E8" s="198">
        <f>ROUND(N(data!I59), 0)</f>
        <v>0</v>
      </c>
      <c r="F8" s="313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3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201</v>
      </c>
      <c r="B9" s="200" t="str">
        <f>RIGHT(data!$C$96,4)</f>
        <v>2024</v>
      </c>
      <c r="C9" s="12" t="str">
        <f>data!J$55</f>
        <v>6170</v>
      </c>
      <c r="D9" s="12" t="s">
        <v>1156</v>
      </c>
      <c r="E9" s="198">
        <f>ROUND(N(data!J59), 0)</f>
        <v>0</v>
      </c>
      <c r="F9" s="313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3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201</v>
      </c>
      <c r="B10" s="200" t="str">
        <f>RIGHT(data!$C$96,4)</f>
        <v>2024</v>
      </c>
      <c r="C10" s="12" t="str">
        <f>data!K$55</f>
        <v>6200</v>
      </c>
      <c r="D10" s="12" t="s">
        <v>1156</v>
      </c>
      <c r="E10" s="198">
        <f>ROUND(N(data!K59), 0)</f>
        <v>0</v>
      </c>
      <c r="F10" s="313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3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201</v>
      </c>
      <c r="B11" s="200" t="str">
        <f>RIGHT(data!$C$96,4)</f>
        <v>2024</v>
      </c>
      <c r="C11" s="12" t="str">
        <f>data!L$55</f>
        <v>6210</v>
      </c>
      <c r="D11" s="12" t="s">
        <v>1156</v>
      </c>
      <c r="E11" s="198">
        <f>ROUND(N(data!L59), 0)</f>
        <v>0</v>
      </c>
      <c r="F11" s="313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13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201</v>
      </c>
      <c r="B12" s="200" t="str">
        <f>RIGHT(data!$C$96,4)</f>
        <v>2024</v>
      </c>
      <c r="C12" s="12" t="str">
        <f>data!M$55</f>
        <v>6330</v>
      </c>
      <c r="D12" s="12" t="s">
        <v>1156</v>
      </c>
      <c r="E12" s="198">
        <f>ROUND(N(data!M59), 0)</f>
        <v>0</v>
      </c>
      <c r="F12" s="313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3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201</v>
      </c>
      <c r="B13" s="200" t="str">
        <f>RIGHT(data!$C$96,4)</f>
        <v>2024</v>
      </c>
      <c r="C13" s="12" t="str">
        <f>data!N$55</f>
        <v>6400</v>
      </c>
      <c r="D13" s="12" t="s">
        <v>1156</v>
      </c>
      <c r="E13" s="198">
        <f>ROUND(N(data!N59), 0)</f>
        <v>0</v>
      </c>
      <c r="F13" s="313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13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201</v>
      </c>
      <c r="B14" s="200" t="str">
        <f>RIGHT(data!$C$96,4)</f>
        <v>2024</v>
      </c>
      <c r="C14" s="12" t="str">
        <f>data!O$55</f>
        <v>7010</v>
      </c>
      <c r="D14" s="12" t="s">
        <v>1156</v>
      </c>
      <c r="E14" s="198">
        <f>ROUND(N(data!O59), 0)</f>
        <v>4408</v>
      </c>
      <c r="F14" s="313">
        <f>ROUND(N(data!O60), 2)</f>
        <v>48.88</v>
      </c>
      <c r="G14" s="198">
        <f>ROUND(N(data!O61), 0)</f>
        <v>7610037</v>
      </c>
      <c r="H14" s="198">
        <f>ROUND(N(data!O62), 0)</f>
        <v>1717147</v>
      </c>
      <c r="I14" s="198">
        <f>ROUND(N(data!O63), 0)</f>
        <v>1194602</v>
      </c>
      <c r="J14" s="198">
        <f>ROUND(N(data!O64), 0)</f>
        <v>1005217</v>
      </c>
      <c r="K14" s="198">
        <f>ROUND(N(data!O65), 0)</f>
        <v>3732</v>
      </c>
      <c r="L14" s="198">
        <f>ROUND(N(data!O66), 0)</f>
        <v>30835</v>
      </c>
      <c r="M14" s="198">
        <f>ROUND(N(data!O67), 0)</f>
        <v>146055</v>
      </c>
      <c r="N14" s="198">
        <f>ROUND(N(data!O68), 0)</f>
        <v>5115</v>
      </c>
      <c r="O14" s="198">
        <f>ROUND(N(data!O69), 0)</f>
        <v>360479</v>
      </c>
      <c r="P14" s="198">
        <f>ROUND(N(data!O70), 0)</f>
        <v>0</v>
      </c>
      <c r="Q14" s="198">
        <f>ROUND(N(data!O71), 0)</f>
        <v>246116</v>
      </c>
      <c r="R14" s="198">
        <f>ROUND(N(data!O72), 0)</f>
        <v>0</v>
      </c>
      <c r="S14" s="198">
        <f>ROUND(N(data!O73), 0)</f>
        <v>0</v>
      </c>
      <c r="T14" s="198">
        <f>ROUND(N(data!O74), 0)</f>
        <v>75187</v>
      </c>
      <c r="U14" s="198">
        <f>ROUND(N(data!O75), 0)</f>
        <v>0</v>
      </c>
      <c r="V14" s="198">
        <f>ROUND(N(data!O76), 0)</f>
        <v>0</v>
      </c>
      <c r="W14" s="198">
        <f>ROUND(N(data!O77), 0)</f>
        <v>22694</v>
      </c>
      <c r="X14" s="198">
        <f>ROUND(N(data!O78), 0)</f>
        <v>0</v>
      </c>
      <c r="Y14" s="198">
        <f>ROUND(N(data!O79), 0)</f>
        <v>0</v>
      </c>
      <c r="Z14" s="198">
        <f>ROUND(N(data!O80), 0)</f>
        <v>8150</v>
      </c>
      <c r="AA14" s="198">
        <f>ROUND(N(data!O81), 0)</f>
        <v>0</v>
      </c>
      <c r="AB14" s="198">
        <f>ROUND(N(data!O82), 0)</f>
        <v>0</v>
      </c>
      <c r="AC14" s="198">
        <f>ROUND(N(data!O83), 0)</f>
        <v>8331</v>
      </c>
      <c r="AD14" s="198">
        <f>ROUND(N(data!O84), 0)</f>
        <v>4000</v>
      </c>
      <c r="AE14" s="198">
        <f>ROUND(N(data!O89), 0)</f>
        <v>69268781</v>
      </c>
      <c r="AF14" s="198">
        <f>ROUND(N(data!O87), 0)</f>
        <v>66321020</v>
      </c>
      <c r="AG14" s="198">
        <f>ROUND(N(data!O90), 0)</f>
        <v>4254</v>
      </c>
      <c r="AH14" s="198">
        <f>ROUND(N(data!O91), 0)</f>
        <v>5788</v>
      </c>
      <c r="AI14" s="198">
        <f>ROUND(N(data!O92), 0)</f>
        <v>1559</v>
      </c>
      <c r="AJ14" s="198">
        <f>ROUND(N(data!O93), 0)</f>
        <v>118833</v>
      </c>
      <c r="AK14" s="313">
        <f>ROUND(N(data!O94), 2)</f>
        <v>38.909999999999997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201</v>
      </c>
      <c r="B15" s="200" t="str">
        <f>RIGHT(data!$C$96,4)</f>
        <v>2024</v>
      </c>
      <c r="C15" s="12" t="str">
        <f>data!P$55</f>
        <v>7020</v>
      </c>
      <c r="D15" s="12" t="s">
        <v>1156</v>
      </c>
      <c r="E15" s="198">
        <f>ROUND(N(data!P59), 0)</f>
        <v>639869</v>
      </c>
      <c r="F15" s="313">
        <f>ROUND(N(data!P60), 2)</f>
        <v>102.13</v>
      </c>
      <c r="G15" s="198">
        <f>ROUND(N(data!P61), 0)</f>
        <v>12710203</v>
      </c>
      <c r="H15" s="198">
        <f>ROUND(N(data!P62), 0)</f>
        <v>2868555</v>
      </c>
      <c r="I15" s="198">
        <f>ROUND(N(data!P63), 0)</f>
        <v>7568504</v>
      </c>
      <c r="J15" s="198">
        <f>ROUND(N(data!P64), 0)</f>
        <v>21796331</v>
      </c>
      <c r="K15" s="198">
        <f>ROUND(N(data!P65), 0)</f>
        <v>6565</v>
      </c>
      <c r="L15" s="198">
        <f>ROUND(N(data!P66), 0)</f>
        <v>1059755</v>
      </c>
      <c r="M15" s="198">
        <f>ROUND(N(data!P67), 0)</f>
        <v>2270897</v>
      </c>
      <c r="N15" s="198">
        <f>ROUND(N(data!P68), 0)</f>
        <v>1324227</v>
      </c>
      <c r="O15" s="198">
        <f>ROUND(N(data!P69), 0)</f>
        <v>2334642</v>
      </c>
      <c r="P15" s="198">
        <f>ROUND(N(data!P70), 0)</f>
        <v>0</v>
      </c>
      <c r="Q15" s="198">
        <f>ROUND(N(data!P71), 0)</f>
        <v>1553658</v>
      </c>
      <c r="R15" s="198">
        <f>ROUND(N(data!P72), 0)</f>
        <v>0</v>
      </c>
      <c r="S15" s="198">
        <f>ROUND(N(data!P73), 0)</f>
        <v>0</v>
      </c>
      <c r="T15" s="198">
        <f>ROUND(N(data!P74), 0)</f>
        <v>234660</v>
      </c>
      <c r="U15" s="198">
        <f>ROUND(N(data!P75), 0)</f>
        <v>0</v>
      </c>
      <c r="V15" s="198">
        <f>ROUND(N(data!P76), 0)</f>
        <v>0</v>
      </c>
      <c r="W15" s="198">
        <f>ROUND(N(data!P77), 0)</f>
        <v>443243</v>
      </c>
      <c r="X15" s="198">
        <f>ROUND(N(data!P78), 0)</f>
        <v>0</v>
      </c>
      <c r="Y15" s="198">
        <f>ROUND(N(data!P79), 0)</f>
        <v>0</v>
      </c>
      <c r="Z15" s="198">
        <f>ROUND(N(data!P80), 0)</f>
        <v>6832</v>
      </c>
      <c r="AA15" s="198">
        <f>ROUND(N(data!P81), 0)</f>
        <v>4477</v>
      </c>
      <c r="AB15" s="198">
        <f>ROUND(N(data!P82), 0)</f>
        <v>0</v>
      </c>
      <c r="AC15" s="198">
        <f>ROUND(N(data!P83), 0)</f>
        <v>91771</v>
      </c>
      <c r="AD15" s="198">
        <f>ROUND(N(data!P84), 0)</f>
        <v>5000</v>
      </c>
      <c r="AE15" s="198">
        <f>ROUND(N(data!P89), 0)</f>
        <v>589844017</v>
      </c>
      <c r="AF15" s="198">
        <f>ROUND(N(data!P87), 0)</f>
        <v>185296766</v>
      </c>
      <c r="AG15" s="198">
        <f>ROUND(N(data!P90), 0)</f>
        <v>23570</v>
      </c>
      <c r="AH15" s="198">
        <f>ROUND(N(data!P91), 0)</f>
        <v>28100</v>
      </c>
      <c r="AI15" s="198">
        <f>ROUND(N(data!P92), 0)</f>
        <v>7826</v>
      </c>
      <c r="AJ15" s="198">
        <f>ROUND(N(data!P93), 0)</f>
        <v>239613</v>
      </c>
      <c r="AK15" s="313">
        <f>ROUND(N(data!P94), 2)</f>
        <v>54.19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201</v>
      </c>
      <c r="B16" s="200" t="str">
        <f>RIGHT(data!$C$96,4)</f>
        <v>2024</v>
      </c>
      <c r="C16" s="12" t="str">
        <f>data!Q$55</f>
        <v>7030</v>
      </c>
      <c r="D16" s="12" t="s">
        <v>1156</v>
      </c>
      <c r="E16" s="198">
        <f>ROUND(N(data!Q59), 0)</f>
        <v>1291845</v>
      </c>
      <c r="F16" s="313">
        <f>ROUND(N(data!Q60), 2)</f>
        <v>23.4</v>
      </c>
      <c r="G16" s="198">
        <f>ROUND(N(data!Q61), 0)</f>
        <v>3646426</v>
      </c>
      <c r="H16" s="198">
        <f>ROUND(N(data!Q62), 0)</f>
        <v>822409</v>
      </c>
      <c r="I16" s="198">
        <f>ROUND(N(data!Q63), 0)</f>
        <v>0</v>
      </c>
      <c r="J16" s="198">
        <f>ROUND(N(data!Q64), 0)</f>
        <v>216701</v>
      </c>
      <c r="K16" s="198">
        <f>ROUND(N(data!Q65), 0)</f>
        <v>744</v>
      </c>
      <c r="L16" s="198">
        <f>ROUND(N(data!Q66), 0)</f>
        <v>26493</v>
      </c>
      <c r="M16" s="198">
        <f>ROUND(N(data!Q67), 0)</f>
        <v>23241</v>
      </c>
      <c r="N16" s="198">
        <f>ROUND(N(data!Q68), 0)</f>
        <v>1174</v>
      </c>
      <c r="O16" s="198">
        <f>ROUND(N(data!Q69), 0)</f>
        <v>121250</v>
      </c>
      <c r="P16" s="198">
        <f>ROUND(N(data!Q70), 0)</f>
        <v>0</v>
      </c>
      <c r="Q16" s="198">
        <f>ROUND(N(data!Q71), 0)</f>
        <v>110692</v>
      </c>
      <c r="R16" s="198">
        <f>ROUND(N(data!Q72), 0)</f>
        <v>0</v>
      </c>
      <c r="S16" s="198">
        <f>ROUND(N(data!Q73), 0)</f>
        <v>0</v>
      </c>
      <c r="T16" s="198">
        <f>ROUND(N(data!Q74), 0)</f>
        <v>3784</v>
      </c>
      <c r="U16" s="198">
        <f>ROUND(N(data!Q75), 0)</f>
        <v>0</v>
      </c>
      <c r="V16" s="198">
        <f>ROUND(N(data!Q76), 0)</f>
        <v>0</v>
      </c>
      <c r="W16" s="198">
        <f>ROUND(N(data!Q77), 0)</f>
        <v>249</v>
      </c>
      <c r="X16" s="198">
        <f>ROUND(N(data!Q78), 0)</f>
        <v>0</v>
      </c>
      <c r="Y16" s="198">
        <f>ROUND(N(data!Q79), 0)</f>
        <v>0</v>
      </c>
      <c r="Z16" s="198">
        <f>ROUND(N(data!Q80), 0)</f>
        <v>5725</v>
      </c>
      <c r="AA16" s="198">
        <f>ROUND(N(data!Q81), 0)</f>
        <v>0</v>
      </c>
      <c r="AB16" s="198">
        <f>ROUND(N(data!Q82), 0)</f>
        <v>0</v>
      </c>
      <c r="AC16" s="198">
        <f>ROUND(N(data!Q83), 0)</f>
        <v>800</v>
      </c>
      <c r="AD16" s="198">
        <f>ROUND(N(data!Q84), 0)</f>
        <v>0</v>
      </c>
      <c r="AE16" s="198">
        <f>ROUND(N(data!Q89), 0)</f>
        <v>28181712</v>
      </c>
      <c r="AF16" s="198">
        <f>ROUND(N(data!Q87), 0)</f>
        <v>9242997</v>
      </c>
      <c r="AG16" s="198">
        <f>ROUND(N(data!Q90), 0)</f>
        <v>1238</v>
      </c>
      <c r="AH16" s="198">
        <f>ROUND(N(data!Q91), 0)</f>
        <v>0</v>
      </c>
      <c r="AI16" s="198">
        <f>ROUND(N(data!Q92), 0)</f>
        <v>454</v>
      </c>
      <c r="AJ16" s="198">
        <f>ROUND(N(data!Q93), 0)</f>
        <v>6687</v>
      </c>
      <c r="AK16" s="313">
        <f>ROUND(N(data!Q94), 2)</f>
        <v>19.54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201</v>
      </c>
      <c r="B17" s="200" t="str">
        <f>RIGHT(data!$C$96,4)</f>
        <v>2024</v>
      </c>
      <c r="C17" s="12" t="str">
        <f>data!R$55</f>
        <v>7040</v>
      </c>
      <c r="D17" s="12" t="s">
        <v>1156</v>
      </c>
      <c r="E17" s="198">
        <f>ROUND(N(data!R59), 0)</f>
        <v>0</v>
      </c>
      <c r="F17" s="313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313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201</v>
      </c>
      <c r="B18" s="200" t="str">
        <f>RIGHT(data!$C$96,4)</f>
        <v>2024</v>
      </c>
      <c r="C18" s="12" t="str">
        <f>data!S$55</f>
        <v>7050</v>
      </c>
      <c r="D18" s="12" t="s">
        <v>1156</v>
      </c>
      <c r="E18" s="198">
        <f>ROUND(N(data!S59), 0)</f>
        <v>0</v>
      </c>
      <c r="F18" s="313">
        <f>ROUND(N(data!S60), 2)</f>
        <v>10.79</v>
      </c>
      <c r="G18" s="198">
        <f>ROUND(N(data!S61), 0)</f>
        <v>654072</v>
      </c>
      <c r="H18" s="198">
        <f>ROUND(N(data!S62), 0)</f>
        <v>147646</v>
      </c>
      <c r="I18" s="198">
        <f>ROUND(N(data!S63), 0)</f>
        <v>0</v>
      </c>
      <c r="J18" s="198">
        <f>ROUND(N(data!S64), 0)</f>
        <v>-13343</v>
      </c>
      <c r="K18" s="198">
        <f>ROUND(N(data!S65), 0)</f>
        <v>0</v>
      </c>
      <c r="L18" s="198">
        <f>ROUND(N(data!S66), 0)</f>
        <v>6010</v>
      </c>
      <c r="M18" s="198">
        <f>ROUND(N(data!S67), 0)</f>
        <v>105505</v>
      </c>
      <c r="N18" s="198">
        <f>ROUND(N(data!S68), 0)</f>
        <v>-1549</v>
      </c>
      <c r="O18" s="198">
        <f>ROUND(N(data!S69), 0)</f>
        <v>52815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1467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51348</v>
      </c>
      <c r="AD18" s="198">
        <f>ROUND(N(data!S84), 0)</f>
        <v>670</v>
      </c>
      <c r="AE18" s="198">
        <f>ROUND(N(data!S89), 0)</f>
        <v>-783</v>
      </c>
      <c r="AF18" s="198">
        <f>ROUND(N(data!S87), 0)</f>
        <v>-783</v>
      </c>
      <c r="AG18" s="198">
        <f>ROUND(N(data!S90), 0)</f>
        <v>5572</v>
      </c>
      <c r="AH18" s="198">
        <f>ROUND(N(data!S91), 0)</f>
        <v>0</v>
      </c>
      <c r="AI18" s="198">
        <f>ROUND(N(data!S92), 0)</f>
        <v>2042</v>
      </c>
      <c r="AJ18" s="198">
        <f>ROUND(N(data!S93), 0)</f>
        <v>0</v>
      </c>
      <c r="AK18" s="313">
        <f>ROUND(N(data!S94), 2)</f>
        <v>0.08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201</v>
      </c>
      <c r="B19" s="200" t="str">
        <f>RIGHT(data!$C$96,4)</f>
        <v>2024</v>
      </c>
      <c r="C19" s="12" t="str">
        <f>data!T$55</f>
        <v>7060</v>
      </c>
      <c r="D19" s="12" t="s">
        <v>1156</v>
      </c>
      <c r="E19" s="198">
        <f>ROUND(N(data!T59), 0)</f>
        <v>0</v>
      </c>
      <c r="F19" s="313">
        <f>ROUND(N(data!T60), 2)</f>
        <v>5.67</v>
      </c>
      <c r="G19" s="198">
        <f>ROUND(N(data!T61), 0)</f>
        <v>1046923</v>
      </c>
      <c r="H19" s="198">
        <f>ROUND(N(data!T62), 0)</f>
        <v>235988</v>
      </c>
      <c r="I19" s="198">
        <f>ROUND(N(data!T63), 0)</f>
        <v>0</v>
      </c>
      <c r="J19" s="198">
        <f>ROUND(N(data!T64), 0)</f>
        <v>361502</v>
      </c>
      <c r="K19" s="198">
        <f>ROUND(N(data!T65), 0)</f>
        <v>0</v>
      </c>
      <c r="L19" s="198">
        <f>ROUND(N(data!T66), 0)</f>
        <v>99</v>
      </c>
      <c r="M19" s="198">
        <f>ROUND(N(data!T67), 0)</f>
        <v>15717</v>
      </c>
      <c r="N19" s="198">
        <f>ROUND(N(data!T68), 0)</f>
        <v>0</v>
      </c>
      <c r="O19" s="198">
        <f>ROUND(N(data!T69), 0)</f>
        <v>540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540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8598277</v>
      </c>
      <c r="AF19" s="198">
        <f>ROUND(N(data!T87), 0)</f>
        <v>8184572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13">
        <f>ROUND(N(data!T94), 2)</f>
        <v>5.47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201</v>
      </c>
      <c r="B20" s="200" t="str">
        <f>RIGHT(data!$C$96,4)</f>
        <v>2024</v>
      </c>
      <c r="C20" s="12" t="str">
        <f>data!U$55</f>
        <v>7070</v>
      </c>
      <c r="D20" s="12" t="s">
        <v>1156</v>
      </c>
      <c r="E20" s="198">
        <f>ROUND(N(data!U59), 0)</f>
        <v>603215</v>
      </c>
      <c r="F20" s="313">
        <f>ROUND(N(data!U60), 2)</f>
        <v>26.66</v>
      </c>
      <c r="G20" s="198">
        <f>ROUND(N(data!U61), 0)</f>
        <v>2445565</v>
      </c>
      <c r="H20" s="198">
        <f>ROUND(N(data!U62), 0)</f>
        <v>553009</v>
      </c>
      <c r="I20" s="198">
        <f>ROUND(N(data!U63), 0)</f>
        <v>32815</v>
      </c>
      <c r="J20" s="198">
        <f>ROUND(N(data!U64), 0)</f>
        <v>1716225</v>
      </c>
      <c r="K20" s="198">
        <f>ROUND(N(data!U65), 0)</f>
        <v>522</v>
      </c>
      <c r="L20" s="198">
        <f>ROUND(N(data!U66), 0)</f>
        <v>531487</v>
      </c>
      <c r="M20" s="198">
        <f>ROUND(N(data!U67), 0)</f>
        <v>146803</v>
      </c>
      <c r="N20" s="198">
        <f>ROUND(N(data!U68), 0)</f>
        <v>104886</v>
      </c>
      <c r="O20" s="198">
        <f>ROUND(N(data!U69), 0)</f>
        <v>1488291</v>
      </c>
      <c r="P20" s="198">
        <f>ROUND(N(data!U70), 0)</f>
        <v>617932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816472</v>
      </c>
      <c r="W20" s="198">
        <f>ROUND(N(data!U77), 0)</f>
        <v>19026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1168</v>
      </c>
      <c r="AB20" s="198">
        <f>ROUND(N(data!U82), 0)</f>
        <v>0</v>
      </c>
      <c r="AC20" s="198">
        <f>ROUND(N(data!U83), 0)</f>
        <v>33693</v>
      </c>
      <c r="AD20" s="198">
        <f>ROUND(N(data!U84), 0)</f>
        <v>17922</v>
      </c>
      <c r="AE20" s="198">
        <f>ROUND(N(data!U89), 0)</f>
        <v>99720621</v>
      </c>
      <c r="AF20" s="198">
        <f>ROUND(N(data!U87), 0)</f>
        <v>56326376</v>
      </c>
      <c r="AG20" s="198">
        <f>ROUND(N(data!U90), 0)</f>
        <v>6711</v>
      </c>
      <c r="AH20" s="198">
        <f>ROUND(N(data!U91), 0)</f>
        <v>0</v>
      </c>
      <c r="AI20" s="198">
        <f>ROUND(N(data!U92), 0)</f>
        <v>1978</v>
      </c>
      <c r="AJ20" s="198">
        <f>ROUND(N(data!U93), 0)</f>
        <v>0</v>
      </c>
      <c r="AK20" s="313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201</v>
      </c>
      <c r="B21" s="200" t="str">
        <f>RIGHT(data!$C$96,4)</f>
        <v>2024</v>
      </c>
      <c r="C21" s="12" t="str">
        <f>data!V$55</f>
        <v>7110</v>
      </c>
      <c r="D21" s="12" t="s">
        <v>1156</v>
      </c>
      <c r="E21" s="198">
        <f>ROUND(N(data!V59), 0)</f>
        <v>0</v>
      </c>
      <c r="F21" s="313">
        <f>ROUND(N(data!V60), 2)</f>
        <v>5.57</v>
      </c>
      <c r="G21" s="198">
        <f>ROUND(N(data!V61), 0)</f>
        <v>761896</v>
      </c>
      <c r="H21" s="198">
        <f>ROUND(N(data!V62), 0)</f>
        <v>171740</v>
      </c>
      <c r="I21" s="198">
        <f>ROUND(N(data!V63), 0)</f>
        <v>0</v>
      </c>
      <c r="J21" s="198">
        <f>ROUND(N(data!V64), 0)</f>
        <v>174567</v>
      </c>
      <c r="K21" s="198">
        <f>ROUND(N(data!V65), 0)</f>
        <v>842</v>
      </c>
      <c r="L21" s="198">
        <f>ROUND(N(data!V66), 0)</f>
        <v>31788</v>
      </c>
      <c r="M21" s="198">
        <f>ROUND(N(data!V67), 0)</f>
        <v>59170</v>
      </c>
      <c r="N21" s="198">
        <f>ROUND(N(data!V68), 0)</f>
        <v>62907</v>
      </c>
      <c r="O21" s="198">
        <f>ROUND(N(data!V69), 0)</f>
        <v>33677</v>
      </c>
      <c r="P21" s="198">
        <f>ROUND(N(data!V70), 0)</f>
        <v>0</v>
      </c>
      <c r="Q21" s="198">
        <f>ROUND(N(data!V71), 0)</f>
        <v>17078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15812</v>
      </c>
      <c r="X21" s="198">
        <f>ROUND(N(data!V78), 0)</f>
        <v>0</v>
      </c>
      <c r="Y21" s="198">
        <f>ROUND(N(data!V79), 0)</f>
        <v>0</v>
      </c>
      <c r="Z21" s="198">
        <f>ROUND(N(data!V80), 0)</f>
        <v>565</v>
      </c>
      <c r="AA21" s="198">
        <f>ROUND(N(data!V81), 0)</f>
        <v>0</v>
      </c>
      <c r="AB21" s="198">
        <f>ROUND(N(data!V82), 0)</f>
        <v>0</v>
      </c>
      <c r="AC21" s="198">
        <f>ROUND(N(data!V83), 0)</f>
        <v>222</v>
      </c>
      <c r="AD21" s="198">
        <f>ROUND(N(data!V84), 0)</f>
        <v>0</v>
      </c>
      <c r="AE21" s="198">
        <f>ROUND(N(data!V89), 0)</f>
        <v>23630809</v>
      </c>
      <c r="AF21" s="198">
        <f>ROUND(N(data!V87), 0)</f>
        <v>15358052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13">
        <f>ROUND(N(data!V94), 2)</f>
        <v>1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201</v>
      </c>
      <c r="B22" s="200" t="str">
        <f>RIGHT(data!$C$96,4)</f>
        <v>2024</v>
      </c>
      <c r="C22" s="12" t="str">
        <f>data!W$55</f>
        <v>7120</v>
      </c>
      <c r="D22" s="12" t="s">
        <v>1156</v>
      </c>
      <c r="E22" s="198">
        <f>ROUND(N(data!W59), 0)</f>
        <v>24360</v>
      </c>
      <c r="F22" s="313">
        <f>ROUND(N(data!W60), 2)</f>
        <v>2.71</v>
      </c>
      <c r="G22" s="198">
        <f>ROUND(N(data!W61), 0)</f>
        <v>484870</v>
      </c>
      <c r="H22" s="198">
        <f>ROUND(N(data!W62), 0)</f>
        <v>109295</v>
      </c>
      <c r="I22" s="198">
        <f>ROUND(N(data!W63), 0)</f>
        <v>0</v>
      </c>
      <c r="J22" s="198">
        <f>ROUND(N(data!W64), 0)</f>
        <v>26476</v>
      </c>
      <c r="K22" s="198">
        <f>ROUND(N(data!W65), 0)</f>
        <v>109</v>
      </c>
      <c r="L22" s="198">
        <f>ROUND(N(data!W66), 0)</f>
        <v>12925</v>
      </c>
      <c r="M22" s="198">
        <f>ROUND(N(data!W67), 0)</f>
        <v>0</v>
      </c>
      <c r="N22" s="198">
        <f>ROUND(N(data!W68), 0)</f>
        <v>164</v>
      </c>
      <c r="O22" s="198">
        <f>ROUND(N(data!W69), 0)</f>
        <v>305346</v>
      </c>
      <c r="P22" s="198">
        <f>ROUND(N(data!W70), 0)</f>
        <v>0</v>
      </c>
      <c r="Q22" s="198">
        <f>ROUND(N(data!W71), 0)</f>
        <v>283939</v>
      </c>
      <c r="R22" s="198">
        <f>ROUND(N(data!W72), 0)</f>
        <v>0</v>
      </c>
      <c r="S22" s="198">
        <f>ROUND(N(data!W73), 0)</f>
        <v>0</v>
      </c>
      <c r="T22" s="198">
        <f>ROUND(N(data!W74), 0)</f>
        <v>21407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22621153</v>
      </c>
      <c r="AF22" s="198">
        <f>ROUND(N(data!W87), 0)</f>
        <v>7294488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32237</v>
      </c>
      <c r="AK22" s="313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201</v>
      </c>
      <c r="B23" s="200" t="str">
        <f>RIGHT(data!$C$96,4)</f>
        <v>2024</v>
      </c>
      <c r="C23" s="12" t="str">
        <f>data!X$55</f>
        <v>7130</v>
      </c>
      <c r="D23" s="12" t="s">
        <v>1156</v>
      </c>
      <c r="E23" s="198">
        <f>ROUND(N(data!X59), 0)</f>
        <v>26551</v>
      </c>
      <c r="F23" s="313">
        <f>ROUND(N(data!X60), 2)</f>
        <v>5.92</v>
      </c>
      <c r="G23" s="198">
        <f>ROUND(N(data!X61), 0)</f>
        <v>862359</v>
      </c>
      <c r="H23" s="198">
        <f>ROUND(N(data!X62), 0)</f>
        <v>194385</v>
      </c>
      <c r="I23" s="198">
        <f>ROUND(N(data!X63), 0)</f>
        <v>0</v>
      </c>
      <c r="J23" s="198">
        <f>ROUND(N(data!X64), 0)</f>
        <v>281963</v>
      </c>
      <c r="K23" s="198">
        <f>ROUND(N(data!X65), 0)</f>
        <v>0</v>
      </c>
      <c r="L23" s="198">
        <f>ROUND(N(data!X66), 0)</f>
        <v>24599</v>
      </c>
      <c r="M23" s="198">
        <f>ROUND(N(data!X67), 0)</f>
        <v>17308</v>
      </c>
      <c r="N23" s="198">
        <f>ROUND(N(data!X68), 0)</f>
        <v>336</v>
      </c>
      <c r="O23" s="198">
        <f>ROUND(N(data!X69), 0)</f>
        <v>589785</v>
      </c>
      <c r="P23" s="198">
        <f>ROUND(N(data!X70), 0)</f>
        <v>0</v>
      </c>
      <c r="Q23" s="198">
        <f>ROUND(N(data!X71), 0)</f>
        <v>589785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177052553</v>
      </c>
      <c r="AF23" s="198">
        <f>ROUND(N(data!X87), 0)</f>
        <v>57626607</v>
      </c>
      <c r="AG23" s="198">
        <f>ROUND(N(data!X90), 0)</f>
        <v>787</v>
      </c>
      <c r="AH23" s="198">
        <f>ROUND(N(data!X91), 0)</f>
        <v>0</v>
      </c>
      <c r="AI23" s="198">
        <f>ROUND(N(data!X92), 0)</f>
        <v>288</v>
      </c>
      <c r="AJ23" s="198">
        <f>ROUND(N(data!X93), 0)</f>
        <v>0</v>
      </c>
      <c r="AK23" s="313">
        <f>ROUND(N(data!X94), 2)</f>
        <v>0.04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201</v>
      </c>
      <c r="B24" s="200" t="str">
        <f>RIGHT(data!$C$96,4)</f>
        <v>2024</v>
      </c>
      <c r="C24" s="12" t="str">
        <f>data!Y$55</f>
        <v>7140</v>
      </c>
      <c r="D24" s="12" t="s">
        <v>1156</v>
      </c>
      <c r="E24" s="198">
        <f>ROUND(N(data!Y59), 0)</f>
        <v>26584</v>
      </c>
      <c r="F24" s="313">
        <f>ROUND(N(data!Y60), 2)</f>
        <v>32.78</v>
      </c>
      <c r="G24" s="198">
        <f>ROUND(N(data!Y61), 0)</f>
        <v>3903409</v>
      </c>
      <c r="H24" s="198">
        <f>ROUND(N(data!Y62), 0)</f>
        <v>880014</v>
      </c>
      <c r="I24" s="198">
        <f>ROUND(N(data!Y63), 0)</f>
        <v>36063</v>
      </c>
      <c r="J24" s="198">
        <f>ROUND(N(data!Y64), 0)</f>
        <v>196390</v>
      </c>
      <c r="K24" s="198">
        <f>ROUND(N(data!Y65), 0)</f>
        <v>5608</v>
      </c>
      <c r="L24" s="198">
        <f>ROUND(N(data!Y66), 0)</f>
        <v>789892</v>
      </c>
      <c r="M24" s="198">
        <f>ROUND(N(data!Y67), 0)</f>
        <v>745712</v>
      </c>
      <c r="N24" s="198">
        <f>ROUND(N(data!Y68), 0)</f>
        <v>308589</v>
      </c>
      <c r="O24" s="198">
        <f>ROUND(N(data!Y69), 0)</f>
        <v>171884</v>
      </c>
      <c r="P24" s="198">
        <f>ROUND(N(data!Y70), 0)</f>
        <v>0</v>
      </c>
      <c r="Q24" s="198">
        <f>ROUND(N(data!Y71), 0)</f>
        <v>115011</v>
      </c>
      <c r="R24" s="198">
        <f>ROUND(N(data!Y72), 0)</f>
        <v>0</v>
      </c>
      <c r="S24" s="198">
        <f>ROUND(N(data!Y73), 0)</f>
        <v>0</v>
      </c>
      <c r="T24" s="198">
        <f>ROUND(N(data!Y74), 0)</f>
        <v>34327</v>
      </c>
      <c r="U24" s="198">
        <f>ROUND(N(data!Y75), 0)</f>
        <v>0</v>
      </c>
      <c r="V24" s="198">
        <f>ROUND(N(data!Y76), 0)</f>
        <v>0</v>
      </c>
      <c r="W24" s="198">
        <f>ROUND(N(data!Y77), 0)</f>
        <v>7482</v>
      </c>
      <c r="X24" s="198">
        <f>ROUND(N(data!Y78), 0)</f>
        <v>0</v>
      </c>
      <c r="Y24" s="198">
        <f>ROUND(N(data!Y79), 0)</f>
        <v>0</v>
      </c>
      <c r="Z24" s="198">
        <f>ROUND(N(data!Y80), 0)</f>
        <v>1607</v>
      </c>
      <c r="AA24" s="198">
        <f>ROUND(N(data!Y81), 0)</f>
        <v>0</v>
      </c>
      <c r="AB24" s="198">
        <f>ROUND(N(data!Y82), 0)</f>
        <v>0</v>
      </c>
      <c r="AC24" s="198">
        <f>ROUND(N(data!Y83), 0)</f>
        <v>13457</v>
      </c>
      <c r="AD24" s="198">
        <f>ROUND(N(data!Y84), 0)</f>
        <v>4864</v>
      </c>
      <c r="AE24" s="198">
        <f>ROUND(N(data!Y89), 0)</f>
        <v>57400089</v>
      </c>
      <c r="AF24" s="198">
        <f>ROUND(N(data!Y87), 0)</f>
        <v>14762264</v>
      </c>
      <c r="AG24" s="198">
        <f>ROUND(N(data!Y90), 0)</f>
        <v>24598</v>
      </c>
      <c r="AH24" s="198">
        <f>ROUND(N(data!Y91), 0)</f>
        <v>4</v>
      </c>
      <c r="AI24" s="198">
        <f>ROUND(N(data!Y92), 0)</f>
        <v>9017</v>
      </c>
      <c r="AJ24" s="198">
        <f>ROUND(N(data!Y93), 0)</f>
        <v>52620</v>
      </c>
      <c r="AK24" s="313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201</v>
      </c>
      <c r="B25" s="200" t="str">
        <f>RIGHT(data!$C$96,4)</f>
        <v>2024</v>
      </c>
      <c r="C25" s="12" t="str">
        <f>data!Z$55</f>
        <v>7150</v>
      </c>
      <c r="D25" s="12" t="s">
        <v>1156</v>
      </c>
      <c r="E25" s="198">
        <f>ROUND(N(data!Z59), 0)</f>
        <v>423546</v>
      </c>
      <c r="F25" s="313">
        <f>ROUND(N(data!Z60), 2)</f>
        <v>6.03</v>
      </c>
      <c r="G25" s="198">
        <f>ROUND(N(data!Z61), 0)</f>
        <v>922000</v>
      </c>
      <c r="H25" s="198">
        <f>ROUND(N(data!Z62), 0)</f>
        <v>207829</v>
      </c>
      <c r="I25" s="198">
        <f>ROUND(N(data!Z63), 0)</f>
        <v>0</v>
      </c>
      <c r="J25" s="198">
        <f>ROUND(N(data!Z64), 0)</f>
        <v>28906</v>
      </c>
      <c r="K25" s="198">
        <f>ROUND(N(data!Z65), 0)</f>
        <v>711</v>
      </c>
      <c r="L25" s="198">
        <f>ROUND(N(data!Z66), 0)</f>
        <v>1028039</v>
      </c>
      <c r="M25" s="198">
        <f>ROUND(N(data!Z67), 0)</f>
        <v>653037</v>
      </c>
      <c r="N25" s="198">
        <f>ROUND(N(data!Z68), 0)</f>
        <v>2617</v>
      </c>
      <c r="O25" s="198">
        <f>ROUND(N(data!Z69), 0)</f>
        <v>346089</v>
      </c>
      <c r="P25" s="198">
        <f>ROUND(N(data!Z70), 0)</f>
        <v>0</v>
      </c>
      <c r="Q25" s="198">
        <f>ROUND(N(data!Z71), 0)</f>
        <v>13613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331945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532</v>
      </c>
      <c r="AD25" s="198">
        <f>ROUND(N(data!Z84), 0)</f>
        <v>0</v>
      </c>
      <c r="AE25" s="198">
        <f>ROUND(N(data!Z89), 0)</f>
        <v>30662926</v>
      </c>
      <c r="AF25" s="198">
        <f>ROUND(N(data!Z87), 0)</f>
        <v>282138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313">
        <f>ROUND(N(data!Z94), 2)</f>
        <v>1.64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201</v>
      </c>
      <c r="B26" s="200" t="str">
        <f>RIGHT(data!$C$96,4)</f>
        <v>2024</v>
      </c>
      <c r="C26" s="12" t="str">
        <f>data!AA$55</f>
        <v>7160</v>
      </c>
      <c r="D26" s="12" t="s">
        <v>1156</v>
      </c>
      <c r="E26" s="198">
        <f>ROUND(N(data!AA59), 0)</f>
        <v>3361</v>
      </c>
      <c r="F26" s="313">
        <f>ROUND(N(data!AA60), 2)</f>
        <v>2.34</v>
      </c>
      <c r="G26" s="198">
        <f>ROUND(N(data!AA61), 0)</f>
        <v>312166</v>
      </c>
      <c r="H26" s="198">
        <f>ROUND(N(data!AA62), 0)</f>
        <v>70366</v>
      </c>
      <c r="I26" s="198">
        <f>ROUND(N(data!AA63), 0)</f>
        <v>0</v>
      </c>
      <c r="J26" s="198">
        <f>ROUND(N(data!AA64), 0)</f>
        <v>156258</v>
      </c>
      <c r="K26" s="198">
        <f>ROUND(N(data!AA65), 0)</f>
        <v>196</v>
      </c>
      <c r="L26" s="198">
        <f>ROUND(N(data!AA66), 0)</f>
        <v>362488</v>
      </c>
      <c r="M26" s="198">
        <f>ROUND(N(data!AA67), 0)</f>
        <v>17033</v>
      </c>
      <c r="N26" s="198">
        <f>ROUND(N(data!AA68), 0)</f>
        <v>708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11303410</v>
      </c>
      <c r="AF26" s="198">
        <f>ROUND(N(data!AA87), 0)</f>
        <v>2138666</v>
      </c>
      <c r="AG26" s="198">
        <f>ROUND(N(data!AA90), 0)</f>
        <v>788</v>
      </c>
      <c r="AH26" s="198">
        <f>ROUND(N(data!AA91), 0)</f>
        <v>0</v>
      </c>
      <c r="AI26" s="198">
        <f>ROUND(N(data!AA92), 0)</f>
        <v>289</v>
      </c>
      <c r="AJ26" s="198">
        <f>ROUND(N(data!AA93), 0)</f>
        <v>0</v>
      </c>
      <c r="AK26" s="313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201</v>
      </c>
      <c r="B27" s="200" t="str">
        <f>RIGHT(data!$C$96,4)</f>
        <v>2024</v>
      </c>
      <c r="C27" s="12" t="str">
        <f>data!AB$55</f>
        <v>7170</v>
      </c>
      <c r="D27" s="12" t="s">
        <v>1156</v>
      </c>
      <c r="E27" s="198">
        <f>ROUND(N(data!AB59), 0)</f>
        <v>0</v>
      </c>
      <c r="F27" s="313">
        <f>ROUND(N(data!AB60), 2)</f>
        <v>26.66</v>
      </c>
      <c r="G27" s="198">
        <f>ROUND(N(data!AB61), 0)</f>
        <v>3668490</v>
      </c>
      <c r="H27" s="198">
        <f>ROUND(N(data!AB62), 0)</f>
        <v>827367</v>
      </c>
      <c r="I27" s="198">
        <f>ROUND(N(data!AB63), 0)</f>
        <v>0</v>
      </c>
      <c r="J27" s="198">
        <f>ROUND(N(data!AB64), 0)</f>
        <v>9295327</v>
      </c>
      <c r="K27" s="198">
        <f>ROUND(N(data!AB65), 0)</f>
        <v>3355</v>
      </c>
      <c r="L27" s="198">
        <f>ROUND(N(data!AB66), 0)</f>
        <v>176759</v>
      </c>
      <c r="M27" s="198">
        <f>ROUND(N(data!AB67), 0)</f>
        <v>122860</v>
      </c>
      <c r="N27" s="198">
        <f>ROUND(N(data!AB68), 0)</f>
        <v>267786</v>
      </c>
      <c r="O27" s="198">
        <f>ROUND(N(data!AB69), 0)</f>
        <v>2235033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78793</v>
      </c>
      <c r="X27" s="198">
        <f>ROUND(N(data!AB78), 0)</f>
        <v>0</v>
      </c>
      <c r="Y27" s="198">
        <f>ROUND(N(data!AB79), 0)</f>
        <v>0</v>
      </c>
      <c r="Z27" s="198">
        <f>ROUND(N(data!AB80), 0)</f>
        <v>2085</v>
      </c>
      <c r="AA27" s="198">
        <f>ROUND(N(data!AB81), 0)</f>
        <v>0</v>
      </c>
      <c r="AB27" s="198">
        <f>ROUND(N(data!AB82), 0)</f>
        <v>0</v>
      </c>
      <c r="AC27" s="198">
        <f>ROUND(N(data!AB83), 0)</f>
        <v>2154156</v>
      </c>
      <c r="AD27" s="198">
        <f>ROUND(N(data!AB84), 0)</f>
        <v>3369273</v>
      </c>
      <c r="AE27" s="198">
        <f>ROUND(N(data!AB89), 0)</f>
        <v>194752065</v>
      </c>
      <c r="AF27" s="198">
        <f>ROUND(N(data!AB87), 0)</f>
        <v>101768270</v>
      </c>
      <c r="AG27" s="198">
        <f>ROUND(N(data!AB90), 0)</f>
        <v>3720</v>
      </c>
      <c r="AH27" s="198">
        <f>ROUND(N(data!AB91), 0)</f>
        <v>0</v>
      </c>
      <c r="AI27" s="198">
        <f>ROUND(N(data!AB92), 0)</f>
        <v>1476</v>
      </c>
      <c r="AJ27" s="198">
        <f>ROUND(N(data!AB93), 0)</f>
        <v>0</v>
      </c>
      <c r="AK27" s="313">
        <f>ROUND(N(data!AB94), 2)</f>
        <v>0.01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201</v>
      </c>
      <c r="B28" s="200" t="str">
        <f>RIGHT(data!$C$96,4)</f>
        <v>2024</v>
      </c>
      <c r="C28" s="12" t="str">
        <f>data!AC$55</f>
        <v>7180</v>
      </c>
      <c r="D28" s="12" t="s">
        <v>1156</v>
      </c>
      <c r="E28" s="198">
        <f>ROUND(N(data!AC59), 0)</f>
        <v>77244</v>
      </c>
      <c r="F28" s="313">
        <f>ROUND(N(data!AC60), 2)</f>
        <v>13.35</v>
      </c>
      <c r="G28" s="198">
        <f>ROUND(N(data!AC61), 0)</f>
        <v>1638061</v>
      </c>
      <c r="H28" s="198">
        <f>ROUND(N(data!AC62), 0)</f>
        <v>371572</v>
      </c>
      <c r="I28" s="198">
        <f>ROUND(N(data!AC63), 0)</f>
        <v>270</v>
      </c>
      <c r="J28" s="198">
        <f>ROUND(N(data!AC64), 0)</f>
        <v>405967</v>
      </c>
      <c r="K28" s="198">
        <f>ROUND(N(data!AC65), 0)</f>
        <v>803</v>
      </c>
      <c r="L28" s="198">
        <f>ROUND(N(data!AC66), 0)</f>
        <v>40744</v>
      </c>
      <c r="M28" s="198">
        <f>ROUND(N(data!AC67), 0)</f>
        <v>64347</v>
      </c>
      <c r="N28" s="198">
        <f>ROUND(N(data!AC68), 0)</f>
        <v>4114</v>
      </c>
      <c r="O28" s="198">
        <f>ROUND(N(data!AC69), 0)</f>
        <v>10835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1317</v>
      </c>
      <c r="X28" s="198">
        <f>ROUND(N(data!AC78), 0)</f>
        <v>0</v>
      </c>
      <c r="Y28" s="198">
        <f>ROUND(N(data!AC79), 0)</f>
        <v>0</v>
      </c>
      <c r="Z28" s="198">
        <f>ROUND(N(data!AC80), 0)</f>
        <v>3387</v>
      </c>
      <c r="AA28" s="198">
        <f>ROUND(N(data!AC81), 0)</f>
        <v>0</v>
      </c>
      <c r="AB28" s="198">
        <f>ROUND(N(data!AC82), 0)</f>
        <v>0</v>
      </c>
      <c r="AC28" s="198">
        <f>ROUND(N(data!AC83), 0)</f>
        <v>6130</v>
      </c>
      <c r="AD28" s="198">
        <f>ROUND(N(data!AC84), 0)</f>
        <v>0</v>
      </c>
      <c r="AE28" s="198">
        <f>ROUND(N(data!AC89), 0)</f>
        <v>40782932</v>
      </c>
      <c r="AF28" s="198">
        <f>ROUND(N(data!AC87), 0)</f>
        <v>32535890</v>
      </c>
      <c r="AG28" s="198">
        <f>ROUND(N(data!AC90), 0)</f>
        <v>1185</v>
      </c>
      <c r="AH28" s="198">
        <f>ROUND(N(data!AC91), 0)</f>
        <v>0</v>
      </c>
      <c r="AI28" s="198">
        <f>ROUND(N(data!AC92), 0)</f>
        <v>434</v>
      </c>
      <c r="AJ28" s="198">
        <f>ROUND(N(data!AC93), 0)</f>
        <v>0</v>
      </c>
      <c r="AK28" s="313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201</v>
      </c>
      <c r="B29" s="200" t="str">
        <f>RIGHT(data!$C$96,4)</f>
        <v>2024</v>
      </c>
      <c r="C29" s="12" t="str">
        <f>data!AD$55</f>
        <v>7190</v>
      </c>
      <c r="D29" s="12" t="s">
        <v>1156</v>
      </c>
      <c r="E29" s="198">
        <f>ROUND(N(data!AD59), 0)</f>
        <v>0</v>
      </c>
      <c r="F29" s="313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1076146</v>
      </c>
      <c r="M29" s="198">
        <f>ROUND(N(data!AD67), 0)</f>
        <v>24225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4549759</v>
      </c>
      <c r="AF29" s="198">
        <f>ROUND(N(data!AD87), 0)</f>
        <v>4433093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3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201</v>
      </c>
      <c r="B30" s="200" t="str">
        <f>RIGHT(data!$C$96,4)</f>
        <v>2024</v>
      </c>
      <c r="C30" s="12" t="str">
        <f>data!AE$55</f>
        <v>7200</v>
      </c>
      <c r="D30" s="12" t="s">
        <v>1156</v>
      </c>
      <c r="E30" s="198">
        <f>ROUND(N(data!AE59), 0)</f>
        <v>23444</v>
      </c>
      <c r="F30" s="313">
        <f>ROUND(N(data!AE60), 2)</f>
        <v>6.39</v>
      </c>
      <c r="G30" s="198">
        <f>ROUND(N(data!AE61), 0)</f>
        <v>872712</v>
      </c>
      <c r="H30" s="198">
        <f>ROUND(N(data!AE62), 0)</f>
        <v>196719</v>
      </c>
      <c r="I30" s="198">
        <f>ROUND(N(data!AE63), 0)</f>
        <v>0</v>
      </c>
      <c r="J30" s="198">
        <f>ROUND(N(data!AE64), 0)</f>
        <v>5497</v>
      </c>
      <c r="K30" s="198">
        <f>ROUND(N(data!AE65), 0)</f>
        <v>2996</v>
      </c>
      <c r="L30" s="198">
        <f>ROUND(N(data!AE66), 0)</f>
        <v>681</v>
      </c>
      <c r="M30" s="198">
        <f>ROUND(N(data!AE67), 0)</f>
        <v>181958</v>
      </c>
      <c r="N30" s="198">
        <f>ROUND(N(data!AE68), 0)</f>
        <v>191221</v>
      </c>
      <c r="O30" s="198">
        <f>ROUND(N(data!AE69), 0)</f>
        <v>40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40</v>
      </c>
      <c r="AD30" s="198">
        <f>ROUND(N(data!AE84), 0)</f>
        <v>0</v>
      </c>
      <c r="AE30" s="198">
        <f>ROUND(N(data!AE89), 0)</f>
        <v>5549705</v>
      </c>
      <c r="AF30" s="198">
        <f>ROUND(N(data!AE87), 0)</f>
        <v>5018757</v>
      </c>
      <c r="AG30" s="198">
        <f>ROUND(N(data!AE90), 0)</f>
        <v>9857</v>
      </c>
      <c r="AH30" s="198">
        <f>ROUND(N(data!AE91), 0)</f>
        <v>0</v>
      </c>
      <c r="AI30" s="198">
        <f>ROUND(N(data!AE92), 0)</f>
        <v>3613</v>
      </c>
      <c r="AJ30" s="198">
        <f>ROUND(N(data!AE93), 0)</f>
        <v>0</v>
      </c>
      <c r="AK30" s="313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201</v>
      </c>
      <c r="B31" s="200" t="str">
        <f>RIGHT(data!$C$96,4)</f>
        <v>2024</v>
      </c>
      <c r="C31" s="12" t="str">
        <f>data!AF$55</f>
        <v>7220</v>
      </c>
      <c r="D31" s="12" t="s">
        <v>1156</v>
      </c>
      <c r="E31" s="198">
        <f>ROUND(N(data!AF59), 0)</f>
        <v>0</v>
      </c>
      <c r="F31" s="313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3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201</v>
      </c>
      <c r="B32" s="200" t="str">
        <f>RIGHT(data!$C$96,4)</f>
        <v>2024</v>
      </c>
      <c r="C32" s="12" t="str">
        <f>data!AG$55</f>
        <v>7230</v>
      </c>
      <c r="D32" s="12" t="s">
        <v>1156</v>
      </c>
      <c r="E32" s="198">
        <f>ROUND(N(data!AG59), 0)</f>
        <v>44351</v>
      </c>
      <c r="F32" s="313">
        <f>ROUND(N(data!AG60), 2)</f>
        <v>66.099999999999994</v>
      </c>
      <c r="G32" s="198">
        <f>ROUND(N(data!AG61), 0)</f>
        <v>7623712</v>
      </c>
      <c r="H32" s="198">
        <f>ROUND(N(data!AG62), 0)</f>
        <v>1719115</v>
      </c>
      <c r="I32" s="198">
        <f>ROUND(N(data!AG63), 0)</f>
        <v>728333</v>
      </c>
      <c r="J32" s="198">
        <f>ROUND(N(data!AG64), 0)</f>
        <v>1977901</v>
      </c>
      <c r="K32" s="198">
        <f>ROUND(N(data!AG65), 0)</f>
        <v>294</v>
      </c>
      <c r="L32" s="198">
        <f>ROUND(N(data!AG66), 0)</f>
        <v>119867</v>
      </c>
      <c r="M32" s="198">
        <f>ROUND(N(data!AG67), 0)</f>
        <v>268753</v>
      </c>
      <c r="N32" s="198">
        <f>ROUND(N(data!AG68), 0)</f>
        <v>54536</v>
      </c>
      <c r="O32" s="198">
        <f>ROUND(N(data!AG69), 0)</f>
        <v>178786</v>
      </c>
      <c r="P32" s="198">
        <f>ROUND(N(data!AG70), 0)</f>
        <v>0</v>
      </c>
      <c r="Q32" s="198">
        <f>ROUND(N(data!AG71), 0)</f>
        <v>-87699</v>
      </c>
      <c r="R32" s="198">
        <f>ROUND(N(data!AG72), 0)</f>
        <v>0</v>
      </c>
      <c r="S32" s="198">
        <f>ROUND(N(data!AG73), 0)</f>
        <v>0</v>
      </c>
      <c r="T32" s="198">
        <f>ROUND(N(data!AG74), 0)</f>
        <v>127232</v>
      </c>
      <c r="U32" s="198">
        <f>ROUND(N(data!AG75), 0)</f>
        <v>0</v>
      </c>
      <c r="V32" s="198">
        <f>ROUND(N(data!AG76), 0)</f>
        <v>0</v>
      </c>
      <c r="W32" s="198">
        <f>ROUND(N(data!AG77), 0)</f>
        <v>46969</v>
      </c>
      <c r="X32" s="198">
        <f>ROUND(N(data!AG78), 0)</f>
        <v>0</v>
      </c>
      <c r="Y32" s="198">
        <f>ROUND(N(data!AG79), 0)</f>
        <v>0</v>
      </c>
      <c r="Z32" s="198">
        <f>ROUND(N(data!AG80), 0)</f>
        <v>33797</v>
      </c>
      <c r="AA32" s="198">
        <f>ROUND(N(data!AG81), 0)</f>
        <v>0</v>
      </c>
      <c r="AB32" s="198">
        <f>ROUND(N(data!AG82), 0)</f>
        <v>0</v>
      </c>
      <c r="AC32" s="198">
        <f>ROUND(N(data!AG83), 0)</f>
        <v>58487</v>
      </c>
      <c r="AD32" s="198">
        <f>ROUND(N(data!AG84), 0)</f>
        <v>-3000</v>
      </c>
      <c r="AE32" s="198">
        <f>ROUND(N(data!AG89), 0)</f>
        <v>204768861</v>
      </c>
      <c r="AF32" s="198">
        <f>ROUND(N(data!AG87), 0)</f>
        <v>52653603</v>
      </c>
      <c r="AG32" s="198">
        <f>ROUND(N(data!AG90), 0)</f>
        <v>10167</v>
      </c>
      <c r="AH32" s="198">
        <f>ROUND(N(data!AG91), 0)</f>
        <v>12597</v>
      </c>
      <c r="AI32" s="198">
        <f>ROUND(N(data!AG92), 0)</f>
        <v>4297</v>
      </c>
      <c r="AJ32" s="198">
        <f>ROUND(N(data!AG93), 0)</f>
        <v>212766</v>
      </c>
      <c r="AK32" s="313">
        <f>ROUND(N(data!AG94), 2)</f>
        <v>43.95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201</v>
      </c>
      <c r="B33" s="200" t="str">
        <f>RIGHT(data!$C$96,4)</f>
        <v>2024</v>
      </c>
      <c r="C33" s="12" t="str">
        <f>data!AH$55</f>
        <v>7240</v>
      </c>
      <c r="D33" s="12" t="s">
        <v>1156</v>
      </c>
      <c r="E33" s="198">
        <f>ROUND(N(data!AH59), 0)</f>
        <v>0</v>
      </c>
      <c r="F33" s="313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313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201</v>
      </c>
      <c r="B34" s="200" t="str">
        <f>RIGHT(data!$C$96,4)</f>
        <v>2024</v>
      </c>
      <c r="C34" s="12" t="str">
        <f>data!AI$55</f>
        <v>7250</v>
      </c>
      <c r="D34" s="12" t="s">
        <v>1156</v>
      </c>
      <c r="E34" s="198">
        <f>ROUND(N(data!AI59), 0)</f>
        <v>0</v>
      </c>
      <c r="F34" s="313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3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201</v>
      </c>
      <c r="B35" s="200" t="str">
        <f>RIGHT(data!$C$96,4)</f>
        <v>2024</v>
      </c>
      <c r="C35" s="12" t="str">
        <f>data!AJ$55</f>
        <v>7260</v>
      </c>
      <c r="D35" s="12" t="s">
        <v>1156</v>
      </c>
      <c r="E35" s="198">
        <f>ROUND(N(data!AJ59), 0)</f>
        <v>347765</v>
      </c>
      <c r="F35" s="313">
        <f>ROUND(N(data!AJ60), 2)</f>
        <v>396.56</v>
      </c>
      <c r="G35" s="198">
        <f>ROUND(N(data!AJ61), 0)</f>
        <v>49251679</v>
      </c>
      <c r="H35" s="198">
        <f>ROUND(N(data!AJ62), 0)</f>
        <v>11101858</v>
      </c>
      <c r="I35" s="198">
        <f>ROUND(N(data!AJ63), 0)</f>
        <v>568166</v>
      </c>
      <c r="J35" s="198">
        <f>ROUND(N(data!AJ64), 0)</f>
        <v>2693841</v>
      </c>
      <c r="K35" s="198">
        <f>ROUND(N(data!AJ65), 0)</f>
        <v>80824</v>
      </c>
      <c r="L35" s="198">
        <f>ROUND(N(data!AJ66), 0)</f>
        <v>8175689</v>
      </c>
      <c r="M35" s="198">
        <f>ROUND(N(data!AJ67), 0)</f>
        <v>2141180</v>
      </c>
      <c r="N35" s="198">
        <f>ROUND(N(data!AJ68), 0)</f>
        <v>5673351</v>
      </c>
      <c r="O35" s="198">
        <f>ROUND(N(data!AJ69), 0)</f>
        <v>4622815</v>
      </c>
      <c r="P35" s="198">
        <f>ROUND(N(data!AJ70), 0)</f>
        <v>0</v>
      </c>
      <c r="Q35" s="198">
        <f>ROUND(N(data!AJ71), 0)</f>
        <v>949410</v>
      </c>
      <c r="R35" s="198">
        <f>ROUND(N(data!AJ72), 0)</f>
        <v>0</v>
      </c>
      <c r="S35" s="198">
        <f>ROUND(N(data!AJ73), 0)</f>
        <v>810767</v>
      </c>
      <c r="T35" s="198">
        <f>ROUND(N(data!AJ74), 0)</f>
        <v>133862</v>
      </c>
      <c r="U35" s="198">
        <f>ROUND(N(data!AJ75), 0)</f>
        <v>62440</v>
      </c>
      <c r="V35" s="198">
        <f>ROUND(N(data!AJ76), 0)</f>
        <v>4</v>
      </c>
      <c r="W35" s="198">
        <f>ROUND(N(data!AJ77), 0)</f>
        <v>40731</v>
      </c>
      <c r="X35" s="198">
        <f>ROUND(N(data!AJ78), 0)</f>
        <v>1399613</v>
      </c>
      <c r="Y35" s="198">
        <f>ROUND(N(data!AJ79), 0)</f>
        <v>28394</v>
      </c>
      <c r="Z35" s="198">
        <f>ROUND(N(data!AJ80), 0)</f>
        <v>115542</v>
      </c>
      <c r="AA35" s="198">
        <f>ROUND(N(data!AJ81), 0)</f>
        <v>594487</v>
      </c>
      <c r="AB35" s="198">
        <f>ROUND(N(data!AJ82), 0)</f>
        <v>0</v>
      </c>
      <c r="AC35" s="198">
        <f>ROUND(N(data!AJ83), 0)</f>
        <v>487566</v>
      </c>
      <c r="AD35" s="198">
        <f>ROUND(N(data!AJ84), 0)</f>
        <v>712880</v>
      </c>
      <c r="AE35" s="198">
        <f>ROUND(N(data!AJ89), 0)</f>
        <v>136374942</v>
      </c>
      <c r="AF35" s="198">
        <f>ROUND(N(data!AJ87), 0)</f>
        <v>115446</v>
      </c>
      <c r="AG35" s="198">
        <f>ROUND(N(data!AJ90), 0)</f>
        <v>1109</v>
      </c>
      <c r="AH35" s="198">
        <f>ROUND(N(data!AJ91), 0)</f>
        <v>188</v>
      </c>
      <c r="AI35" s="198">
        <f>ROUND(N(data!AJ92), 0)</f>
        <v>216</v>
      </c>
      <c r="AJ35" s="198">
        <f>ROUND(N(data!AJ93), 0)</f>
        <v>25571</v>
      </c>
      <c r="AK35" s="313">
        <f>ROUND(N(data!AJ94), 2)</f>
        <v>44.32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201</v>
      </c>
      <c r="B36" s="200" t="str">
        <f>RIGHT(data!$C$96,4)</f>
        <v>2024</v>
      </c>
      <c r="C36" s="12" t="str">
        <f>data!AK$55</f>
        <v>7310</v>
      </c>
      <c r="D36" s="12" t="s">
        <v>1156</v>
      </c>
      <c r="E36" s="198">
        <f>ROUND(N(data!AK59), 0)</f>
        <v>11749</v>
      </c>
      <c r="F36" s="313">
        <f>ROUND(N(data!AK60), 2)</f>
        <v>2.73</v>
      </c>
      <c r="G36" s="198">
        <f>ROUND(N(data!AK61), 0)</f>
        <v>298511</v>
      </c>
      <c r="H36" s="198">
        <f>ROUND(N(data!AK62), 0)</f>
        <v>67288</v>
      </c>
      <c r="I36" s="198">
        <f>ROUND(N(data!AK63), 0)</f>
        <v>0</v>
      </c>
      <c r="J36" s="198">
        <f>ROUND(N(data!AK64), 0)</f>
        <v>1978</v>
      </c>
      <c r="K36" s="198">
        <f>ROUND(N(data!AK65), 0)</f>
        <v>0</v>
      </c>
      <c r="L36" s="198">
        <f>ROUND(N(data!AK66), 0)</f>
        <v>0</v>
      </c>
      <c r="M36" s="198">
        <f>ROUND(N(data!AK67), 0)</f>
        <v>60727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3196398</v>
      </c>
      <c r="AF36" s="198">
        <f>ROUND(N(data!AK87), 0)</f>
        <v>2824505</v>
      </c>
      <c r="AG36" s="198">
        <f>ROUND(N(data!AK90), 0)</f>
        <v>3298</v>
      </c>
      <c r="AH36" s="198">
        <f>ROUND(N(data!AK91), 0)</f>
        <v>0</v>
      </c>
      <c r="AI36" s="198">
        <f>ROUND(N(data!AK92), 0)</f>
        <v>1209</v>
      </c>
      <c r="AJ36" s="198">
        <f>ROUND(N(data!AK93), 0)</f>
        <v>0</v>
      </c>
      <c r="AK36" s="313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201</v>
      </c>
      <c r="B37" s="200" t="str">
        <f>RIGHT(data!$C$96,4)</f>
        <v>2024</v>
      </c>
      <c r="C37" s="12" t="str">
        <f>data!AL$55</f>
        <v>7320</v>
      </c>
      <c r="D37" s="12" t="s">
        <v>1156</v>
      </c>
      <c r="E37" s="198">
        <f>ROUND(N(data!AL59), 0)</f>
        <v>2444</v>
      </c>
      <c r="F37" s="313">
        <f>ROUND(N(data!AL60), 2)</f>
        <v>0.76</v>
      </c>
      <c r="G37" s="198">
        <f>ROUND(N(data!AL61), 0)</f>
        <v>82901</v>
      </c>
      <c r="H37" s="198">
        <f>ROUND(N(data!AL62), 0)</f>
        <v>18687</v>
      </c>
      <c r="I37" s="198">
        <f>ROUND(N(data!AL63), 0)</f>
        <v>0</v>
      </c>
      <c r="J37" s="198">
        <f>ROUND(N(data!AL64), 0)</f>
        <v>8</v>
      </c>
      <c r="K37" s="198">
        <f>ROUND(N(data!AL65), 0)</f>
        <v>0</v>
      </c>
      <c r="L37" s="198">
        <f>ROUND(N(data!AL66), 0)</f>
        <v>0</v>
      </c>
      <c r="M37" s="198">
        <f>ROUND(N(data!AL67), 0)</f>
        <v>12705</v>
      </c>
      <c r="N37" s="198">
        <f>ROUND(N(data!AL68), 0)</f>
        <v>0</v>
      </c>
      <c r="O37" s="198">
        <f>ROUND(N(data!AL69), 0)</f>
        <v>8350</v>
      </c>
      <c r="P37" s="198">
        <f>ROUND(N(data!AL70), 0)</f>
        <v>0</v>
      </c>
      <c r="Q37" s="198">
        <f>ROUND(N(data!AL71), 0)</f>
        <v>8350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1161648</v>
      </c>
      <c r="AF37" s="198">
        <f>ROUND(N(data!AL87), 0)</f>
        <v>1141753</v>
      </c>
      <c r="AG37" s="198">
        <f>ROUND(N(data!AL90), 0)</f>
        <v>690</v>
      </c>
      <c r="AH37" s="198">
        <f>ROUND(N(data!AL91), 0)</f>
        <v>0</v>
      </c>
      <c r="AI37" s="198">
        <f>ROUND(N(data!AL92), 0)</f>
        <v>253</v>
      </c>
      <c r="AJ37" s="198">
        <f>ROUND(N(data!AL93), 0)</f>
        <v>0</v>
      </c>
      <c r="AK37" s="313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201</v>
      </c>
      <c r="B38" s="200" t="str">
        <f>RIGHT(data!$C$96,4)</f>
        <v>2024</v>
      </c>
      <c r="C38" s="12" t="str">
        <f>data!AM$55</f>
        <v>7330</v>
      </c>
      <c r="D38" s="12" t="s">
        <v>1156</v>
      </c>
      <c r="E38" s="198">
        <f>ROUND(N(data!AM59), 0)</f>
        <v>0</v>
      </c>
      <c r="F38" s="313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3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201</v>
      </c>
      <c r="B39" s="200" t="str">
        <f>RIGHT(data!$C$96,4)</f>
        <v>2024</v>
      </c>
      <c r="C39" s="12" t="str">
        <f>data!AN$55</f>
        <v>7340</v>
      </c>
      <c r="D39" s="12" t="s">
        <v>1156</v>
      </c>
      <c r="E39" s="198">
        <f>ROUND(N(data!AN59), 0)</f>
        <v>0</v>
      </c>
      <c r="F39" s="313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3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201</v>
      </c>
      <c r="B40" s="200" t="str">
        <f>RIGHT(data!$C$96,4)</f>
        <v>2024</v>
      </c>
      <c r="C40" s="12" t="str">
        <f>data!AO$55</f>
        <v>7350</v>
      </c>
      <c r="D40" s="12" t="s">
        <v>1156</v>
      </c>
      <c r="E40" s="198">
        <f>ROUND(N(data!AO59), 0)</f>
        <v>0</v>
      </c>
      <c r="F40" s="313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3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201</v>
      </c>
      <c r="B41" s="200" t="str">
        <f>RIGHT(data!$C$96,4)</f>
        <v>2024</v>
      </c>
      <c r="C41" s="12" t="str">
        <f>data!AP$55</f>
        <v>7380</v>
      </c>
      <c r="D41" s="12" t="s">
        <v>1156</v>
      </c>
      <c r="E41" s="198">
        <f>ROUND(N(data!AP59), 0)</f>
        <v>0</v>
      </c>
      <c r="F41" s="313">
        <f>ROUND(N(data!AP60), 2)</f>
        <v>0.34</v>
      </c>
      <c r="G41" s="198">
        <f>ROUND(N(data!AP61), 0)</f>
        <v>46151</v>
      </c>
      <c r="H41" s="198">
        <f>ROUND(N(data!AP62), 0)</f>
        <v>10403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13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201</v>
      </c>
      <c r="B42" s="200" t="str">
        <f>RIGHT(data!$C$96,4)</f>
        <v>2024</v>
      </c>
      <c r="C42" s="12" t="str">
        <f>data!AQ$55</f>
        <v>7390</v>
      </c>
      <c r="D42" s="12" t="s">
        <v>1156</v>
      </c>
      <c r="E42" s="198">
        <f>ROUND(N(data!AQ59), 0)</f>
        <v>0</v>
      </c>
      <c r="F42" s="313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3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201</v>
      </c>
      <c r="B43" s="200" t="str">
        <f>RIGHT(data!$C$96,4)</f>
        <v>2024</v>
      </c>
      <c r="C43" s="12" t="str">
        <f>data!AR$55</f>
        <v>7400</v>
      </c>
      <c r="D43" s="12" t="s">
        <v>1156</v>
      </c>
      <c r="E43" s="198">
        <f>ROUND(N(data!AR59), 0)</f>
        <v>0</v>
      </c>
      <c r="F43" s="313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106702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3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201</v>
      </c>
      <c r="B44" s="200" t="str">
        <f>RIGHT(data!$C$96,4)</f>
        <v>2024</v>
      </c>
      <c r="C44" s="12" t="str">
        <f>data!AS$55</f>
        <v>7410</v>
      </c>
      <c r="D44" s="12" t="s">
        <v>1156</v>
      </c>
      <c r="E44" s="198">
        <f>ROUND(N(data!AS59), 0)</f>
        <v>0</v>
      </c>
      <c r="F44" s="313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3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201</v>
      </c>
      <c r="B45" s="200" t="str">
        <f>RIGHT(data!$C$96,4)</f>
        <v>2024</v>
      </c>
      <c r="C45" s="12" t="str">
        <f>data!AT$55</f>
        <v>7420</v>
      </c>
      <c r="D45" s="12" t="s">
        <v>1156</v>
      </c>
      <c r="E45" s="198">
        <f>ROUND(N(data!AT59), 0)</f>
        <v>0</v>
      </c>
      <c r="F45" s="313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3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201</v>
      </c>
      <c r="B46" s="200" t="str">
        <f>RIGHT(data!$C$96,4)</f>
        <v>2024</v>
      </c>
      <c r="C46" s="12" t="str">
        <f>data!AU$55</f>
        <v>7430</v>
      </c>
      <c r="D46" s="12" t="s">
        <v>1156</v>
      </c>
      <c r="E46" s="198">
        <f>ROUND(N(data!AU59), 0)</f>
        <v>0</v>
      </c>
      <c r="F46" s="313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3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201</v>
      </c>
      <c r="B47" s="200" t="str">
        <f>RIGHT(data!$C$96,4)</f>
        <v>2024</v>
      </c>
      <c r="C47" s="12" t="str">
        <f>data!AV$55</f>
        <v>7490</v>
      </c>
      <c r="D47" s="12" t="s">
        <v>1156</v>
      </c>
      <c r="E47" s="198">
        <f>ROUND(N(data!AV59), 0)</f>
        <v>0</v>
      </c>
      <c r="F47" s="313">
        <f>ROUND(N(data!AV60), 2)</f>
        <v>18.53</v>
      </c>
      <c r="G47" s="198">
        <f>ROUND(N(data!AV61), 0)</f>
        <v>2150412</v>
      </c>
      <c r="H47" s="198">
        <f>ROUND(N(data!AV62), 0)</f>
        <v>485112</v>
      </c>
      <c r="I47" s="198">
        <f>ROUND(N(data!AV63), 0)</f>
        <v>52730</v>
      </c>
      <c r="J47" s="198">
        <f>ROUND(N(data!AV64), 0)</f>
        <v>16541</v>
      </c>
      <c r="K47" s="198">
        <f>ROUND(N(data!AV65), 0)</f>
        <v>932</v>
      </c>
      <c r="L47" s="198">
        <f>ROUND(N(data!AV66), 0)</f>
        <v>1451206</v>
      </c>
      <c r="M47" s="198">
        <f>ROUND(N(data!AV67), 0)</f>
        <v>14780</v>
      </c>
      <c r="N47" s="198">
        <f>ROUND(N(data!AV68), 0)</f>
        <v>73228</v>
      </c>
      <c r="O47" s="198">
        <f>ROUND(N(data!AV69), 0)</f>
        <v>13471</v>
      </c>
      <c r="P47" s="198">
        <f>ROUND(N(data!AV70), 0)</f>
        <v>0</v>
      </c>
      <c r="Q47" s="198">
        <f>ROUND(N(data!AV71), 0)</f>
        <v>-39000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5700</v>
      </c>
      <c r="X47" s="198">
        <f>ROUND(N(data!AV78), 0)</f>
        <v>0</v>
      </c>
      <c r="Y47" s="198">
        <f>ROUND(N(data!AV79), 0)</f>
        <v>0</v>
      </c>
      <c r="Z47" s="198">
        <f>ROUND(N(data!AV80), 0)</f>
        <v>8558</v>
      </c>
      <c r="AA47" s="198">
        <f>ROUND(N(data!AV81), 0)</f>
        <v>0</v>
      </c>
      <c r="AB47" s="198">
        <f>ROUND(N(data!AV82), 0)</f>
        <v>0</v>
      </c>
      <c r="AC47" s="198">
        <f>ROUND(N(data!AV83), 0)</f>
        <v>38213</v>
      </c>
      <c r="AD47" s="198">
        <f>ROUND(N(data!AV84), 0)</f>
        <v>2033624</v>
      </c>
      <c r="AE47" s="198">
        <f>ROUND(N(data!AV89), 0)</f>
        <v>762815</v>
      </c>
      <c r="AF47" s="198">
        <f>ROUND(N(data!AV87), 0)</f>
        <v>771691</v>
      </c>
      <c r="AG47" s="198">
        <f>ROUND(N(data!AV90), 0)</f>
        <v>803</v>
      </c>
      <c r="AH47" s="198">
        <f>ROUND(N(data!AV91), 0)</f>
        <v>10103</v>
      </c>
      <c r="AI47" s="198">
        <f>ROUND(N(data!AV92), 0)</f>
        <v>308</v>
      </c>
      <c r="AJ47" s="198">
        <f>ROUND(N(data!AV93), 0)</f>
        <v>0</v>
      </c>
      <c r="AK47" s="313">
        <f>ROUND(N(data!AV94), 2)</f>
        <v>22.93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201</v>
      </c>
      <c r="B48" s="200" t="str">
        <f>RIGHT(data!$C$96,4)</f>
        <v>2024</v>
      </c>
      <c r="C48" s="12" t="str">
        <f>data!AW$55</f>
        <v>8200</v>
      </c>
      <c r="D48" s="12" t="s">
        <v>1156</v>
      </c>
      <c r="E48" s="198">
        <f>ROUND(N(data!AW59), 0)</f>
        <v>0</v>
      </c>
      <c r="F48" s="313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3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201</v>
      </c>
      <c r="B49" s="200" t="str">
        <f>RIGHT(data!$C$96,4)</f>
        <v>2024</v>
      </c>
      <c r="C49" s="12" t="str">
        <f>data!AX$55</f>
        <v>8310</v>
      </c>
      <c r="D49" s="12" t="s">
        <v>1156</v>
      </c>
      <c r="E49" s="198">
        <f>ROUND(N(data!AX59), 0)</f>
        <v>0</v>
      </c>
      <c r="F49" s="313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160120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3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201</v>
      </c>
      <c r="B50" s="200" t="str">
        <f>RIGHT(data!$C$96,4)</f>
        <v>2024</v>
      </c>
      <c r="C50" s="12" t="str">
        <f>data!AY$55</f>
        <v>8320</v>
      </c>
      <c r="D50" s="12" t="s">
        <v>1156</v>
      </c>
      <c r="E50" s="198">
        <f>ROUND(N(data!AY59), 0)</f>
        <v>124186</v>
      </c>
      <c r="F50" s="313">
        <f>ROUND(N(data!AY60), 2)</f>
        <v>29.1</v>
      </c>
      <c r="G50" s="198">
        <f>ROUND(N(data!AY61), 0)</f>
        <v>1903790</v>
      </c>
      <c r="H50" s="198">
        <f>ROUND(N(data!AY62), 0)</f>
        <v>429327</v>
      </c>
      <c r="I50" s="198">
        <f>ROUND(N(data!AY63), 0)</f>
        <v>0</v>
      </c>
      <c r="J50" s="198">
        <f>ROUND(N(data!AY64), 0)</f>
        <v>1080636</v>
      </c>
      <c r="K50" s="198">
        <f>ROUND(N(data!AY65), 0)</f>
        <v>196</v>
      </c>
      <c r="L50" s="198">
        <f>ROUND(N(data!AY66), 0)</f>
        <v>157262</v>
      </c>
      <c r="M50" s="198">
        <f>ROUND(N(data!AY67), 0)</f>
        <v>36387</v>
      </c>
      <c r="N50" s="198">
        <f>ROUND(N(data!AY68), 0)</f>
        <v>4600</v>
      </c>
      <c r="O50" s="198">
        <f>ROUND(N(data!AY69), 0)</f>
        <v>69471</v>
      </c>
      <c r="P50" s="198">
        <f>ROUND(N(data!AY70), 0)</f>
        <v>0</v>
      </c>
      <c r="Q50" s="198">
        <f>ROUND(N(data!AY71), 0)</f>
        <v>16930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52372</v>
      </c>
      <c r="X50" s="198">
        <f>ROUND(N(data!AY78), 0)</f>
        <v>0</v>
      </c>
      <c r="Y50" s="198">
        <f>ROUND(N(data!AY79), 0)</f>
        <v>0</v>
      </c>
      <c r="Z50" s="198">
        <f>ROUND(N(data!AY80), 0)</f>
        <v>150</v>
      </c>
      <c r="AA50" s="198">
        <f>ROUND(N(data!AY81), 0)</f>
        <v>0</v>
      </c>
      <c r="AB50" s="198">
        <f>ROUND(N(data!AY82), 0)</f>
        <v>0</v>
      </c>
      <c r="AC50" s="198">
        <f>ROUND(N(data!AY83), 0)</f>
        <v>19</v>
      </c>
      <c r="AD50" s="198">
        <f>ROUND(N(data!AY84), 0)</f>
        <v>755457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3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201</v>
      </c>
      <c r="B51" s="200" t="str">
        <f>RIGHT(data!$C$96,4)</f>
        <v>2024</v>
      </c>
      <c r="C51" s="12" t="str">
        <f>data!AZ$55</f>
        <v>8330</v>
      </c>
      <c r="D51" s="12" t="s">
        <v>1156</v>
      </c>
      <c r="E51" s="198">
        <f>ROUND(N(data!AZ59), 0)</f>
        <v>92598</v>
      </c>
      <c r="F51" s="313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105103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5708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3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201</v>
      </c>
      <c r="B52" s="200" t="str">
        <f>RIGHT(data!$C$96,4)</f>
        <v>2024</v>
      </c>
      <c r="C52" s="12" t="str">
        <f>data!BA$55</f>
        <v>8350</v>
      </c>
      <c r="D52" s="12" t="s">
        <v>1156</v>
      </c>
      <c r="E52" s="198">
        <f>ROUND(N(data!BA59), 0)</f>
        <v>0</v>
      </c>
      <c r="F52" s="313">
        <f>ROUND(N(data!BA60), 2)</f>
        <v>-0.02</v>
      </c>
      <c r="G52" s="198">
        <f>ROUND(N(data!BA61), 0)</f>
        <v>-533</v>
      </c>
      <c r="H52" s="198">
        <f>ROUND(N(data!BA62), 0)</f>
        <v>-120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123556</v>
      </c>
      <c r="M52" s="198">
        <f>ROUND(N(data!BA67), 0)</f>
        <v>39754</v>
      </c>
      <c r="N52" s="198">
        <f>ROUND(N(data!BA68), 0)</f>
        <v>0</v>
      </c>
      <c r="O52" s="198">
        <f>ROUND(N(data!BA69), 0)</f>
        <v>31584</v>
      </c>
      <c r="P52" s="198">
        <f>ROUND(N(data!BA70), 0)</f>
        <v>0</v>
      </c>
      <c r="Q52" s="198">
        <f>ROUND(N(data!BA71), 0)</f>
        <v>31584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2159</v>
      </c>
      <c r="AH52" s="198">
        <f>ROUND(N(data!BA91), 0)</f>
        <v>0</v>
      </c>
      <c r="AI52" s="198">
        <f>ROUND(N(data!BA92), 0)</f>
        <v>791</v>
      </c>
      <c r="AJ52" s="198">
        <f>ROUND(N(data!BA93), 0)</f>
        <v>0</v>
      </c>
      <c r="AK52" s="313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201</v>
      </c>
      <c r="B53" s="200" t="str">
        <f>RIGHT(data!$C$96,4)</f>
        <v>2024</v>
      </c>
      <c r="C53" s="12" t="str">
        <f>data!BB$55</f>
        <v>8360</v>
      </c>
      <c r="D53" s="12" t="s">
        <v>1156</v>
      </c>
      <c r="E53" s="198">
        <f>ROUND(N(data!BB59), 0)</f>
        <v>0</v>
      </c>
      <c r="F53" s="313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313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201</v>
      </c>
      <c r="B54" s="200" t="str">
        <f>RIGHT(data!$C$96,4)</f>
        <v>2024</v>
      </c>
      <c r="C54" s="12" t="str">
        <f>data!BC$55</f>
        <v>8370</v>
      </c>
      <c r="D54" s="12" t="s">
        <v>1156</v>
      </c>
      <c r="E54" s="198">
        <f>ROUND(N(data!BC59), 0)</f>
        <v>0</v>
      </c>
      <c r="F54" s="313">
        <f>ROUND(N(data!BC60), 2)</f>
        <v>4.34</v>
      </c>
      <c r="G54" s="198">
        <f>ROUND(N(data!BC61), 0)</f>
        <v>306282</v>
      </c>
      <c r="H54" s="198">
        <f>ROUND(N(data!BC62), 0)</f>
        <v>69039</v>
      </c>
      <c r="I54" s="198">
        <f>ROUND(N(data!BC63), 0)</f>
        <v>0</v>
      </c>
      <c r="J54" s="198">
        <f>ROUND(N(data!BC64), 0)</f>
        <v>1958</v>
      </c>
      <c r="K54" s="198">
        <f>ROUND(N(data!BC65), 0)</f>
        <v>588</v>
      </c>
      <c r="L54" s="198">
        <f>ROUND(N(data!BC66), 0)</f>
        <v>64041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3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201</v>
      </c>
      <c r="B55" s="200" t="str">
        <f>RIGHT(data!$C$96,4)</f>
        <v>2024</v>
      </c>
      <c r="C55" s="12" t="str">
        <f>data!BD$55</f>
        <v>8420</v>
      </c>
      <c r="D55" s="12" t="s">
        <v>1156</v>
      </c>
      <c r="E55" s="198">
        <f>ROUND(N(data!BD59), 0)</f>
        <v>0</v>
      </c>
      <c r="F55" s="313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842</v>
      </c>
      <c r="K55" s="198">
        <f>ROUND(N(data!BD65), 0)</f>
        <v>0</v>
      </c>
      <c r="L55" s="198">
        <f>ROUND(N(data!BD66), 0)</f>
        <v>394773</v>
      </c>
      <c r="M55" s="198">
        <f>ROUND(N(data!BD67), 0)</f>
        <v>0</v>
      </c>
      <c r="N55" s="198">
        <f>ROUND(N(data!BD68), 0)</f>
        <v>325301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3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201</v>
      </c>
      <c r="B56" s="200" t="str">
        <f>RIGHT(data!$C$96,4)</f>
        <v>2024</v>
      </c>
      <c r="C56" s="12" t="str">
        <f>data!BE$55</f>
        <v>8430</v>
      </c>
      <c r="D56" s="12" t="s">
        <v>1156</v>
      </c>
      <c r="E56" s="198">
        <f>ROUND(N(data!BE59), 0)</f>
        <v>261900</v>
      </c>
      <c r="F56" s="313">
        <f>ROUND(N(data!BE60), 2)</f>
        <v>22.35</v>
      </c>
      <c r="G56" s="198">
        <f>ROUND(N(data!BE61), 0)</f>
        <v>1528623</v>
      </c>
      <c r="H56" s="198">
        <f>ROUND(N(data!BE62), 0)</f>
        <v>344568</v>
      </c>
      <c r="I56" s="198">
        <f>ROUND(N(data!BE63), 0)</f>
        <v>0</v>
      </c>
      <c r="J56" s="198">
        <f>ROUND(N(data!BE64), 0)</f>
        <v>22820</v>
      </c>
      <c r="K56" s="198">
        <f>ROUND(N(data!BE65), 0)</f>
        <v>1507099</v>
      </c>
      <c r="L56" s="198">
        <f>ROUND(N(data!BE66), 0)</f>
        <v>3991179</v>
      </c>
      <c r="M56" s="198">
        <f>ROUND(N(data!BE67), 0)</f>
        <v>1567512</v>
      </c>
      <c r="N56" s="198">
        <f>ROUND(N(data!BE68), 0)</f>
        <v>3302</v>
      </c>
      <c r="O56" s="198">
        <f>ROUND(N(data!BE69), 0)</f>
        <v>913262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724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872219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20228</v>
      </c>
      <c r="AB56" s="198">
        <f>ROUND(N(data!BE82), 0)</f>
        <v>0</v>
      </c>
      <c r="AC56" s="198">
        <f>ROUND(N(data!BE83), 0)</f>
        <v>20091</v>
      </c>
      <c r="AD56" s="198">
        <f>ROUND(N(data!BE84), 0)</f>
        <v>37182</v>
      </c>
      <c r="AE56" s="198">
        <f>ROUND(N(data!BE89), 0)</f>
        <v>0</v>
      </c>
      <c r="AF56" s="198">
        <f>ROUND(N(data!BE87), 0)</f>
        <v>0</v>
      </c>
      <c r="AG56" s="198">
        <f>ROUND(N(data!BE90), 0)</f>
        <v>60387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3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201</v>
      </c>
      <c r="B57" s="200" t="str">
        <f>RIGHT(data!$C$96,4)</f>
        <v>2024</v>
      </c>
      <c r="C57" s="12" t="str">
        <f>data!BF$55</f>
        <v>8460</v>
      </c>
      <c r="D57" s="12" t="s">
        <v>1156</v>
      </c>
      <c r="E57" s="198">
        <f>ROUND(N(data!BF59), 0)</f>
        <v>0</v>
      </c>
      <c r="F57" s="313">
        <f>ROUND(N(data!BF60), 2)</f>
        <v>28.71</v>
      </c>
      <c r="G57" s="198">
        <f>ROUND(N(data!BF61), 0)</f>
        <v>1780040</v>
      </c>
      <c r="H57" s="198">
        <f>ROUND(N(data!BF62), 0)</f>
        <v>401240</v>
      </c>
      <c r="I57" s="198">
        <f>ROUND(N(data!BF63), 0)</f>
        <v>0</v>
      </c>
      <c r="J57" s="198">
        <f>ROUND(N(data!BF64), 0)</f>
        <v>231325</v>
      </c>
      <c r="K57" s="198">
        <f>ROUND(N(data!BF65), 0)</f>
        <v>0</v>
      </c>
      <c r="L57" s="198">
        <f>ROUND(N(data!BF66), 0)</f>
        <v>287111</v>
      </c>
      <c r="M57" s="198">
        <f>ROUND(N(data!BF67), 0)</f>
        <v>18688</v>
      </c>
      <c r="N57" s="198">
        <f>ROUND(N(data!BF68), 0)</f>
        <v>1341</v>
      </c>
      <c r="O57" s="198">
        <f>ROUND(N(data!BF69), 0)</f>
        <v>189847</v>
      </c>
      <c r="P57" s="198">
        <f>ROUND(N(data!BF70), 0)</f>
        <v>0</v>
      </c>
      <c r="Q57" s="198">
        <f>ROUND(N(data!BF71), 0)</f>
        <v>189738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109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625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3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201</v>
      </c>
      <c r="B58" s="200" t="str">
        <f>RIGHT(data!$C$96,4)</f>
        <v>2024</v>
      </c>
      <c r="C58" s="12" t="str">
        <f>data!BG$55</f>
        <v>8470</v>
      </c>
      <c r="D58" s="12" t="s">
        <v>1156</v>
      </c>
      <c r="E58" s="198">
        <f>ROUND(N(data!BG59), 0)</f>
        <v>0</v>
      </c>
      <c r="F58" s="313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378896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3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201</v>
      </c>
      <c r="B59" s="200" t="str">
        <f>RIGHT(data!$C$96,4)</f>
        <v>2024</v>
      </c>
      <c r="C59" s="12" t="str">
        <f>data!BH$55</f>
        <v>8480</v>
      </c>
      <c r="D59" s="12" t="s">
        <v>1156</v>
      </c>
      <c r="E59" s="198">
        <f>ROUND(N(data!BH59), 0)</f>
        <v>0</v>
      </c>
      <c r="F59" s="313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316819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313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201</v>
      </c>
      <c r="B60" s="200" t="str">
        <f>RIGHT(data!$C$96,4)</f>
        <v>2024</v>
      </c>
      <c r="C60" s="12" t="str">
        <f>data!BI$55</f>
        <v>8490</v>
      </c>
      <c r="D60" s="12" t="s">
        <v>1156</v>
      </c>
      <c r="E60" s="198">
        <f>ROUND(N(data!BI59), 0)</f>
        <v>0</v>
      </c>
      <c r="F60" s="313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8912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9</v>
      </c>
      <c r="AE60" s="198">
        <f>ROUND(N(data!BI89), 0)</f>
        <v>0</v>
      </c>
      <c r="AF60" s="198">
        <f>ROUND(N(data!BI87), 0)</f>
        <v>0</v>
      </c>
      <c r="AG60" s="198">
        <f>ROUND(N(data!BI90), 0)</f>
        <v>484</v>
      </c>
      <c r="AH60" s="198">
        <f>ROUND(N(data!BI91), 0)</f>
        <v>0</v>
      </c>
      <c r="AI60" s="198">
        <f>ROUND(N(data!BI92), 0)</f>
        <v>177</v>
      </c>
      <c r="AJ60" s="198">
        <f>ROUND(N(data!BI93), 0)</f>
        <v>0</v>
      </c>
      <c r="AK60" s="313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201</v>
      </c>
      <c r="B61" s="200" t="str">
        <f>RIGHT(data!$C$96,4)</f>
        <v>2024</v>
      </c>
      <c r="C61" s="12" t="str">
        <f>data!BJ$55</f>
        <v>8510</v>
      </c>
      <c r="D61" s="12" t="s">
        <v>1156</v>
      </c>
      <c r="E61" s="198">
        <f>ROUND(N(data!BJ59), 0)</f>
        <v>0</v>
      </c>
      <c r="F61" s="313">
        <f>ROUND(N(data!BJ60), 2)</f>
        <v>1.25</v>
      </c>
      <c r="G61" s="198">
        <f>ROUND(N(data!BJ61), 0)</f>
        <v>198258</v>
      </c>
      <c r="H61" s="198">
        <f>ROUND(N(data!BJ62), 0)</f>
        <v>44689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1496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3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201</v>
      </c>
      <c r="B62" s="200" t="str">
        <f>RIGHT(data!$C$96,4)</f>
        <v>2024</v>
      </c>
      <c r="C62" s="12" t="str">
        <f>data!BK$55</f>
        <v>8530</v>
      </c>
      <c r="D62" s="12" t="s">
        <v>1156</v>
      </c>
      <c r="E62" s="198">
        <f>ROUND(N(data!BK59), 0)</f>
        <v>0</v>
      </c>
      <c r="F62" s="313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15580272</v>
      </c>
      <c r="M62" s="198">
        <f>ROUND(N(data!BK67), 0)</f>
        <v>0</v>
      </c>
      <c r="N62" s="198">
        <f>ROUND(N(data!BK68), 0)</f>
        <v>0</v>
      </c>
      <c r="O62" s="198">
        <f>ROUND(N(data!BK69), 0)</f>
        <v>111683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111683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313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201</v>
      </c>
      <c r="B63" s="200" t="str">
        <f>RIGHT(data!$C$96,4)</f>
        <v>2024</v>
      </c>
      <c r="C63" s="12" t="str">
        <f>data!BL$55</f>
        <v>8560</v>
      </c>
      <c r="D63" s="12" t="s">
        <v>1156</v>
      </c>
      <c r="E63" s="198">
        <f>ROUND(N(data!BL59), 0)</f>
        <v>0</v>
      </c>
      <c r="F63" s="313">
        <f>ROUND(N(data!BL60), 2)</f>
        <v>1.85</v>
      </c>
      <c r="G63" s="198">
        <f>ROUND(N(data!BL61), 0)</f>
        <v>89894</v>
      </c>
      <c r="H63" s="198">
        <f>ROUND(N(data!BL62), 0)</f>
        <v>20263</v>
      </c>
      <c r="I63" s="198">
        <f>ROUND(N(data!BL63), 0)</f>
        <v>0</v>
      </c>
      <c r="J63" s="198">
        <f>ROUND(N(data!BL64), 0)</f>
        <v>17975</v>
      </c>
      <c r="K63" s="198">
        <f>ROUND(N(data!BL65), 0)</f>
        <v>257</v>
      </c>
      <c r="L63" s="198">
        <f>ROUND(N(data!BL66), 0)</f>
        <v>5543155</v>
      </c>
      <c r="M63" s="198">
        <f>ROUND(N(data!BL67), 0)</f>
        <v>2132</v>
      </c>
      <c r="N63" s="198">
        <f>ROUND(N(data!BL68), 0)</f>
        <v>5900</v>
      </c>
      <c r="O63" s="198">
        <f>ROUND(N(data!BL69), 0)</f>
        <v>3696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1993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1703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313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201</v>
      </c>
      <c r="B64" s="200" t="str">
        <f>RIGHT(data!$C$96,4)</f>
        <v>2024</v>
      </c>
      <c r="C64" s="12" t="str">
        <f>data!BM$55</f>
        <v>8590</v>
      </c>
      <c r="D64" s="12" t="s">
        <v>1156</v>
      </c>
      <c r="E64" s="198">
        <f>ROUND(N(data!BM59), 0)</f>
        <v>0</v>
      </c>
      <c r="F64" s="313">
        <f>ROUND(N(data!BM60), 2)</f>
        <v>0.78</v>
      </c>
      <c r="G64" s="198">
        <f>ROUND(N(data!BM61), 0)</f>
        <v>118860</v>
      </c>
      <c r="H64" s="198">
        <f>ROUND(N(data!BM62), 0)</f>
        <v>26792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3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201</v>
      </c>
      <c r="B65" s="200" t="str">
        <f>RIGHT(data!$C$96,4)</f>
        <v>2024</v>
      </c>
      <c r="C65" s="12" t="str">
        <f>data!BN$55</f>
        <v>8610</v>
      </c>
      <c r="D65" s="12" t="s">
        <v>1156</v>
      </c>
      <c r="E65" s="198">
        <f>ROUND(N(data!BN59), 0)</f>
        <v>0</v>
      </c>
      <c r="F65" s="313">
        <f>ROUND(N(data!BN60), 2)</f>
        <v>3.69</v>
      </c>
      <c r="G65" s="198">
        <f>ROUND(N(data!BN61), 0)</f>
        <v>756271</v>
      </c>
      <c r="H65" s="198">
        <f>ROUND(N(data!BN62), 0)</f>
        <v>226845</v>
      </c>
      <c r="I65" s="198">
        <f>ROUND(N(data!BN63), 0)</f>
        <v>0</v>
      </c>
      <c r="J65" s="198">
        <f>ROUND(N(data!BN64), 0)</f>
        <v>87910</v>
      </c>
      <c r="K65" s="198">
        <f>ROUND(N(data!BN65), 0)</f>
        <v>0</v>
      </c>
      <c r="L65" s="198">
        <f>ROUND(N(data!BN66), 0)</f>
        <v>2466914</v>
      </c>
      <c r="M65" s="198">
        <f>ROUND(N(data!BN67), 0)</f>
        <v>444585</v>
      </c>
      <c r="N65" s="198">
        <f>ROUND(N(data!BN68), 0)</f>
        <v>219857</v>
      </c>
      <c r="O65" s="198">
        <f>ROUND(N(data!BN69), 0)</f>
        <v>10241337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20720</v>
      </c>
      <c r="X65" s="198">
        <f>ROUND(N(data!BN78), 0)</f>
        <v>0</v>
      </c>
      <c r="Y65" s="198">
        <f>ROUND(N(data!BN79), 0)</f>
        <v>0</v>
      </c>
      <c r="Z65" s="198">
        <f>ROUND(N(data!BN80), 0)</f>
        <v>420</v>
      </c>
      <c r="AA65" s="198">
        <f>ROUND(N(data!BN81), 0)</f>
        <v>10009264</v>
      </c>
      <c r="AB65" s="198">
        <f>ROUND(N(data!BN82), 0)</f>
        <v>0</v>
      </c>
      <c r="AC65" s="198">
        <f>ROUND(N(data!BN83), 0)</f>
        <v>210934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24024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3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201</v>
      </c>
      <c r="B66" s="200" t="str">
        <f>RIGHT(data!$C$96,4)</f>
        <v>2024</v>
      </c>
      <c r="C66" s="12" t="str">
        <f>data!BO$55</f>
        <v>8620</v>
      </c>
      <c r="D66" s="12" t="s">
        <v>1156</v>
      </c>
      <c r="E66" s="198">
        <f>ROUND(N(data!BO59), 0)</f>
        <v>0</v>
      </c>
      <c r="F66" s="313">
        <f>ROUND(N(data!BO60), 2)</f>
        <v>0.75</v>
      </c>
      <c r="G66" s="198">
        <f>ROUND(N(data!BO61), 0)</f>
        <v>84826</v>
      </c>
      <c r="H66" s="198">
        <f>ROUND(N(data!BO62), 0)</f>
        <v>19121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299595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3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201</v>
      </c>
      <c r="B67" s="200" t="str">
        <f>RIGHT(data!$C$96,4)</f>
        <v>2024</v>
      </c>
      <c r="C67" s="12" t="str">
        <f>data!BP$55</f>
        <v>8630</v>
      </c>
      <c r="D67" s="12" t="s">
        <v>1156</v>
      </c>
      <c r="E67" s="198">
        <f>ROUND(N(data!BP59), 0)</f>
        <v>0</v>
      </c>
      <c r="F67" s="313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1699412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3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201</v>
      </c>
      <c r="B68" s="200" t="str">
        <f>RIGHT(data!$C$96,4)</f>
        <v>2024</v>
      </c>
      <c r="C68" s="12" t="str">
        <f>data!BQ$55</f>
        <v>8640</v>
      </c>
      <c r="D68" s="12" t="s">
        <v>1156</v>
      </c>
      <c r="E68" s="198">
        <f>ROUND(N(data!BQ59), 0)</f>
        <v>0</v>
      </c>
      <c r="F68" s="313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3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201</v>
      </c>
      <c r="B69" s="200" t="str">
        <f>RIGHT(data!$C$96,4)</f>
        <v>2024</v>
      </c>
      <c r="C69" s="12" t="str">
        <f>data!BR$55</f>
        <v>8650</v>
      </c>
      <c r="D69" s="12" t="s">
        <v>1156</v>
      </c>
      <c r="E69" s="198">
        <f>ROUND(N(data!BR59), 0)</f>
        <v>0</v>
      </c>
      <c r="F69" s="313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1478580</v>
      </c>
      <c r="M69" s="198">
        <f>ROUND(N(data!BR67), 0)</f>
        <v>112156</v>
      </c>
      <c r="N69" s="198">
        <f>ROUND(N(data!BR68), 0)</f>
        <v>0</v>
      </c>
      <c r="O69" s="198">
        <f>ROUND(N(data!BR69), 0)</f>
        <v>-268350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-268350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6091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3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201</v>
      </c>
      <c r="B70" s="200" t="str">
        <f>RIGHT(data!$C$96,4)</f>
        <v>2024</v>
      </c>
      <c r="C70" s="12" t="str">
        <f>data!BS$55</f>
        <v>8660</v>
      </c>
      <c r="D70" s="12" t="s">
        <v>1156</v>
      </c>
      <c r="E70" s="198">
        <f>ROUND(N(data!BS59), 0)</f>
        <v>0</v>
      </c>
      <c r="F70" s="313">
        <f>ROUND(N(data!BS60), 2)</f>
        <v>0.05</v>
      </c>
      <c r="G70" s="198">
        <f>ROUND(N(data!BS61), 0)</f>
        <v>5281</v>
      </c>
      <c r="H70" s="198">
        <f>ROUND(N(data!BS62), 0)</f>
        <v>1190</v>
      </c>
      <c r="I70" s="198">
        <f>ROUND(N(data!BS63), 0)</f>
        <v>0</v>
      </c>
      <c r="J70" s="198">
        <f>ROUND(N(data!BS64), 0)</f>
        <v>17</v>
      </c>
      <c r="K70" s="198">
        <f>ROUND(N(data!BS65), 0)</f>
        <v>0</v>
      </c>
      <c r="L70" s="198">
        <f>ROUND(N(data!BS66), 0)</f>
        <v>23517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3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201</v>
      </c>
      <c r="B71" s="200" t="str">
        <f>RIGHT(data!$C$96,4)</f>
        <v>2024</v>
      </c>
      <c r="C71" s="12" t="str">
        <f>data!BT$55</f>
        <v>8670</v>
      </c>
      <c r="D71" s="12" t="s">
        <v>1156</v>
      </c>
      <c r="E71" s="198">
        <f>ROUND(N(data!BT59), 0)</f>
        <v>0</v>
      </c>
      <c r="F71" s="313">
        <f>ROUND(N(data!BT60), 2)</f>
        <v>1.18</v>
      </c>
      <c r="G71" s="198">
        <f>ROUND(N(data!BT61), 0)</f>
        <v>106986</v>
      </c>
      <c r="H71" s="198">
        <f>ROUND(N(data!BT62), 0)</f>
        <v>24116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6579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3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201</v>
      </c>
      <c r="B72" s="200" t="str">
        <f>RIGHT(data!$C$96,4)</f>
        <v>2024</v>
      </c>
      <c r="C72" s="12" t="str">
        <f>data!BU$55</f>
        <v>8680</v>
      </c>
      <c r="D72" s="12" t="s">
        <v>1156</v>
      </c>
      <c r="E72" s="198">
        <f>ROUND(N(data!BU59), 0)</f>
        <v>0</v>
      </c>
      <c r="F72" s="313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49362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3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201</v>
      </c>
      <c r="B73" s="200" t="str">
        <f>RIGHT(data!$C$96,4)</f>
        <v>2024</v>
      </c>
      <c r="C73" s="12" t="str">
        <f>data!BV$55</f>
        <v>8690</v>
      </c>
      <c r="D73" s="12" t="s">
        <v>1156</v>
      </c>
      <c r="E73" s="198">
        <f>ROUND(N(data!BV59), 0)</f>
        <v>0</v>
      </c>
      <c r="F73" s="313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33228</v>
      </c>
      <c r="M73" s="198">
        <f>ROUND(N(data!BV67), 0)</f>
        <v>47322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2570</v>
      </c>
      <c r="AH73" s="198">
        <f>ROUND(N(data!BV91), 0)</f>
        <v>0</v>
      </c>
      <c r="AI73" s="198">
        <f>ROUND(N(data!BV92), 0)</f>
        <v>942</v>
      </c>
      <c r="AJ73" s="198">
        <f>ROUND(N(data!BV93), 0)</f>
        <v>0</v>
      </c>
      <c r="AK73" s="313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201</v>
      </c>
      <c r="B74" s="200" t="str">
        <f>RIGHT(data!$C$96,4)</f>
        <v>2024</v>
      </c>
      <c r="C74" s="12" t="str">
        <f>data!BW$55</f>
        <v>8700</v>
      </c>
      <c r="D74" s="12" t="s">
        <v>1156</v>
      </c>
      <c r="E74" s="198">
        <f>ROUND(N(data!BW59), 0)</f>
        <v>0</v>
      </c>
      <c r="F74" s="313">
        <f>ROUND(N(data!BW60), 2)</f>
        <v>1.93</v>
      </c>
      <c r="G74" s="198">
        <f>ROUND(N(data!BW61), 0)</f>
        <v>319431</v>
      </c>
      <c r="H74" s="198">
        <f>ROUND(N(data!BW62), 0)</f>
        <v>72003</v>
      </c>
      <c r="I74" s="198">
        <f>ROUND(N(data!BW63), 0)</f>
        <v>0</v>
      </c>
      <c r="J74" s="198">
        <f>ROUND(N(data!BW64), 0)</f>
        <v>30861</v>
      </c>
      <c r="K74" s="198">
        <f>ROUND(N(data!BW65), 0)</f>
        <v>0</v>
      </c>
      <c r="L74" s="198">
        <f>ROUND(N(data!BW66), 0)</f>
        <v>456881</v>
      </c>
      <c r="M74" s="198">
        <f>ROUND(N(data!BW67), 0)</f>
        <v>0</v>
      </c>
      <c r="N74" s="198">
        <f>ROUND(N(data!BW68), 0)</f>
        <v>0</v>
      </c>
      <c r="O74" s="198">
        <f>ROUND(N(data!BW69), 0)</f>
        <v>4463</v>
      </c>
      <c r="P74" s="198">
        <f>ROUND(N(data!BW70), 0)</f>
        <v>0</v>
      </c>
      <c r="Q74" s="198">
        <f>ROUND(N(data!BW71), 0)</f>
        <v>4463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3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201</v>
      </c>
      <c r="B75" s="200" t="str">
        <f>RIGHT(data!$C$96,4)</f>
        <v>2024</v>
      </c>
      <c r="C75" s="12" t="str">
        <f>data!BX$55</f>
        <v>8710</v>
      </c>
      <c r="D75" s="12" t="s">
        <v>1156</v>
      </c>
      <c r="E75" s="198">
        <f>ROUND(N(data!BX59), 0)</f>
        <v>0</v>
      </c>
      <c r="F75" s="313">
        <f>ROUND(N(data!BX60), 2)</f>
        <v>14.27</v>
      </c>
      <c r="G75" s="198">
        <f>ROUND(N(data!BX61), 0)</f>
        <v>1703754</v>
      </c>
      <c r="H75" s="198">
        <f>ROUND(N(data!BX62), 0)</f>
        <v>384045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769849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3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201</v>
      </c>
      <c r="B76" s="200" t="str">
        <f>RIGHT(data!$C$96,4)</f>
        <v>2024</v>
      </c>
      <c r="C76" s="12" t="str">
        <f>data!BY$55</f>
        <v>8720</v>
      </c>
      <c r="D76" s="12" t="s">
        <v>1156</v>
      </c>
      <c r="E76" s="198">
        <f>ROUND(N(data!BY59), 0)</f>
        <v>0</v>
      </c>
      <c r="F76" s="313">
        <f>ROUND(N(data!BY60), 2)</f>
        <v>10.86</v>
      </c>
      <c r="G76" s="198">
        <f>ROUND(N(data!BY61), 0)</f>
        <v>2966802</v>
      </c>
      <c r="H76" s="198">
        <f>ROUND(N(data!BY62), 0)</f>
        <v>697316</v>
      </c>
      <c r="I76" s="198">
        <f>ROUND(N(data!BY63), 0)</f>
        <v>0</v>
      </c>
      <c r="J76" s="198">
        <f>ROUND(N(data!BY64), 0)</f>
        <v>47692</v>
      </c>
      <c r="K76" s="198">
        <f>ROUND(N(data!BY65), 0)</f>
        <v>213</v>
      </c>
      <c r="L76" s="198">
        <f>ROUND(N(data!BY66), 0)</f>
        <v>156958</v>
      </c>
      <c r="M76" s="198">
        <f>ROUND(N(data!BY67), 0)</f>
        <v>45443</v>
      </c>
      <c r="N76" s="198">
        <f>ROUND(N(data!BY68), 0)</f>
        <v>11644</v>
      </c>
      <c r="O76" s="198">
        <f>ROUND(N(data!BY69), 0)</f>
        <v>30897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6546</v>
      </c>
      <c r="X76" s="198">
        <f>ROUND(N(data!BY78), 0)</f>
        <v>0</v>
      </c>
      <c r="Y76" s="198">
        <f>ROUND(N(data!BY79), 0)</f>
        <v>0</v>
      </c>
      <c r="Z76" s="198">
        <f>ROUND(N(data!BY80), 0)</f>
        <v>10319</v>
      </c>
      <c r="AA76" s="198">
        <f>ROUND(N(data!BY81), 0)</f>
        <v>0</v>
      </c>
      <c r="AB76" s="198">
        <f>ROUND(N(data!BY82), 0)</f>
        <v>0</v>
      </c>
      <c r="AC76" s="198">
        <f>ROUND(N(data!BY83), 0)</f>
        <v>14032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1482</v>
      </c>
      <c r="AH76" s="198">
        <f>ROUND(N(data!BY91), 0)</f>
        <v>0</v>
      </c>
      <c r="AI76" s="198">
        <f>ROUND(N(data!BY92), 0)</f>
        <v>543</v>
      </c>
      <c r="AJ76" s="198">
        <f>ROUND(N(data!BY93), 0)</f>
        <v>0</v>
      </c>
      <c r="AK76" s="313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201</v>
      </c>
      <c r="B77" s="200" t="str">
        <f>RIGHT(data!$C$96,4)</f>
        <v>2024</v>
      </c>
      <c r="C77" s="12" t="str">
        <f>data!BZ$55</f>
        <v>8730</v>
      </c>
      <c r="D77" s="12" t="s">
        <v>1156</v>
      </c>
      <c r="E77" s="198">
        <f>ROUND(N(data!BZ59), 0)</f>
        <v>0</v>
      </c>
      <c r="F77" s="313">
        <f>ROUND(N(data!BZ60), 2)</f>
        <v>1.5</v>
      </c>
      <c r="G77" s="198">
        <f>ROUND(N(data!BZ61), 0)</f>
        <v>169849</v>
      </c>
      <c r="H77" s="198">
        <f>ROUND(N(data!BZ62), 0)</f>
        <v>38286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40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40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3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201</v>
      </c>
      <c r="B78" s="200" t="str">
        <f>RIGHT(data!$C$96,4)</f>
        <v>2024</v>
      </c>
      <c r="C78" s="12" t="str">
        <f>data!CA$55</f>
        <v>8740</v>
      </c>
      <c r="D78" s="12" t="s">
        <v>1156</v>
      </c>
      <c r="E78" s="198">
        <f>ROUND(N(data!CA59), 0)</f>
        <v>0</v>
      </c>
      <c r="F78" s="313">
        <f>ROUND(N(data!CA60), 2)</f>
        <v>5.03</v>
      </c>
      <c r="G78" s="198">
        <f>ROUND(N(data!CA61), 0)</f>
        <v>680863</v>
      </c>
      <c r="H78" s="198">
        <f>ROUND(N(data!CA62), 0)</f>
        <v>153713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218791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13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201</v>
      </c>
      <c r="B79" s="200" t="str">
        <f>RIGHT(data!$C$96,4)</f>
        <v>2024</v>
      </c>
      <c r="C79" s="12" t="str">
        <f>data!CB$55</f>
        <v>8770</v>
      </c>
      <c r="D79" s="12" t="s">
        <v>1156</v>
      </c>
      <c r="E79" s="198">
        <f>ROUND(N(data!CB59), 0)</f>
        <v>0</v>
      </c>
      <c r="F79" s="313">
        <f>ROUND(N(data!CB60), 2)</f>
        <v>0.61</v>
      </c>
      <c r="G79" s="198">
        <f>ROUND(N(data!CB61), 0)</f>
        <v>59044</v>
      </c>
      <c r="H79" s="198">
        <f>ROUND(N(data!CB62), 0)</f>
        <v>13309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246632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3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201</v>
      </c>
      <c r="B80" s="200" t="str">
        <f>RIGHT(data!$C$96,4)</f>
        <v>2024</v>
      </c>
      <c r="C80" s="12" t="str">
        <f>data!CC$55</f>
        <v>8790</v>
      </c>
      <c r="D80" s="12" t="s">
        <v>1156</v>
      </c>
      <c r="E80" s="198">
        <f>ROUND(N(data!CC59), 0)</f>
        <v>0</v>
      </c>
      <c r="F80" s="313">
        <f>ROUND(N(data!CC60), 2)</f>
        <v>7.47</v>
      </c>
      <c r="G80" s="198">
        <f>ROUND(N(data!CC61), 0)</f>
        <v>1714046</v>
      </c>
      <c r="H80" s="198">
        <f>ROUND(N(data!CC62), 0)</f>
        <v>388588</v>
      </c>
      <c r="I80" s="198">
        <f>ROUND(N(data!CC63), 0)</f>
        <v>627880</v>
      </c>
      <c r="J80" s="198">
        <f>ROUND(N(data!CC64), 0)</f>
        <v>-334425</v>
      </c>
      <c r="K80" s="198">
        <f>ROUND(N(data!CC65), 0)</f>
        <v>0</v>
      </c>
      <c r="L80" s="198">
        <f>ROUND(N(data!CC66), 0)</f>
        <v>12015973</v>
      </c>
      <c r="M80" s="198">
        <f>ROUND(N(data!CC67), 0)</f>
        <v>329360</v>
      </c>
      <c r="N80" s="198">
        <f>ROUND(N(data!CC68), 0)</f>
        <v>5891</v>
      </c>
      <c r="O80" s="198">
        <f>ROUND(N(data!CC69), 0)</f>
        <v>135368</v>
      </c>
      <c r="P80" s="198">
        <f>ROUND(N(data!CC70), 0)</f>
        <v>0</v>
      </c>
      <c r="Q80" s="198">
        <f>ROUND(N(data!CC71), 0)</f>
        <v>-4614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139982</v>
      </c>
      <c r="AD80" s="198">
        <f>ROUND(N(data!CC84), 0)</f>
        <v>1885161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3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699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700</v>
      </c>
      <c r="G3" s="10"/>
      <c r="J3" s="99"/>
    </row>
    <row r="4" spans="2:10" x14ac:dyDescent="0.25">
      <c r="B4" s="98"/>
      <c r="F4" s="10" t="s">
        <v>701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702</v>
      </c>
      <c r="G8" s="10"/>
      <c r="J8" s="99"/>
    </row>
    <row r="9" spans="2:10" x14ac:dyDescent="0.2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25">
      <c r="B10" s="98"/>
      <c r="F10" s="10" t="s">
        <v>704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705</v>
      </c>
      <c r="G12" s="10"/>
      <c r="J12" s="99"/>
    </row>
    <row r="13" spans="2:10" x14ac:dyDescent="0.25">
      <c r="B13" s="98"/>
      <c r="F13" s="10" t="s">
        <v>706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707</v>
      </c>
      <c r="J16" s="99"/>
    </row>
    <row r="17" spans="2:10" x14ac:dyDescent="0.25">
      <c r="B17" s="95"/>
      <c r="C17" s="104" t="s">
        <v>708</v>
      </c>
      <c r="D17" s="104"/>
      <c r="E17" s="96" t="str">
        <f>+data!C98</f>
        <v>St. Francis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709</v>
      </c>
      <c r="D18" s="53"/>
      <c r="E18" s="11" t="str">
        <f>+"H-"&amp;data!C97</f>
        <v>H-201</v>
      </c>
      <c r="F18" s="10"/>
      <c r="G18" s="10"/>
      <c r="J18" s="99"/>
    </row>
    <row r="19" spans="2:10" x14ac:dyDescent="0.25">
      <c r="B19" s="98"/>
      <c r="C19" s="53" t="s">
        <v>710</v>
      </c>
      <c r="D19" s="53"/>
      <c r="E19" s="11" t="str">
        <f>+data!C99</f>
        <v>34515 9th Ave S</v>
      </c>
      <c r="F19" s="10"/>
      <c r="G19" s="10"/>
      <c r="J19" s="99"/>
    </row>
    <row r="20" spans="2:10" x14ac:dyDescent="0.25">
      <c r="B20" s="98"/>
      <c r="C20" s="53" t="s">
        <v>711</v>
      </c>
      <c r="D20" s="53"/>
      <c r="E20" s="11" t="str">
        <f>+data!C100</f>
        <v>Federal Way</v>
      </c>
      <c r="F20" s="10"/>
      <c r="G20" s="10"/>
      <c r="J20" s="99"/>
    </row>
    <row r="21" spans="2:10" x14ac:dyDescent="0.25">
      <c r="B21" s="98"/>
      <c r="C21" s="53" t="s">
        <v>712</v>
      </c>
      <c r="D21" s="53"/>
      <c r="E21" s="11" t="str">
        <f>+data!C101</f>
        <v>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2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6/30/2024.</v>
      </c>
      <c r="J28" s="99"/>
    </row>
    <row r="29" spans="2:10" x14ac:dyDescent="0.25">
      <c r="B29" s="98" t="s">
        <v>715</v>
      </c>
      <c r="J29" s="99"/>
    </row>
    <row r="30" spans="2:10" x14ac:dyDescent="0.2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718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718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xk39Cn89gkc08J5yL+F8t65yIMUjbmEuCKG0FPlMTTHW4G+btNKpa9nBQDISqKxDyVi4ppvHD96E3wBBXhk0EA==" saltValue="WseKIaTFIIQaaegyLXL0Ag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B10" zoomScaleNormal="100" workbookViewId="0">
      <pane ySplit="5" topLeftCell="A15" activePane="bottomLeft" state="frozen"/>
      <selection activeCell="A10" sqref="A10"/>
      <selection pane="bottomLeft" activeCell="I48" sqref="I48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721</v>
      </c>
    </row>
    <row r="3" spans="1:13" x14ac:dyDescent="0.25">
      <c r="A3" s="54"/>
    </row>
    <row r="4" spans="1:13" x14ac:dyDescent="0.25">
      <c r="A4" s="149" t="s">
        <v>722</v>
      </c>
    </row>
    <row r="5" spans="1:13" x14ac:dyDescent="0.25">
      <c r="A5" s="149" t="s">
        <v>723</v>
      </c>
    </row>
    <row r="6" spans="1:13" x14ac:dyDescent="0.25">
      <c r="A6" s="149" t="s">
        <v>724</v>
      </c>
    </row>
    <row r="7" spans="1:13" x14ac:dyDescent="0.25">
      <c r="A7" s="149"/>
    </row>
    <row r="8" spans="1:13" x14ac:dyDescent="0.25">
      <c r="A8" s="2" t="s">
        <v>725</v>
      </c>
    </row>
    <row r="9" spans="1:13" x14ac:dyDescent="0.25">
      <c r="A9" s="149" t="s">
        <v>27</v>
      </c>
    </row>
    <row r="12" spans="1:13" x14ac:dyDescent="0.25">
      <c r="A12" s="1" t="str">
        <f>data!C97</f>
        <v>201</v>
      </c>
      <c r="B12" s="227" t="str">
        <f>RIGHT('Prior Year'!C96,4)</f>
        <v>2023</v>
      </c>
      <c r="C12" s="227" t="str">
        <f>RIGHT(data!C96,4)</f>
        <v>2024</v>
      </c>
      <c r="D12" s="1" t="str">
        <f>RIGHT('Prior Year'!C96,4)</f>
        <v>2023</v>
      </c>
      <c r="E12" s="227" t="str">
        <f>RIGHT(data!C96,4)</f>
        <v>2024</v>
      </c>
      <c r="F12" s="1" t="str">
        <f>RIGHT('Prior Year'!C96,4)</f>
        <v>2023</v>
      </c>
      <c r="G12" s="227" t="str">
        <f>RIGHT(data!C96,4)</f>
        <v>2024</v>
      </c>
      <c r="H12" s="3"/>
    </row>
    <row r="13" spans="1:13" x14ac:dyDescent="0.25">
      <c r="A13" s="2"/>
      <c r="B13" s="227" t="s">
        <v>726</v>
      </c>
      <c r="C13" s="227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27" t="s">
        <v>365</v>
      </c>
      <c r="C14" s="227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55" t="s">
        <v>735</v>
      </c>
    </row>
    <row r="15" spans="1:13" x14ac:dyDescent="0.25">
      <c r="A15" s="1" t="s">
        <v>736</v>
      </c>
      <c r="B15" s="227">
        <f>ROUND(N('Prior Year'!C85), 0)</f>
        <v>12485902</v>
      </c>
      <c r="C15" s="227">
        <f>data!C85</f>
        <v>12798989.260000002</v>
      </c>
      <c r="D15" s="227">
        <f>ROUND(N('Prior Year'!C59), 0)</f>
        <v>5006</v>
      </c>
      <c r="E15" s="1">
        <f>data!C59</f>
        <v>4980</v>
      </c>
      <c r="F15" s="205">
        <f t="shared" ref="F15:F59" si="0">IF(B15=0,"",IF(D15=0,"",B15/D15))</f>
        <v>2494.1873751498201</v>
      </c>
      <c r="G15" s="205">
        <f t="shared" ref="G15:G29" si="1">IF(C15=0,"",IF(E15=0,"",C15/E15))</f>
        <v>2570.0781646586347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7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27">
        <f>ROUND(N('Prior Year'!D85), 0)</f>
        <v>0</v>
      </c>
      <c r="C16" s="227">
        <f>data!D85</f>
        <v>0</v>
      </c>
      <c r="D16" s="227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7" t="str">
        <f t="shared" si="3"/>
        <v/>
      </c>
      <c r="M16" s="7"/>
    </row>
    <row r="17" spans="1:13" x14ac:dyDescent="0.25">
      <c r="A17" s="1" t="s">
        <v>738</v>
      </c>
      <c r="B17" s="227">
        <f>ROUND(N('Prior Year'!E85), 0)</f>
        <v>39130407</v>
      </c>
      <c r="C17" s="227">
        <f>data!E85</f>
        <v>42720321.009999983</v>
      </c>
      <c r="D17" s="227">
        <f>ROUND(N('Prior Year'!E59), 0)</f>
        <v>33751</v>
      </c>
      <c r="E17" s="1">
        <f>data!E59</f>
        <v>35217</v>
      </c>
      <c r="F17" s="205">
        <f t="shared" si="0"/>
        <v>1159.3851145151255</v>
      </c>
      <c r="G17" s="205">
        <f t="shared" si="1"/>
        <v>1213.0596305761417</v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739</v>
      </c>
      <c r="B18" s="227">
        <f>ROUND(N('Prior Year'!F85), 0)</f>
        <v>0</v>
      </c>
      <c r="C18" s="227">
        <f>data!F85</f>
        <v>0</v>
      </c>
      <c r="D18" s="227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7" t="str">
        <f t="shared" si="3"/>
        <v/>
      </c>
      <c r="M18" s="7"/>
    </row>
    <row r="19" spans="1:13" x14ac:dyDescent="0.25">
      <c r="A19" s="1" t="s">
        <v>740</v>
      </c>
      <c r="B19" s="227">
        <f>ROUND(N('Prior Year'!G85), 0)</f>
        <v>0</v>
      </c>
      <c r="C19" s="227">
        <f>data!G85</f>
        <v>0</v>
      </c>
      <c r="D19" s="227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741</v>
      </c>
      <c r="B20" s="227">
        <f>ROUND(N('Prior Year'!H85), 0)</f>
        <v>0</v>
      </c>
      <c r="C20" s="227">
        <f>data!H85</f>
        <v>269063.15999999997</v>
      </c>
      <c r="D20" s="227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742</v>
      </c>
      <c r="B21" s="227">
        <f>ROUND(N('Prior Year'!I85), 0)</f>
        <v>0</v>
      </c>
      <c r="C21" s="227">
        <f>data!I85</f>
        <v>0</v>
      </c>
      <c r="D21" s="227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743</v>
      </c>
      <c r="B22" s="227">
        <f>ROUND(N('Prior Year'!J85), 0)</f>
        <v>0</v>
      </c>
      <c r="C22" s="227">
        <f>data!J85</f>
        <v>0</v>
      </c>
      <c r="D22" s="227">
        <f>ROUND(N('Prior Year'!J59), 0)</f>
        <v>1636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7" t="str">
        <f t="shared" si="3"/>
        <v/>
      </c>
      <c r="M22" s="7"/>
    </row>
    <row r="23" spans="1:13" x14ac:dyDescent="0.25">
      <c r="A23" s="1" t="s">
        <v>744</v>
      </c>
      <c r="B23" s="227">
        <f>ROUND(N('Prior Year'!K85), 0)</f>
        <v>0</v>
      </c>
      <c r="C23" s="227">
        <f>data!K85</f>
        <v>0</v>
      </c>
      <c r="D23" s="227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7" t="str">
        <f t="shared" si="3"/>
        <v/>
      </c>
      <c r="M23" s="7"/>
    </row>
    <row r="24" spans="1:13" x14ac:dyDescent="0.25">
      <c r="A24" s="1" t="s">
        <v>745</v>
      </c>
      <c r="B24" s="227">
        <f>ROUND(N('Prior Year'!L85), 0)</f>
        <v>0</v>
      </c>
      <c r="C24" s="227">
        <f>data!L85</f>
        <v>0</v>
      </c>
      <c r="D24" s="227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746</v>
      </c>
      <c r="B25" s="227">
        <f>ROUND(N('Prior Year'!M85), 0)</f>
        <v>0</v>
      </c>
      <c r="C25" s="227">
        <f>data!M85</f>
        <v>0</v>
      </c>
      <c r="D25" s="227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0</v>
      </c>
      <c r="C26" s="227">
        <f>data!N85</f>
        <v>0</v>
      </c>
      <c r="D26" s="227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748</v>
      </c>
      <c r="B27" s="227">
        <f>ROUND(N('Prior Year'!O85), 0)</f>
        <v>11046188</v>
      </c>
      <c r="C27" s="227">
        <f>data!O85</f>
        <v>12069217.670000002</v>
      </c>
      <c r="D27" s="227">
        <f>ROUND(N('Prior Year'!O59), 0)</f>
        <v>3372</v>
      </c>
      <c r="E27" s="1">
        <f>data!O59</f>
        <v>4408</v>
      </c>
      <c r="F27" s="205">
        <f t="shared" si="0"/>
        <v>3275.8564650059311</v>
      </c>
      <c r="G27" s="205">
        <f t="shared" si="1"/>
        <v>2738.025787205082</v>
      </c>
      <c r="H27" s="6" t="str">
        <f t="shared" si="2"/>
        <v/>
      </c>
      <c r="I27" s="227" t="str">
        <f t="shared" si="3"/>
        <v/>
      </c>
      <c r="M27" s="7"/>
    </row>
    <row r="28" spans="1:13" x14ac:dyDescent="0.25">
      <c r="A28" s="1" t="s">
        <v>749</v>
      </c>
      <c r="B28" s="227">
        <f>ROUND(N('Prior Year'!P85), 0)</f>
        <v>46023226</v>
      </c>
      <c r="C28" s="227">
        <f>data!P85</f>
        <v>51934677.489999995</v>
      </c>
      <c r="D28" s="227">
        <f>ROUND(N('Prior Year'!P59), 0)</f>
        <v>622610</v>
      </c>
      <c r="E28" s="1">
        <f>data!P59</f>
        <v>639869</v>
      </c>
      <c r="F28" s="205">
        <f t="shared" si="0"/>
        <v>73.919831033873535</v>
      </c>
      <c r="G28" s="205">
        <f t="shared" si="1"/>
        <v>81.164546946328073</v>
      </c>
      <c r="H28" s="6" t="str">
        <f t="shared" si="2"/>
        <v/>
      </c>
      <c r="I28" s="227" t="str">
        <f t="shared" si="3"/>
        <v/>
      </c>
      <c r="M28" s="7"/>
    </row>
    <row r="29" spans="1:13" x14ac:dyDescent="0.25">
      <c r="A29" s="1" t="s">
        <v>750</v>
      </c>
      <c r="B29" s="227">
        <f>ROUND(N('Prior Year'!Q85), 0)</f>
        <v>5225408</v>
      </c>
      <c r="C29" s="227">
        <f>data!Q85</f>
        <v>4858438.0000000009</v>
      </c>
      <c r="D29" s="227">
        <f>ROUND(N('Prior Year'!Q59), 0)</f>
        <v>293790</v>
      </c>
      <c r="E29" s="1">
        <f>data!Q59</f>
        <v>1291845</v>
      </c>
      <c r="F29" s="205">
        <f t="shared" si="0"/>
        <v>17.786201027945133</v>
      </c>
      <c r="G29" s="205">
        <f t="shared" si="1"/>
        <v>3.7608521146112737</v>
      </c>
      <c r="H29" s="6">
        <f t="shared" si="2"/>
        <v>-0.78855225414902608</v>
      </c>
      <c r="I29" s="227" t="s">
        <v>1364</v>
      </c>
      <c r="M29" s="7"/>
    </row>
    <row r="30" spans="1:13" x14ac:dyDescent="0.25">
      <c r="A30" s="1" t="s">
        <v>751</v>
      </c>
      <c r="B30" s="227">
        <f>ROUND(N('Prior Year'!R85), 0)</f>
        <v>0</v>
      </c>
      <c r="C30" s="227">
        <f>data!R85</f>
        <v>0</v>
      </c>
      <c r="D30" s="227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7" t="str">
        <f t="shared" si="3"/>
        <v/>
      </c>
      <c r="M30" s="7"/>
    </row>
    <row r="31" spans="1:13" x14ac:dyDescent="0.25">
      <c r="A31" s="1" t="s">
        <v>752</v>
      </c>
      <c r="B31" s="227">
        <f>ROUND(N('Prior Year'!S85), 0)</f>
        <v>900348</v>
      </c>
      <c r="C31" s="227">
        <f>data!S85</f>
        <v>950485.74000000011</v>
      </c>
      <c r="D31" s="227" t="s">
        <v>753</v>
      </c>
      <c r="E31" s="4" t="s">
        <v>753</v>
      </c>
      <c r="F31" s="205" t="s">
        <v>5</v>
      </c>
      <c r="G31" s="205" t="str">
        <f t="shared" ref="G31:G32" si="4">IFERROR(IF(C31=0,"",IF(E31=0,"",C31/E31)),"")</f>
        <v/>
      </c>
      <c r="H31" s="6" t="s">
        <v>5</v>
      </c>
      <c r="I31" s="227" t="str">
        <f t="shared" si="3"/>
        <v/>
      </c>
      <c r="M31" s="7"/>
    </row>
    <row r="32" spans="1:13" x14ac:dyDescent="0.25">
      <c r="A32" s="1" t="s">
        <v>754</v>
      </c>
      <c r="B32" s="227">
        <f>ROUND(N('Prior Year'!T85), 0)</f>
        <v>1675490</v>
      </c>
      <c r="C32" s="227">
        <f>data!T85</f>
        <v>1660769.03</v>
      </c>
      <c r="D32" s="227" t="s">
        <v>753</v>
      </c>
      <c r="E32" s="4" t="s">
        <v>753</v>
      </c>
      <c r="F32" s="205" t="s">
        <v>5</v>
      </c>
      <c r="G32" s="205" t="str">
        <f t="shared" si="4"/>
        <v/>
      </c>
      <c r="H32" s="6" t="s">
        <v>5</v>
      </c>
      <c r="I32" s="227" t="str">
        <f t="shared" si="3"/>
        <v/>
      </c>
      <c r="M32" s="7"/>
    </row>
    <row r="33" spans="1:13" x14ac:dyDescent="0.25">
      <c r="A33" s="1" t="s">
        <v>755</v>
      </c>
      <c r="B33" s="227">
        <f>ROUND(N('Prior Year'!U85), 0)</f>
        <v>7424492</v>
      </c>
      <c r="C33" s="227">
        <f>data!U85</f>
        <v>7001680.6399999997</v>
      </c>
      <c r="D33" s="227">
        <f>ROUND(N('Prior Year'!U59), 0)</f>
        <v>535556</v>
      </c>
      <c r="E33" s="1">
        <f>data!U59</f>
        <v>603215</v>
      </c>
      <c r="F33" s="205">
        <f t="shared" si="0"/>
        <v>13.863147831412588</v>
      </c>
      <c r="G33" s="205">
        <f t="shared" ref="G33:G69" si="5">IF(C33=0,"",IF(E33=0,"",C33/E33))</f>
        <v>11.60727210032907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756</v>
      </c>
      <c r="B34" s="227">
        <f>ROUND(N('Prior Year'!V85), 0)</f>
        <v>1220727</v>
      </c>
      <c r="C34" s="227">
        <f>data!V85</f>
        <v>1296588.1699999995</v>
      </c>
      <c r="D34" s="227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5"/>
        <v/>
      </c>
      <c r="H34" s="6" t="str">
        <f t="shared" si="6"/>
        <v/>
      </c>
      <c r="I34" s="227" t="str">
        <f t="shared" si="3"/>
        <v/>
      </c>
      <c r="M34" s="7"/>
    </row>
    <row r="35" spans="1:13" x14ac:dyDescent="0.25">
      <c r="A35" s="1" t="s">
        <v>757</v>
      </c>
      <c r="B35" s="227">
        <f>ROUND(N('Prior Year'!W85), 0)</f>
        <v>830380</v>
      </c>
      <c r="C35" s="227">
        <f>data!W85</f>
        <v>939185.43000000017</v>
      </c>
      <c r="D35" s="227">
        <f>ROUND(N('Prior Year'!W59), 0)</f>
        <v>7567</v>
      </c>
      <c r="E35" s="1">
        <f>data!W59</f>
        <v>24359.9</v>
      </c>
      <c r="F35" s="205">
        <f t="shared" si="0"/>
        <v>109.73701599048501</v>
      </c>
      <c r="G35" s="205">
        <f t="shared" si="5"/>
        <v>38.554568368507262</v>
      </c>
      <c r="H35" s="6">
        <f t="shared" si="6"/>
        <v>-0.6486639624695989</v>
      </c>
      <c r="I35" s="227" t="s">
        <v>1365</v>
      </c>
      <c r="M35" s="7"/>
    </row>
    <row r="36" spans="1:13" x14ac:dyDescent="0.25">
      <c r="A36" s="1" t="s">
        <v>758</v>
      </c>
      <c r="B36" s="227">
        <f>ROUND(N('Prior Year'!X85), 0)</f>
        <v>1857436</v>
      </c>
      <c r="C36" s="227">
        <f>data!X85</f>
        <v>1970735.81</v>
      </c>
      <c r="D36" s="227">
        <f>ROUND(N('Prior Year'!X59), 0)</f>
        <v>24305</v>
      </c>
      <c r="E36" s="1">
        <f>data!X59</f>
        <v>26551.399999999998</v>
      </c>
      <c r="F36" s="205">
        <f t="shared" si="0"/>
        <v>76.421970787903717</v>
      </c>
      <c r="G36" s="205">
        <f t="shared" si="5"/>
        <v>74.223423623613073</v>
      </c>
      <c r="H36" s="6" t="str">
        <f t="shared" si="6"/>
        <v/>
      </c>
      <c r="I36" s="227" t="s">
        <v>5</v>
      </c>
      <c r="M36" s="7"/>
    </row>
    <row r="37" spans="1:13" x14ac:dyDescent="0.25">
      <c r="A37" s="1" t="s">
        <v>759</v>
      </c>
      <c r="B37" s="227">
        <f>ROUND(N('Prior Year'!Y85), 0)</f>
        <v>6972437</v>
      </c>
      <c r="C37" s="227">
        <f>data!Y85</f>
        <v>7032696.5299999993</v>
      </c>
      <c r="D37" s="227">
        <f>ROUND(N('Prior Year'!Y59), 0)</f>
        <v>98946</v>
      </c>
      <c r="E37" s="1">
        <f>data!Y59</f>
        <v>26583.960000000003</v>
      </c>
      <c r="F37" s="205">
        <f t="shared" si="0"/>
        <v>70.467093161926712</v>
      </c>
      <c r="G37" s="205">
        <f t="shared" si="5"/>
        <v>264.5466111896045</v>
      </c>
      <c r="H37" s="6">
        <f t="shared" si="6"/>
        <v>2.7541865191132748</v>
      </c>
      <c r="I37" s="227" t="s">
        <v>1365</v>
      </c>
      <c r="M37" s="7"/>
    </row>
    <row r="38" spans="1:13" x14ac:dyDescent="0.25">
      <c r="A38" s="1" t="s">
        <v>760</v>
      </c>
      <c r="B38" s="227">
        <f>ROUND(N('Prior Year'!Z85), 0)</f>
        <v>3289960</v>
      </c>
      <c r="C38" s="227">
        <f>data!Z85</f>
        <v>3189229.2300000004</v>
      </c>
      <c r="D38" s="227">
        <f>ROUND(N('Prior Year'!Z59), 0)</f>
        <v>0</v>
      </c>
      <c r="E38" s="1">
        <f>data!Z59</f>
        <v>423545.5</v>
      </c>
      <c r="F38" s="205" t="str">
        <f t="shared" si="0"/>
        <v/>
      </c>
      <c r="G38" s="205">
        <f t="shared" si="5"/>
        <v>7.5298385415498466</v>
      </c>
      <c r="H38" s="6" t="str">
        <f t="shared" si="6"/>
        <v/>
      </c>
      <c r="I38" s="227" t="s">
        <v>5</v>
      </c>
      <c r="M38" s="7"/>
    </row>
    <row r="39" spans="1:13" x14ac:dyDescent="0.25">
      <c r="A39" s="1" t="s">
        <v>761</v>
      </c>
      <c r="B39" s="227">
        <f>ROUND(N('Prior Year'!AA85), 0)</f>
        <v>1115652</v>
      </c>
      <c r="C39" s="227">
        <f>data!AA85</f>
        <v>919214.48</v>
      </c>
      <c r="D39" s="227">
        <f>ROUND(N('Prior Year'!AA59), 0)</f>
        <v>3042</v>
      </c>
      <c r="E39" s="1">
        <f>data!AA59</f>
        <v>3361</v>
      </c>
      <c r="F39" s="205">
        <f t="shared" si="0"/>
        <v>366.74950690335305</v>
      </c>
      <c r="G39" s="205">
        <f t="shared" si="5"/>
        <v>273.49434096994941</v>
      </c>
      <c r="H39" s="6">
        <f t="shared" si="6"/>
        <v>-0.25427482294605652</v>
      </c>
      <c r="I39" s="227" t="s">
        <v>1375</v>
      </c>
      <c r="M39" s="7"/>
    </row>
    <row r="40" spans="1:13" x14ac:dyDescent="0.25">
      <c r="A40" s="1" t="s">
        <v>762</v>
      </c>
      <c r="B40" s="227">
        <f>ROUND(N('Prior Year'!AB85), 0)</f>
        <v>9813577</v>
      </c>
      <c r="C40" s="227">
        <f>data!AB85</f>
        <v>13227703.349999994</v>
      </c>
      <c r="D40" s="227" t="s">
        <v>753</v>
      </c>
      <c r="E40" s="4" t="s">
        <v>753</v>
      </c>
      <c r="F40" s="205" t="s">
        <v>5</v>
      </c>
      <c r="G40" s="205" t="str">
        <f>IFERROR(IF(C40=0,"",IF(E40=0,"",C40/E40)),"")</f>
        <v/>
      </c>
      <c r="H40" s="6" t="s">
        <v>5</v>
      </c>
      <c r="I40" s="227" t="s">
        <v>5</v>
      </c>
      <c r="M40" s="7"/>
    </row>
    <row r="41" spans="1:13" x14ac:dyDescent="0.25">
      <c r="A41" s="1" t="s">
        <v>763</v>
      </c>
      <c r="B41" s="227">
        <f>ROUND(N('Prior Year'!AC85), 0)</f>
        <v>2330179</v>
      </c>
      <c r="C41" s="227">
        <f>data!AC85</f>
        <v>2536713.5300000003</v>
      </c>
      <c r="D41" s="227">
        <f>ROUND(N('Prior Year'!AC59), 0)</f>
        <v>72380</v>
      </c>
      <c r="E41" s="1">
        <f>data!AC59</f>
        <v>77243.8</v>
      </c>
      <c r="F41" s="205">
        <f t="shared" si="0"/>
        <v>32.193686101132911</v>
      </c>
      <c r="G41" s="205">
        <f t="shared" si="5"/>
        <v>32.840351329168172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7" t="s">
        <v>5</v>
      </c>
      <c r="M41" s="7"/>
    </row>
    <row r="42" spans="1:13" x14ac:dyDescent="0.25">
      <c r="A42" s="1" t="s">
        <v>764</v>
      </c>
      <c r="B42" s="227">
        <f>ROUND(N('Prior Year'!AD85), 0)</f>
        <v>874163</v>
      </c>
      <c r="C42" s="227">
        <f>data!AD85</f>
        <v>1100370.94</v>
      </c>
      <c r="D42" s="227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5"/>
        <v/>
      </c>
      <c r="H42" s="6" t="str">
        <f t="shared" si="7"/>
        <v/>
      </c>
      <c r="I42" s="227" t="s">
        <v>5</v>
      </c>
      <c r="M42" s="7"/>
    </row>
    <row r="43" spans="1:13" x14ac:dyDescent="0.25">
      <c r="A43" s="1" t="s">
        <v>765</v>
      </c>
      <c r="B43" s="227">
        <f>ROUND(N('Prior Year'!AE85), 0)</f>
        <v>3168312</v>
      </c>
      <c r="C43" s="227">
        <f>data!AE85</f>
        <v>1451824.06</v>
      </c>
      <c r="D43" s="227">
        <f>ROUND(N('Prior Year'!AE59), 0)</f>
        <v>64024</v>
      </c>
      <c r="E43" s="1">
        <f>data!AE59</f>
        <v>23444</v>
      </c>
      <c r="F43" s="205">
        <f t="shared" si="0"/>
        <v>49.486317630888415</v>
      </c>
      <c r="G43" s="205">
        <f t="shared" si="5"/>
        <v>61.927318716942501</v>
      </c>
      <c r="H43" s="6">
        <f t="shared" si="7"/>
        <v>0.25140284591085948</v>
      </c>
      <c r="I43" s="227" t="s">
        <v>1366</v>
      </c>
      <c r="M43" s="7"/>
    </row>
    <row r="44" spans="1:13" x14ac:dyDescent="0.25">
      <c r="A44" s="1" t="s">
        <v>766</v>
      </c>
      <c r="B44" s="227">
        <f>ROUND(N('Prior Year'!AF85), 0)</f>
        <v>0</v>
      </c>
      <c r="C44" s="227">
        <f>data!AF85</f>
        <v>0</v>
      </c>
      <c r="D44" s="227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5"/>
        <v/>
      </c>
      <c r="H44" s="6" t="str">
        <f t="shared" si="7"/>
        <v/>
      </c>
      <c r="I44" s="227" t="str">
        <f t="shared" si="3"/>
        <v/>
      </c>
      <c r="M44" s="7"/>
    </row>
    <row r="45" spans="1:13" x14ac:dyDescent="0.25">
      <c r="A45" s="1" t="s">
        <v>767</v>
      </c>
      <c r="B45" s="227">
        <f>ROUND(N('Prior Year'!AG85), 0)</f>
        <v>12776942</v>
      </c>
      <c r="C45" s="227">
        <f>data!AG85</f>
        <v>12674296.640000001</v>
      </c>
      <c r="D45" s="227">
        <f>ROUND(N('Prior Year'!AG59), 0)</f>
        <v>45873</v>
      </c>
      <c r="E45" s="1">
        <f>data!AG59</f>
        <v>44351</v>
      </c>
      <c r="F45" s="205">
        <f t="shared" si="0"/>
        <v>278.52858980228018</v>
      </c>
      <c r="G45" s="205">
        <f t="shared" si="5"/>
        <v>285.77251110459741</v>
      </c>
      <c r="H45" s="6" t="str">
        <f t="shared" si="7"/>
        <v/>
      </c>
      <c r="I45" s="227" t="str">
        <f t="shared" si="3"/>
        <v/>
      </c>
      <c r="M45" s="7"/>
    </row>
    <row r="46" spans="1:13" x14ac:dyDescent="0.25">
      <c r="A46" s="1" t="s">
        <v>768</v>
      </c>
      <c r="B46" s="227">
        <f>ROUND(N('Prior Year'!AH85), 0)</f>
        <v>0</v>
      </c>
      <c r="C46" s="227">
        <f>data!AH85</f>
        <v>0</v>
      </c>
      <c r="D46" s="227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5"/>
        <v/>
      </c>
      <c r="H46" s="6" t="str">
        <f t="shared" si="7"/>
        <v/>
      </c>
      <c r="I46" s="227" t="str">
        <f t="shared" si="3"/>
        <v/>
      </c>
      <c r="M46" s="7"/>
    </row>
    <row r="47" spans="1:13" x14ac:dyDescent="0.25">
      <c r="A47" s="1" t="s">
        <v>769</v>
      </c>
      <c r="B47" s="227">
        <f>ROUND(N('Prior Year'!AI85), 0)</f>
        <v>0</v>
      </c>
      <c r="C47" s="227">
        <f>data!AI85</f>
        <v>0</v>
      </c>
      <c r="D47" s="227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5"/>
        <v/>
      </c>
      <c r="H47" s="6" t="str">
        <f t="shared" si="7"/>
        <v/>
      </c>
      <c r="I47" s="227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770</v>
      </c>
      <c r="B48" s="227">
        <f>ROUND(N('Prior Year'!AJ85), 0)</f>
        <v>80590030</v>
      </c>
      <c r="C48" s="227">
        <f>data!AJ85</f>
        <v>83596522.60999997</v>
      </c>
      <c r="D48" s="227">
        <f>ROUND(N('Prior Year'!AJ59), 0)</f>
        <v>688801</v>
      </c>
      <c r="E48" s="1">
        <f>data!AJ59</f>
        <v>347764.98000000004</v>
      </c>
      <c r="F48" s="205">
        <f t="shared" si="0"/>
        <v>117.00045441281299</v>
      </c>
      <c r="G48" s="205">
        <f t="shared" si="5"/>
        <v>240.38223345547894</v>
      </c>
      <c r="H48" s="6">
        <f t="shared" si="7"/>
        <v>1.0545410243223308</v>
      </c>
      <c r="I48" s="227" t="s">
        <v>1376</v>
      </c>
      <c r="M48" s="7"/>
    </row>
    <row r="49" spans="1:13" x14ac:dyDescent="0.25">
      <c r="A49" s="1" t="s">
        <v>771</v>
      </c>
      <c r="B49" s="227">
        <f>ROUND(N('Prior Year'!AK85), 0)</f>
        <v>502782</v>
      </c>
      <c r="C49" s="227">
        <f>data!AK85</f>
        <v>428503.71</v>
      </c>
      <c r="D49" s="227">
        <f>ROUND(N('Prior Year'!AK59), 0)</f>
        <v>13312</v>
      </c>
      <c r="E49" s="1">
        <f>data!AK59</f>
        <v>11749</v>
      </c>
      <c r="F49" s="205">
        <f t="shared" si="0"/>
        <v>37.769080528846153</v>
      </c>
      <c r="G49" s="205">
        <f t="shared" si="5"/>
        <v>36.47150480891991</v>
      </c>
      <c r="H49" s="6" t="str">
        <f t="shared" si="7"/>
        <v/>
      </c>
      <c r="I49" s="227" t="str">
        <f t="shared" si="8"/>
        <v/>
      </c>
      <c r="M49" s="7"/>
    </row>
    <row r="50" spans="1:13" x14ac:dyDescent="0.25">
      <c r="A50" s="1" t="s">
        <v>772</v>
      </c>
      <c r="B50" s="227">
        <f>ROUND(N('Prior Year'!AL85), 0)</f>
        <v>144094</v>
      </c>
      <c r="C50" s="227">
        <f>data!AL85</f>
        <v>122650.87</v>
      </c>
      <c r="D50" s="227">
        <f>ROUND(N('Prior Year'!AL59), 0)</f>
        <v>2513</v>
      </c>
      <c r="E50" s="1">
        <f>data!AL59</f>
        <v>2444</v>
      </c>
      <c r="F50" s="205">
        <f t="shared" si="0"/>
        <v>57.339434938320736</v>
      </c>
      <c r="G50" s="205">
        <f t="shared" si="5"/>
        <v>50.184480360065464</v>
      </c>
      <c r="H50" s="6" t="str">
        <f t="shared" si="7"/>
        <v/>
      </c>
      <c r="I50" s="227" t="str">
        <f t="shared" si="8"/>
        <v/>
      </c>
      <c r="M50" s="7"/>
    </row>
    <row r="51" spans="1:13" x14ac:dyDescent="0.25">
      <c r="A51" s="1" t="s">
        <v>773</v>
      </c>
      <c r="B51" s="227">
        <f>ROUND(N('Prior Year'!AM85), 0)</f>
        <v>0</v>
      </c>
      <c r="C51" s="227">
        <f>data!AM85</f>
        <v>0</v>
      </c>
      <c r="D51" s="227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5"/>
        <v/>
      </c>
      <c r="H51" s="6" t="str">
        <f t="shared" si="7"/>
        <v/>
      </c>
      <c r="I51" s="227" t="str">
        <f t="shared" si="8"/>
        <v/>
      </c>
      <c r="M51" s="7"/>
    </row>
    <row r="52" spans="1:13" x14ac:dyDescent="0.25">
      <c r="A52" s="1" t="s">
        <v>774</v>
      </c>
      <c r="B52" s="227">
        <f>ROUND(N('Prior Year'!AN85), 0)</f>
        <v>0</v>
      </c>
      <c r="C52" s="227">
        <f>data!AN85</f>
        <v>0</v>
      </c>
      <c r="D52" s="227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5"/>
        <v/>
      </c>
      <c r="H52" s="6" t="str">
        <f t="shared" si="7"/>
        <v/>
      </c>
      <c r="I52" s="227" t="str">
        <f t="shared" si="8"/>
        <v/>
      </c>
      <c r="M52" s="7"/>
    </row>
    <row r="53" spans="1:13" x14ac:dyDescent="0.25">
      <c r="A53" s="1" t="s">
        <v>775</v>
      </c>
      <c r="B53" s="227">
        <f>ROUND(N('Prior Year'!AO85), 0)</f>
        <v>0</v>
      </c>
      <c r="C53" s="227">
        <f>data!AO85</f>
        <v>0</v>
      </c>
      <c r="D53" s="227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5"/>
        <v/>
      </c>
      <c r="H53" s="6" t="str">
        <f t="shared" si="7"/>
        <v/>
      </c>
      <c r="I53" s="227" t="str">
        <f t="shared" si="8"/>
        <v/>
      </c>
      <c r="M53" s="7"/>
    </row>
    <row r="54" spans="1:13" x14ac:dyDescent="0.25">
      <c r="A54" s="1" t="s">
        <v>776</v>
      </c>
      <c r="B54" s="227">
        <f>ROUND(N('Prior Year'!AP85), 0)</f>
        <v>0</v>
      </c>
      <c r="C54" s="227">
        <f>data!AP85</f>
        <v>56553.67</v>
      </c>
      <c r="D54" s="227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5"/>
        <v/>
      </c>
      <c r="H54" s="6" t="str">
        <f t="shared" si="7"/>
        <v/>
      </c>
      <c r="I54" s="227" t="str">
        <f t="shared" si="8"/>
        <v/>
      </c>
      <c r="M54" s="7"/>
    </row>
    <row r="55" spans="1:13" x14ac:dyDescent="0.25">
      <c r="A55" s="1" t="s">
        <v>777</v>
      </c>
      <c r="B55" s="227">
        <f>ROUND(N('Prior Year'!AQ85), 0)</f>
        <v>0</v>
      </c>
      <c r="C55" s="227">
        <f>data!AQ85</f>
        <v>0</v>
      </c>
      <c r="D55" s="227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5"/>
        <v/>
      </c>
      <c r="H55" s="6" t="str">
        <f t="shared" si="7"/>
        <v/>
      </c>
      <c r="I55" s="227" t="str">
        <f t="shared" si="8"/>
        <v/>
      </c>
      <c r="M55" s="7"/>
    </row>
    <row r="56" spans="1:13" x14ac:dyDescent="0.25">
      <c r="A56" s="1" t="s">
        <v>778</v>
      </c>
      <c r="B56" s="227">
        <f>ROUND(N('Prior Year'!AR85), 0)</f>
        <v>0</v>
      </c>
      <c r="C56" s="227">
        <f>data!AR85</f>
        <v>106701.85</v>
      </c>
      <c r="D56" s="227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5"/>
        <v/>
      </c>
      <c r="H56" s="6" t="str">
        <f t="shared" si="7"/>
        <v/>
      </c>
      <c r="I56" s="227" t="str">
        <f t="shared" si="8"/>
        <v/>
      </c>
      <c r="M56" s="7"/>
    </row>
    <row r="57" spans="1:13" x14ac:dyDescent="0.25">
      <c r="A57" s="1" t="s">
        <v>779</v>
      </c>
      <c r="B57" s="227">
        <f>ROUND(N('Prior Year'!AS85), 0)</f>
        <v>0</v>
      </c>
      <c r="C57" s="227">
        <f>data!AS85</f>
        <v>0</v>
      </c>
      <c r="D57" s="227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5"/>
        <v/>
      </c>
      <c r="H57" s="6" t="str">
        <f t="shared" si="7"/>
        <v/>
      </c>
      <c r="I57" s="227" t="str">
        <f t="shared" si="8"/>
        <v/>
      </c>
      <c r="M57" s="7"/>
    </row>
    <row r="58" spans="1:13" x14ac:dyDescent="0.25">
      <c r="A58" s="1" t="s">
        <v>780</v>
      </c>
      <c r="B58" s="227">
        <f>ROUND(N('Prior Year'!AT85), 0)</f>
        <v>0</v>
      </c>
      <c r="C58" s="227">
        <f>data!AT85</f>
        <v>0</v>
      </c>
      <c r="D58" s="227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5"/>
        <v/>
      </c>
      <c r="H58" s="6" t="str">
        <f t="shared" si="7"/>
        <v/>
      </c>
      <c r="I58" s="227" t="str">
        <f t="shared" si="8"/>
        <v/>
      </c>
      <c r="M58" s="7"/>
    </row>
    <row r="59" spans="1:13" x14ac:dyDescent="0.25">
      <c r="A59" s="1" t="s">
        <v>781</v>
      </c>
      <c r="B59" s="227">
        <f>ROUND(N('Prior Year'!AU85), 0)</f>
        <v>0</v>
      </c>
      <c r="C59" s="227">
        <f>data!AU85</f>
        <v>0</v>
      </c>
      <c r="D59" s="227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5"/>
        <v/>
      </c>
      <c r="H59" s="6" t="str">
        <f t="shared" si="7"/>
        <v/>
      </c>
      <c r="I59" s="227" t="str">
        <f t="shared" si="8"/>
        <v/>
      </c>
      <c r="M59" s="7"/>
    </row>
    <row r="60" spans="1:13" x14ac:dyDescent="0.25">
      <c r="A60" s="1" t="s">
        <v>782</v>
      </c>
      <c r="B60" s="227">
        <f>ROUND(N('Prior Year'!AV85), 0)</f>
        <v>2374550</v>
      </c>
      <c r="C60" s="227">
        <f>data!AV85</f>
        <v>2224789.2100000009</v>
      </c>
      <c r="D60" s="227" t="s">
        <v>753</v>
      </c>
      <c r="E60" s="4" t="s">
        <v>753</v>
      </c>
      <c r="F60" s="205" t="s">
        <v>5</v>
      </c>
      <c r="G60" s="205"/>
      <c r="H60" s="6" t="s">
        <v>5</v>
      </c>
      <c r="I60" s="227" t="str">
        <f t="shared" si="8"/>
        <v/>
      </c>
      <c r="M60" s="7"/>
    </row>
    <row r="61" spans="1:13" x14ac:dyDescent="0.25">
      <c r="A61" s="1" t="s">
        <v>783</v>
      </c>
      <c r="B61" s="227">
        <f>ROUND(N('Prior Year'!AW85), 0)</f>
        <v>0</v>
      </c>
      <c r="C61" s="227">
        <f>data!AW85</f>
        <v>0</v>
      </c>
      <c r="D61" s="227" t="s">
        <v>753</v>
      </c>
      <c r="E61" s="4" t="s">
        <v>753</v>
      </c>
      <c r="F61" s="205" t="s">
        <v>5</v>
      </c>
      <c r="G61" s="205"/>
      <c r="H61" s="6" t="s">
        <v>5</v>
      </c>
      <c r="I61" s="227" t="str">
        <f t="shared" si="8"/>
        <v/>
      </c>
      <c r="M61" s="7"/>
    </row>
    <row r="62" spans="1:13" x14ac:dyDescent="0.25">
      <c r="A62" s="1" t="s">
        <v>784</v>
      </c>
      <c r="B62" s="227">
        <f>ROUND(N('Prior Year'!AX85), 0)</f>
        <v>57932</v>
      </c>
      <c r="C62" s="227">
        <f>data!AX85</f>
        <v>160120.15</v>
      </c>
      <c r="D62" s="227" t="s">
        <v>753</v>
      </c>
      <c r="E62" s="4" t="s">
        <v>753</v>
      </c>
      <c r="F62" s="205" t="s">
        <v>5</v>
      </c>
      <c r="G62" s="205"/>
      <c r="H62" s="6" t="s">
        <v>5</v>
      </c>
      <c r="I62" s="227" t="str">
        <f t="shared" si="8"/>
        <v/>
      </c>
      <c r="M62" s="7"/>
    </row>
    <row r="63" spans="1:13" x14ac:dyDescent="0.25">
      <c r="A63" s="1" t="s">
        <v>785</v>
      </c>
      <c r="B63" s="227">
        <f>ROUND(N('Prior Year'!AY85), 0)</f>
        <v>3439917</v>
      </c>
      <c r="C63" s="227">
        <f>data!AY85</f>
        <v>2926210.9999999995</v>
      </c>
      <c r="D63" s="227">
        <f>ROUND(N('Prior Year'!AY59), 0)</f>
        <v>121535</v>
      </c>
      <c r="E63" s="1">
        <f>data!AY59</f>
        <v>124186</v>
      </c>
      <c r="F63" s="205">
        <f>IF(B63=0,"",IF(D63=0,"",B63/D63))</f>
        <v>28.303920681285227</v>
      </c>
      <c r="G63" s="205">
        <f t="shared" si="5"/>
        <v>23.56313110978693</v>
      </c>
      <c r="H63" s="6" t="str">
        <f>IF(B63 = 0, "", IF(C63 = 0, "", IF(D63 = 0, "", IF(E63 = 0, "", IF(G63 / F63 - 1 &lt; -0.25, G63 / F63 - 1, IF(G63 / F63 - 1 &gt; 0.25, G63 / F63 - 1, ""))))))</f>
        <v/>
      </c>
      <c r="I63" s="227" t="str">
        <f t="shared" si="8"/>
        <v/>
      </c>
      <c r="M63" s="7"/>
    </row>
    <row r="64" spans="1:13" x14ac:dyDescent="0.25">
      <c r="A64" s="1" t="s">
        <v>786</v>
      </c>
      <c r="B64" s="227">
        <f>ROUND(N('Prior Year'!AZ85), 0)</f>
        <v>132738</v>
      </c>
      <c r="C64" s="227">
        <f>data!AZ85</f>
        <v>105103</v>
      </c>
      <c r="D64" s="227">
        <f>ROUND(N('Prior Year'!AZ59), 0)</f>
        <v>129072</v>
      </c>
      <c r="E64" s="1">
        <f>data!AZ59</f>
        <v>92598</v>
      </c>
      <c r="F64" s="205">
        <f>IF(B64=0,"",IF(D64=0,"",B64/D64))</f>
        <v>1.0284027519523986</v>
      </c>
      <c r="G64" s="205">
        <f t="shared" si="5"/>
        <v>1.1350461133069829</v>
      </c>
      <c r="H64" s="6" t="str">
        <f>IF(B64 = 0, "", IF(C64 = 0, "", IF(D64 = 0, "", IF(E64 = 0, "", IF(G64 / F64 - 1 &lt; -0.25, G64 / F64 - 1, IF(G64 / F64 - 1 &gt; 0.25, G64 / F64 - 1, ""))))))</f>
        <v/>
      </c>
      <c r="I64" s="227" t="str">
        <f t="shared" si="8"/>
        <v/>
      </c>
      <c r="M64" s="7"/>
    </row>
    <row r="65" spans="1:13" x14ac:dyDescent="0.25">
      <c r="A65" s="1" t="s">
        <v>787</v>
      </c>
      <c r="B65" s="227">
        <f>ROUND(N('Prior Year'!BA85), 0)</f>
        <v>187187</v>
      </c>
      <c r="C65" s="227">
        <f>data!BA85</f>
        <v>194241.08000000002</v>
      </c>
      <c r="D65" s="227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8"/>
        <v/>
      </c>
      <c r="M65" s="7"/>
    </row>
    <row r="66" spans="1:13" x14ac:dyDescent="0.25">
      <c r="A66" s="1" t="s">
        <v>788</v>
      </c>
      <c r="B66" s="227">
        <f>ROUND(N('Prior Year'!BB85), 0)</f>
        <v>0</v>
      </c>
      <c r="C66" s="227">
        <f>data!BB85</f>
        <v>0</v>
      </c>
      <c r="D66" s="227" t="s">
        <v>753</v>
      </c>
      <c r="E66" s="4" t="s">
        <v>753</v>
      </c>
      <c r="F66" s="205" t="s">
        <v>5</v>
      </c>
      <c r="G66" s="205" t="str">
        <f t="shared" ref="G66:G68" si="9">IFERROR(IF(C66=0,"",IF(E66=0,"",C66/E66)),"")</f>
        <v/>
      </c>
      <c r="H66" s="6" t="s">
        <v>5</v>
      </c>
      <c r="I66" s="227" t="str">
        <f t="shared" si="8"/>
        <v/>
      </c>
      <c r="M66" s="7"/>
    </row>
    <row r="67" spans="1:13" x14ac:dyDescent="0.25">
      <c r="A67" s="1" t="s">
        <v>789</v>
      </c>
      <c r="B67" s="227">
        <f>ROUND(N('Prior Year'!BC85), 0)</f>
        <v>456866</v>
      </c>
      <c r="C67" s="227">
        <f>data!BC85</f>
        <v>441908.15</v>
      </c>
      <c r="D67" s="227" t="s">
        <v>753</v>
      </c>
      <c r="E67" s="4" t="s">
        <v>753</v>
      </c>
      <c r="F67" s="205" t="s">
        <v>5</v>
      </c>
      <c r="G67" s="205" t="str">
        <f t="shared" si="9"/>
        <v/>
      </c>
      <c r="H67" s="6" t="s">
        <v>5</v>
      </c>
      <c r="I67" s="227" t="str">
        <f t="shared" si="8"/>
        <v/>
      </c>
      <c r="M67" s="7"/>
    </row>
    <row r="68" spans="1:13" x14ac:dyDescent="0.25">
      <c r="A68" s="1" t="s">
        <v>790</v>
      </c>
      <c r="B68" s="227">
        <f>ROUND(N('Prior Year'!BD85), 0)</f>
        <v>402564</v>
      </c>
      <c r="C68" s="227">
        <f>data!BD85</f>
        <v>720917.04</v>
      </c>
      <c r="D68" s="227" t="s">
        <v>753</v>
      </c>
      <c r="E68" s="4" t="s">
        <v>753</v>
      </c>
      <c r="F68" s="205" t="s">
        <v>5</v>
      </c>
      <c r="G68" s="205" t="str">
        <f t="shared" si="9"/>
        <v/>
      </c>
      <c r="H68" s="6" t="s">
        <v>5</v>
      </c>
      <c r="I68" s="227" t="str">
        <f t="shared" si="8"/>
        <v/>
      </c>
      <c r="M68" s="7"/>
    </row>
    <row r="69" spans="1:13" x14ac:dyDescent="0.25">
      <c r="A69" s="1" t="s">
        <v>791</v>
      </c>
      <c r="B69" s="227">
        <f>ROUND(N('Prior Year'!BE85), 0)</f>
        <v>9424562</v>
      </c>
      <c r="C69" s="227">
        <f>data!BE85</f>
        <v>9841183.3900000006</v>
      </c>
      <c r="D69" s="227">
        <f>ROUND(N('Prior Year'!BE59), 0)</f>
        <v>261902</v>
      </c>
      <c r="E69" s="1">
        <f>data!BE59</f>
        <v>261900</v>
      </c>
      <c r="F69" s="205">
        <f>IF(B69=0,"",IF(D69=0,"",B69/D69))</f>
        <v>35.985070751655201</v>
      </c>
      <c r="G69" s="205">
        <f t="shared" si="5"/>
        <v>37.57611069110348</v>
      </c>
      <c r="H69" s="6" t="str">
        <f>IF(B69 = 0, "", IF(C69 = 0, "", IF(D69 = 0, "", IF(E69 = 0, "", IF(G69 / F69 - 1 &lt; -0.25, G69 / F69 - 1, IF(G69 / F69 - 1 &gt; 0.25, G69 / F69 - 1, ""))))))</f>
        <v/>
      </c>
      <c r="I69" s="227" t="str">
        <f t="shared" si="8"/>
        <v/>
      </c>
      <c r="M69" s="7"/>
    </row>
    <row r="70" spans="1:13" x14ac:dyDescent="0.25">
      <c r="A70" s="1" t="s">
        <v>792</v>
      </c>
      <c r="B70" s="227">
        <f>ROUND(N('Prior Year'!BF85), 0)</f>
        <v>3027281</v>
      </c>
      <c r="C70" s="227">
        <f>data!BF85</f>
        <v>2909591.49</v>
      </c>
      <c r="D70" s="227" t="s">
        <v>753</v>
      </c>
      <c r="E70" s="4" t="s">
        <v>753</v>
      </c>
      <c r="F70" s="205" t="s">
        <v>5</v>
      </c>
      <c r="G70" s="205" t="str">
        <f t="shared" ref="G70:G94" si="10">IFERROR(IF(C70=0,"",IF(E70=0,"",C70/E70)),"")</f>
        <v/>
      </c>
      <c r="H70" s="6" t="s">
        <v>5</v>
      </c>
      <c r="I70" s="227" t="str">
        <f t="shared" si="8"/>
        <v/>
      </c>
      <c r="M70" s="7"/>
    </row>
    <row r="71" spans="1:13" x14ac:dyDescent="0.25">
      <c r="A71" s="1" t="s">
        <v>793</v>
      </c>
      <c r="B71" s="227">
        <f>ROUND(N('Prior Year'!BG85), 0)</f>
        <v>449515</v>
      </c>
      <c r="C71" s="227">
        <f>data!BG85</f>
        <v>378896.46</v>
      </c>
      <c r="D71" s="227" t="s">
        <v>753</v>
      </c>
      <c r="E71" s="4" t="s">
        <v>753</v>
      </c>
      <c r="F71" s="205" t="s">
        <v>5</v>
      </c>
      <c r="G71" s="205" t="str">
        <f t="shared" si="10"/>
        <v/>
      </c>
      <c r="H71" s="6" t="s">
        <v>5</v>
      </c>
      <c r="I71" s="227" t="str">
        <f t="shared" si="8"/>
        <v/>
      </c>
      <c r="M71" s="7"/>
    </row>
    <row r="72" spans="1:13" x14ac:dyDescent="0.25">
      <c r="A72" s="1" t="s">
        <v>794</v>
      </c>
      <c r="B72" s="227">
        <f>ROUND(N('Prior Year'!BH85), 0)</f>
        <v>296074</v>
      </c>
      <c r="C72" s="227">
        <f>data!BH85</f>
        <v>316819.01</v>
      </c>
      <c r="D72" s="227" t="s">
        <v>753</v>
      </c>
      <c r="E72" s="4" t="s">
        <v>753</v>
      </c>
      <c r="F72" s="205" t="s">
        <v>5</v>
      </c>
      <c r="G72" s="205" t="str">
        <f t="shared" si="10"/>
        <v/>
      </c>
      <c r="H72" s="6" t="s">
        <v>5</v>
      </c>
      <c r="I72" s="227" t="str">
        <f t="shared" si="8"/>
        <v/>
      </c>
      <c r="M72" s="7"/>
    </row>
    <row r="73" spans="1:13" x14ac:dyDescent="0.25">
      <c r="A73" s="1" t="s">
        <v>795</v>
      </c>
      <c r="B73" s="227">
        <f>ROUND(N('Prior Year'!BI85), 0)</f>
        <v>-10449</v>
      </c>
      <c r="C73" s="227">
        <f>data!BI85</f>
        <v>8902.75</v>
      </c>
      <c r="D73" s="227" t="s">
        <v>753</v>
      </c>
      <c r="E73" s="4" t="s">
        <v>753</v>
      </c>
      <c r="F73" s="205" t="s">
        <v>5</v>
      </c>
      <c r="G73" s="205" t="str">
        <f t="shared" si="10"/>
        <v/>
      </c>
      <c r="H73" s="6" t="s">
        <v>5</v>
      </c>
      <c r="I73" s="227" t="str">
        <f t="shared" si="8"/>
        <v/>
      </c>
      <c r="M73" s="7"/>
    </row>
    <row r="74" spans="1:13" x14ac:dyDescent="0.25">
      <c r="A74" s="1" t="s">
        <v>796</v>
      </c>
      <c r="B74" s="227">
        <f>ROUND(N('Prior Year'!BJ85), 0)</f>
        <v>316439</v>
      </c>
      <c r="C74" s="227">
        <f>data!BJ85</f>
        <v>244443.05</v>
      </c>
      <c r="D74" s="227" t="s">
        <v>753</v>
      </c>
      <c r="E74" s="4" t="s">
        <v>753</v>
      </c>
      <c r="F74" s="205" t="s">
        <v>5</v>
      </c>
      <c r="G74" s="205" t="str">
        <f t="shared" si="10"/>
        <v/>
      </c>
      <c r="H74" s="6" t="s">
        <v>5</v>
      </c>
      <c r="I74" s="227" t="str">
        <f t="shared" si="8"/>
        <v/>
      </c>
      <c r="M74" s="7"/>
    </row>
    <row r="75" spans="1:13" x14ac:dyDescent="0.25">
      <c r="A75" s="1" t="s">
        <v>797</v>
      </c>
      <c r="B75" s="227">
        <f>ROUND(N('Prior Year'!BK85), 0)</f>
        <v>12984006</v>
      </c>
      <c r="C75" s="227">
        <f>data!BK85</f>
        <v>15691954.76</v>
      </c>
      <c r="D75" s="227" t="s">
        <v>753</v>
      </c>
      <c r="E75" s="4" t="s">
        <v>753</v>
      </c>
      <c r="F75" s="205" t="s">
        <v>5</v>
      </c>
      <c r="G75" s="205" t="str">
        <f t="shared" si="10"/>
        <v/>
      </c>
      <c r="H75" s="6" t="s">
        <v>5</v>
      </c>
      <c r="I75" s="227" t="str">
        <f t="shared" si="8"/>
        <v/>
      </c>
      <c r="M75" s="7"/>
    </row>
    <row r="76" spans="1:13" x14ac:dyDescent="0.25">
      <c r="A76" s="1" t="s">
        <v>798</v>
      </c>
      <c r="B76" s="227">
        <f>ROUND(N('Prior Year'!BL85), 0)</f>
        <v>5192805</v>
      </c>
      <c r="C76" s="227">
        <f>data!BL85</f>
        <v>5683272.3600000003</v>
      </c>
      <c r="D76" s="227" t="s">
        <v>753</v>
      </c>
      <c r="E76" s="4" t="s">
        <v>753</v>
      </c>
      <c r="F76" s="205" t="s">
        <v>5</v>
      </c>
      <c r="G76" s="205" t="str">
        <f t="shared" si="10"/>
        <v/>
      </c>
      <c r="H76" s="6" t="s">
        <v>5</v>
      </c>
      <c r="I76" s="227" t="str">
        <f t="shared" si="8"/>
        <v/>
      </c>
      <c r="M76" s="7"/>
    </row>
    <row r="77" spans="1:13" x14ac:dyDescent="0.25">
      <c r="A77" s="1" t="s">
        <v>799</v>
      </c>
      <c r="B77" s="227">
        <f>ROUND(N('Prior Year'!BM85), 0)</f>
        <v>0</v>
      </c>
      <c r="C77" s="227">
        <f>data!BM85</f>
        <v>145651.91</v>
      </c>
      <c r="D77" s="227" t="s">
        <v>753</v>
      </c>
      <c r="E77" s="4" t="s">
        <v>753</v>
      </c>
      <c r="F77" s="205" t="s">
        <v>5</v>
      </c>
      <c r="G77" s="205" t="str">
        <f t="shared" si="10"/>
        <v/>
      </c>
      <c r="H77" s="6" t="s">
        <v>5</v>
      </c>
      <c r="I77" s="227" t="str">
        <f t="shared" si="8"/>
        <v/>
      </c>
      <c r="M77" s="7"/>
    </row>
    <row r="78" spans="1:13" x14ac:dyDescent="0.25">
      <c r="A78" s="1" t="s">
        <v>800</v>
      </c>
      <c r="B78" s="227">
        <f>ROUND(N('Prior Year'!BN85), 0)</f>
        <v>4520022</v>
      </c>
      <c r="C78" s="227">
        <f>data!BN85</f>
        <v>14443718.870000001</v>
      </c>
      <c r="D78" s="227" t="s">
        <v>753</v>
      </c>
      <c r="E78" s="4" t="s">
        <v>753</v>
      </c>
      <c r="F78" s="205" t="s">
        <v>5</v>
      </c>
      <c r="G78" s="205" t="str">
        <f t="shared" si="10"/>
        <v/>
      </c>
      <c r="H78" s="6" t="s">
        <v>5</v>
      </c>
      <c r="I78" s="227" t="str">
        <f t="shared" si="8"/>
        <v/>
      </c>
      <c r="M78" s="7"/>
    </row>
    <row r="79" spans="1:13" x14ac:dyDescent="0.25">
      <c r="A79" s="1" t="s">
        <v>801</v>
      </c>
      <c r="B79" s="227">
        <f>ROUND(N('Prior Year'!BO85), 0)</f>
        <v>327305</v>
      </c>
      <c r="C79" s="227">
        <f>data!BO85</f>
        <v>403542.61</v>
      </c>
      <c r="D79" s="227" t="s">
        <v>753</v>
      </c>
      <c r="E79" s="4" t="s">
        <v>753</v>
      </c>
      <c r="F79" s="205" t="s">
        <v>5</v>
      </c>
      <c r="G79" s="205" t="str">
        <f t="shared" si="10"/>
        <v/>
      </c>
      <c r="H79" s="6" t="s">
        <v>5</v>
      </c>
      <c r="I79" s="227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802</v>
      </c>
      <c r="B80" s="227">
        <f>ROUND(N('Prior Year'!BP85), 0)</f>
        <v>1936749</v>
      </c>
      <c r="C80" s="227">
        <f>data!BP85</f>
        <v>1699411.78</v>
      </c>
      <c r="D80" s="227" t="s">
        <v>753</v>
      </c>
      <c r="E80" s="4" t="s">
        <v>753</v>
      </c>
      <c r="F80" s="205" t="s">
        <v>5</v>
      </c>
      <c r="G80" s="205" t="str">
        <f t="shared" si="10"/>
        <v/>
      </c>
      <c r="H80" s="6" t="s">
        <v>5</v>
      </c>
      <c r="I80" s="227" t="str">
        <f t="shared" si="11"/>
        <v/>
      </c>
      <c r="M80" s="7"/>
    </row>
    <row r="81" spans="1:13" x14ac:dyDescent="0.25">
      <c r="A81" s="1" t="s">
        <v>803</v>
      </c>
      <c r="B81" s="227">
        <f>ROUND(N('Prior Year'!BQ85), 0)</f>
        <v>0</v>
      </c>
      <c r="C81" s="227">
        <f>data!BQ85</f>
        <v>0</v>
      </c>
      <c r="D81" s="227" t="s">
        <v>753</v>
      </c>
      <c r="E81" s="4" t="s">
        <v>753</v>
      </c>
      <c r="F81" s="205" t="s">
        <v>5</v>
      </c>
      <c r="G81" s="205" t="str">
        <f t="shared" si="10"/>
        <v/>
      </c>
      <c r="H81" s="6" t="s">
        <v>5</v>
      </c>
      <c r="I81" s="227" t="str">
        <f t="shared" si="11"/>
        <v/>
      </c>
      <c r="M81" s="7"/>
    </row>
    <row r="82" spans="1:13" x14ac:dyDescent="0.25">
      <c r="A82" s="1" t="s">
        <v>804</v>
      </c>
      <c r="B82" s="227">
        <f>ROUND(N('Prior Year'!BR85), 0)</f>
        <v>3876592</v>
      </c>
      <c r="C82" s="227">
        <f>data!BR85</f>
        <v>1322385.46</v>
      </c>
      <c r="D82" s="227" t="s">
        <v>753</v>
      </c>
      <c r="E82" s="4" t="s">
        <v>753</v>
      </c>
      <c r="F82" s="205" t="s">
        <v>5</v>
      </c>
      <c r="G82" s="205" t="str">
        <f t="shared" si="10"/>
        <v/>
      </c>
      <c r="H82" s="6" t="s">
        <v>5</v>
      </c>
      <c r="I82" s="227" t="str">
        <f t="shared" si="11"/>
        <v/>
      </c>
      <c r="M82" s="7"/>
    </row>
    <row r="83" spans="1:13" x14ac:dyDescent="0.25">
      <c r="A83" s="1" t="s">
        <v>805</v>
      </c>
      <c r="B83" s="227">
        <f>ROUND(N('Prior Year'!BS85), 0)</f>
        <v>56314</v>
      </c>
      <c r="C83" s="227">
        <f>data!BS85</f>
        <v>30004.39</v>
      </c>
      <c r="D83" s="227" t="s">
        <v>753</v>
      </c>
      <c r="E83" s="4" t="s">
        <v>753</v>
      </c>
      <c r="F83" s="205" t="s">
        <v>5</v>
      </c>
      <c r="G83" s="205" t="str">
        <f t="shared" si="10"/>
        <v/>
      </c>
      <c r="H83" s="6" t="s">
        <v>5</v>
      </c>
      <c r="I83" s="227" t="str">
        <f t="shared" si="11"/>
        <v/>
      </c>
      <c r="M83" s="7"/>
    </row>
    <row r="84" spans="1:13" x14ac:dyDescent="0.25">
      <c r="A84" s="1" t="s">
        <v>806</v>
      </c>
      <c r="B84" s="227">
        <f>ROUND(N('Prior Year'!BT85), 0)</f>
        <v>115097</v>
      </c>
      <c r="C84" s="227">
        <f>data!BT85</f>
        <v>137681.26999999999</v>
      </c>
      <c r="D84" s="227" t="s">
        <v>753</v>
      </c>
      <c r="E84" s="4" t="s">
        <v>753</v>
      </c>
      <c r="F84" s="205" t="s">
        <v>5</v>
      </c>
      <c r="G84" s="205" t="str">
        <f t="shared" si="10"/>
        <v/>
      </c>
      <c r="H84" s="6" t="s">
        <v>5</v>
      </c>
      <c r="I84" s="227" t="str">
        <f t="shared" si="11"/>
        <v/>
      </c>
      <c r="M84" s="7"/>
    </row>
    <row r="85" spans="1:13" x14ac:dyDescent="0.25">
      <c r="A85" s="1" t="s">
        <v>807</v>
      </c>
      <c r="B85" s="227">
        <f>ROUND(N('Prior Year'!BU85), 0)</f>
        <v>27230</v>
      </c>
      <c r="C85" s="227">
        <f>data!BU85</f>
        <v>49361.580000000009</v>
      </c>
      <c r="D85" s="227" t="s">
        <v>753</v>
      </c>
      <c r="E85" s="4" t="s">
        <v>753</v>
      </c>
      <c r="F85" s="205" t="s">
        <v>5</v>
      </c>
      <c r="G85" s="205" t="str">
        <f t="shared" si="10"/>
        <v/>
      </c>
      <c r="H85" s="6" t="s">
        <v>5</v>
      </c>
      <c r="I85" s="227" t="str">
        <f t="shared" si="11"/>
        <v/>
      </c>
      <c r="M85" s="7"/>
    </row>
    <row r="86" spans="1:13" x14ac:dyDescent="0.25">
      <c r="A86" s="1" t="s">
        <v>808</v>
      </c>
      <c r="B86" s="227">
        <f>ROUND(N('Prior Year'!BV85), 0)</f>
        <v>59764</v>
      </c>
      <c r="C86" s="227">
        <f>data!BV85</f>
        <v>80549.73000000001</v>
      </c>
      <c r="D86" s="227" t="s">
        <v>753</v>
      </c>
      <c r="E86" s="4" t="s">
        <v>753</v>
      </c>
      <c r="F86" s="205" t="s">
        <v>5</v>
      </c>
      <c r="G86" s="205" t="str">
        <f t="shared" si="10"/>
        <v/>
      </c>
      <c r="H86" s="6" t="s">
        <v>5</v>
      </c>
      <c r="I86" s="227" t="str">
        <f t="shared" si="11"/>
        <v/>
      </c>
      <c r="M86" s="7"/>
    </row>
    <row r="87" spans="1:13" x14ac:dyDescent="0.25">
      <c r="A87" s="1" t="s">
        <v>809</v>
      </c>
      <c r="B87" s="227">
        <f>ROUND(N('Prior Year'!BW85), 0)</f>
        <v>573975</v>
      </c>
      <c r="C87" s="227">
        <f>data!BW85</f>
        <v>883638.72</v>
      </c>
      <c r="D87" s="227" t="s">
        <v>753</v>
      </c>
      <c r="E87" s="4" t="s">
        <v>753</v>
      </c>
      <c r="F87" s="205" t="s">
        <v>5</v>
      </c>
      <c r="G87" s="205" t="str">
        <f t="shared" si="10"/>
        <v/>
      </c>
      <c r="H87" s="6" t="s">
        <v>5</v>
      </c>
      <c r="I87" s="227" t="str">
        <f t="shared" si="11"/>
        <v/>
      </c>
      <c r="M87" s="7"/>
    </row>
    <row r="88" spans="1:13" x14ac:dyDescent="0.25">
      <c r="A88" s="1" t="s">
        <v>810</v>
      </c>
      <c r="B88" s="227">
        <f>ROUND(N('Prior Year'!BX85), 0)</f>
        <v>2242236</v>
      </c>
      <c r="C88" s="227">
        <f>data!BX85</f>
        <v>2857647.96</v>
      </c>
      <c r="D88" s="227" t="s">
        <v>753</v>
      </c>
      <c r="E88" s="4" t="s">
        <v>753</v>
      </c>
      <c r="F88" s="205" t="s">
        <v>5</v>
      </c>
      <c r="G88" s="205" t="str">
        <f t="shared" si="10"/>
        <v/>
      </c>
      <c r="H88" s="6" t="s">
        <v>5</v>
      </c>
      <c r="I88" s="227" t="str">
        <f t="shared" si="11"/>
        <v/>
      </c>
      <c r="M88" s="7"/>
    </row>
    <row r="89" spans="1:13" x14ac:dyDescent="0.25">
      <c r="A89" s="1" t="s">
        <v>811</v>
      </c>
      <c r="B89" s="227">
        <f>ROUND(N('Prior Year'!BY85), 0)</f>
        <v>3636496</v>
      </c>
      <c r="C89" s="227">
        <f>data!BY85</f>
        <v>3956963.7800000003</v>
      </c>
      <c r="D89" s="227" t="s">
        <v>753</v>
      </c>
      <c r="E89" s="4" t="s">
        <v>753</v>
      </c>
      <c r="F89" s="205" t="s">
        <v>5</v>
      </c>
      <c r="G89" s="205" t="str">
        <f t="shared" si="10"/>
        <v/>
      </c>
      <c r="H89" s="6" t="s">
        <v>5</v>
      </c>
      <c r="I89" s="227" t="str">
        <f t="shared" si="11"/>
        <v/>
      </c>
      <c r="M89" s="7"/>
    </row>
    <row r="90" spans="1:13" x14ac:dyDescent="0.25">
      <c r="A90" s="1" t="s">
        <v>812</v>
      </c>
      <c r="B90" s="227">
        <f>ROUND(N('Prior Year'!BZ85), 0)</f>
        <v>207709</v>
      </c>
      <c r="C90" s="227">
        <f>data!BZ85</f>
        <v>208174.50999999998</v>
      </c>
      <c r="D90" s="227" t="s">
        <v>753</v>
      </c>
      <c r="E90" s="4" t="s">
        <v>753</v>
      </c>
      <c r="F90" s="205" t="s">
        <v>5</v>
      </c>
      <c r="G90" s="205" t="str">
        <f t="shared" si="10"/>
        <v/>
      </c>
      <c r="H90" s="6" t="s">
        <v>5</v>
      </c>
      <c r="I90" s="227" t="str">
        <f t="shared" si="11"/>
        <v/>
      </c>
      <c r="M90" s="7"/>
    </row>
    <row r="91" spans="1:13" x14ac:dyDescent="0.25">
      <c r="A91" s="1" t="s">
        <v>813</v>
      </c>
      <c r="B91" s="227">
        <f>ROUND(N('Prior Year'!CA85), 0)</f>
        <v>1125072</v>
      </c>
      <c r="C91" s="227">
        <f>data!CA85</f>
        <v>1053367.18</v>
      </c>
      <c r="D91" s="227" t="s">
        <v>753</v>
      </c>
      <c r="E91" s="4" t="s">
        <v>753</v>
      </c>
      <c r="F91" s="205" t="s">
        <v>5</v>
      </c>
      <c r="G91" s="205" t="str">
        <f t="shared" si="10"/>
        <v/>
      </c>
      <c r="H91" s="6" t="s">
        <v>5</v>
      </c>
      <c r="I91" s="227" t="str">
        <f t="shared" si="11"/>
        <v/>
      </c>
      <c r="M91" s="7"/>
    </row>
    <row r="92" spans="1:13" x14ac:dyDescent="0.25">
      <c r="A92" s="1" t="s">
        <v>814</v>
      </c>
      <c r="B92" s="227">
        <f>ROUND(N('Prior Year'!CB85), 0)</f>
        <v>116997</v>
      </c>
      <c r="C92" s="227">
        <f>data!CB85</f>
        <v>318985</v>
      </c>
      <c r="D92" s="227" t="s">
        <v>753</v>
      </c>
      <c r="E92" s="4" t="s">
        <v>753</v>
      </c>
      <c r="F92" s="205" t="s">
        <v>5</v>
      </c>
      <c r="G92" s="205" t="str">
        <f t="shared" si="10"/>
        <v/>
      </c>
      <c r="H92" s="6" t="s">
        <v>5</v>
      </c>
      <c r="I92" s="227" t="str">
        <f t="shared" si="11"/>
        <v/>
      </c>
      <c r="M92" s="7"/>
    </row>
    <row r="93" spans="1:13" x14ac:dyDescent="0.25">
      <c r="A93" s="1" t="s">
        <v>815</v>
      </c>
      <c r="B93" s="227">
        <f>ROUND(N('Prior Year'!CC85), 0)</f>
        <v>19771332</v>
      </c>
      <c r="C93" s="227">
        <f>data!CC85</f>
        <v>12997519.529999999</v>
      </c>
      <c r="D93" s="227" t="s">
        <v>753</v>
      </c>
      <c r="E93" s="4" t="s">
        <v>753</v>
      </c>
      <c r="F93" s="205" t="s">
        <v>5</v>
      </c>
      <c r="G93" s="205" t="str">
        <f t="shared" si="10"/>
        <v/>
      </c>
      <c r="H93" s="6" t="s">
        <v>5</v>
      </c>
      <c r="I93" s="227" t="str">
        <f t="shared" si="11"/>
        <v/>
      </c>
      <c r="M93" s="7"/>
    </row>
    <row r="94" spans="1:13" x14ac:dyDescent="0.25">
      <c r="A94" s="1" t="s">
        <v>816</v>
      </c>
      <c r="B94" s="227">
        <f>ROUND(N('Prior Year'!CD85), 0)</f>
        <v>6826290</v>
      </c>
      <c r="C94" s="227">
        <f>data!CD85</f>
        <v>8119812.7400000012</v>
      </c>
      <c r="D94" s="227" t="s">
        <v>753</v>
      </c>
      <c r="E94" s="4" t="s">
        <v>753</v>
      </c>
      <c r="F94" s="205" t="s">
        <v>5</v>
      </c>
      <c r="G94" s="205" t="str">
        <f t="shared" si="10"/>
        <v/>
      </c>
      <c r="H94" s="6" t="s">
        <v>5</v>
      </c>
      <c r="I94" s="227" t="str">
        <f t="shared" si="11"/>
        <v/>
      </c>
      <c r="M94" s="7"/>
    </row>
  </sheetData>
  <sheetProtection algorithmName="SHA-512" hashValue="21FUe9KN+3x3K1EwzQuMMsvOydv2SWZmFVkLXWTYFLGrlfvASr+ExI81I1XntnkhGfAJNELZK9rfBRva2BehmA==" saltValue="TMWZ6Fw91fi1JWD1fB3yO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2"/>
  <sheetViews>
    <sheetView topLeftCell="A6" workbookViewId="0">
      <selection activeCell="D32" sqref="D32"/>
    </sheetView>
  </sheetViews>
  <sheetFormatPr defaultRowHeight="15" x14ac:dyDescent="0.2"/>
  <cols>
    <col min="5" max="5" width="9.6640625" customWidth="1"/>
  </cols>
  <sheetData>
    <row r="1" spans="1:4" ht="15.75" x14ac:dyDescent="0.25">
      <c r="A1" s="277" t="s">
        <v>817</v>
      </c>
      <c r="B1" s="276"/>
      <c r="C1" s="276"/>
      <c r="D1" s="276"/>
    </row>
    <row r="2" spans="1:4" ht="15.75" x14ac:dyDescent="0.25">
      <c r="A2" s="276"/>
      <c r="B2" s="276"/>
      <c r="C2" s="276"/>
      <c r="D2" s="276"/>
    </row>
    <row r="3" spans="1:4" ht="15.75" x14ac:dyDescent="0.25">
      <c r="A3" s="279" t="s">
        <v>818</v>
      </c>
      <c r="B3" s="276"/>
      <c r="C3" s="276"/>
      <c r="D3" s="276"/>
    </row>
    <row r="4" spans="1:4" ht="15.75" x14ac:dyDescent="0.25">
      <c r="A4" s="276" t="s">
        <v>819</v>
      </c>
      <c r="B4" s="276"/>
      <c r="C4" s="276"/>
      <c r="D4" s="276"/>
    </row>
    <row r="5" spans="1:4" ht="15.75" x14ac:dyDescent="0.25">
      <c r="A5" s="276" t="s">
        <v>820</v>
      </c>
      <c r="B5" s="276"/>
      <c r="C5" s="276"/>
      <c r="D5" s="276"/>
    </row>
    <row r="6" spans="1:4" ht="15.75" x14ac:dyDescent="0.25">
      <c r="A6" s="276"/>
      <c r="B6" s="276"/>
      <c r="C6" s="276"/>
      <c r="D6" s="276"/>
    </row>
    <row r="7" spans="1:4" ht="15.75" x14ac:dyDescent="0.25">
      <c r="A7" s="276" t="s">
        <v>821</v>
      </c>
      <c r="B7" s="276"/>
      <c r="C7" s="276"/>
      <c r="D7" s="276"/>
    </row>
    <row r="8" spans="1:4" ht="15.75" x14ac:dyDescent="0.25">
      <c r="A8" s="276" t="s">
        <v>822</v>
      </c>
      <c r="B8" s="276"/>
      <c r="C8" s="276"/>
      <c r="D8" s="276"/>
    </row>
    <row r="9" spans="1:4" ht="15.75" x14ac:dyDescent="0.25">
      <c r="A9" s="276"/>
      <c r="B9" s="276"/>
      <c r="C9" s="276"/>
      <c r="D9" s="276"/>
    </row>
    <row r="10" spans="1:4" ht="15.75" x14ac:dyDescent="0.25">
      <c r="A10" s="276"/>
      <c r="B10" s="276"/>
      <c r="C10" s="276"/>
      <c r="D10" s="276"/>
    </row>
    <row r="11" spans="1:4" ht="15.75" x14ac:dyDescent="0.25">
      <c r="A11" s="278" t="s">
        <v>823</v>
      </c>
      <c r="B11" s="276"/>
      <c r="C11" s="276"/>
      <c r="D11" s="276">
        <f>N(data!C380)</f>
        <v>2753216.0000000005</v>
      </c>
    </row>
    <row r="12" spans="1:4" ht="15.75" x14ac:dyDescent="0.25">
      <c r="A12" s="278" t="s">
        <v>824</v>
      </c>
      <c r="B12" s="276"/>
      <c r="C12" s="276"/>
      <c r="D12" s="276" t="str">
        <f>IF(OR(N(data!C380) &gt; 1000000, N(data!C380) / (N(data!D360) + N(data!D383)) &gt; 0.01), "Yes", "No")</f>
        <v>Yes</v>
      </c>
    </row>
    <row r="13" spans="1:4" ht="15.75" x14ac:dyDescent="0.25">
      <c r="A13" s="276"/>
      <c r="B13" s="276"/>
      <c r="C13" s="276"/>
      <c r="D13" s="276"/>
    </row>
    <row r="14" spans="1:4" ht="15.75" x14ac:dyDescent="0.25">
      <c r="A14" s="278" t="s">
        <v>825</v>
      </c>
      <c r="B14" s="276"/>
      <c r="C14" s="276"/>
      <c r="D14" s="278" t="s">
        <v>826</v>
      </c>
    </row>
    <row r="15" spans="1:4" ht="15.75" x14ac:dyDescent="0.25">
      <c r="A15" s="1" t="s">
        <v>1373</v>
      </c>
      <c r="B15" s="1"/>
      <c r="C15" s="1"/>
      <c r="D15" s="1">
        <f>+'[1]1XX9XXIS'!V114</f>
        <v>2216527.8199999998</v>
      </c>
    </row>
    <row r="16" spans="1:4" ht="15.75" x14ac:dyDescent="0.25">
      <c r="A16" s="276" t="s">
        <v>1374</v>
      </c>
      <c r="B16" s="276"/>
      <c r="C16" s="276"/>
      <c r="D16" s="276">
        <v>376556.47</v>
      </c>
    </row>
    <row r="17" spans="1:4" ht="15.75" x14ac:dyDescent="0.25">
      <c r="A17" s="276" t="s">
        <v>1367</v>
      </c>
      <c r="B17" s="276"/>
      <c r="C17" s="276"/>
      <c r="D17" s="316">
        <v>160132</v>
      </c>
    </row>
    <row r="18" spans="1:4" ht="15.75" x14ac:dyDescent="0.25">
      <c r="A18" s="276"/>
      <c r="B18" s="276"/>
      <c r="C18" s="276"/>
      <c r="D18" s="276">
        <f>SUM(D15:D17)</f>
        <v>2753216.29</v>
      </c>
    </row>
    <row r="19" spans="1:4" ht="15.75" x14ac:dyDescent="0.25">
      <c r="A19" s="276"/>
      <c r="B19" s="276"/>
      <c r="C19" s="276"/>
      <c r="D19" s="276"/>
    </row>
    <row r="20" spans="1:4" ht="15.75" x14ac:dyDescent="0.25">
      <c r="A20" s="276"/>
      <c r="B20" s="276"/>
      <c r="C20" s="276"/>
      <c r="D20" s="276"/>
    </row>
    <row r="21" spans="1:4" ht="15.75" x14ac:dyDescent="0.25">
      <c r="A21" s="278" t="s">
        <v>827</v>
      </c>
      <c r="B21" s="276"/>
      <c r="C21" s="276"/>
      <c r="D21" s="276">
        <f>N(data!C414)</f>
        <v>2942081.6900000572</v>
      </c>
    </row>
    <row r="22" spans="1:4" ht="15.75" x14ac:dyDescent="0.25">
      <c r="A22" s="278" t="s">
        <v>824</v>
      </c>
      <c r="B22" s="276"/>
      <c r="C22" s="276"/>
      <c r="D22" s="276" t="str">
        <f>IF(OR(N(data!C414)&gt;1000000,N(data!C414)/(N(data!D416))&gt;0.01),"Yes","No")</f>
        <v>Yes</v>
      </c>
    </row>
    <row r="23" spans="1:4" ht="15.75" x14ac:dyDescent="0.25">
      <c r="A23" s="276"/>
      <c r="B23" s="276"/>
      <c r="C23" s="276"/>
      <c r="D23" s="276"/>
    </row>
    <row r="24" spans="1:4" ht="15.75" x14ac:dyDescent="0.25">
      <c r="A24" s="278" t="s">
        <v>825</v>
      </c>
      <c r="B24" s="276"/>
      <c r="C24" s="276"/>
      <c r="D24" s="278" t="s">
        <v>826</v>
      </c>
    </row>
    <row r="25" spans="1:4" ht="15.75" x14ac:dyDescent="0.25">
      <c r="A25" s="276" t="s">
        <v>1368</v>
      </c>
      <c r="B25" s="276"/>
      <c r="C25" s="276"/>
      <c r="D25" s="276">
        <v>2139086.98</v>
      </c>
    </row>
    <row r="26" spans="1:4" ht="15.75" x14ac:dyDescent="0.25">
      <c r="A26" s="276" t="s">
        <v>1369</v>
      </c>
      <c r="B26" s="276"/>
      <c r="C26" s="276"/>
      <c r="D26" s="276"/>
    </row>
    <row r="27" spans="1:4" ht="15.75" x14ac:dyDescent="0.25">
      <c r="A27" s="276" t="s">
        <v>1370</v>
      </c>
      <c r="B27" s="276"/>
      <c r="C27" s="276"/>
      <c r="D27" s="276">
        <v>111609.83</v>
      </c>
    </row>
    <row r="28" spans="1:4" ht="15.75" x14ac:dyDescent="0.25">
      <c r="A28" s="276" t="s">
        <v>1371</v>
      </c>
      <c r="B28" s="276"/>
      <c r="C28" s="276"/>
      <c r="D28" s="276">
        <v>92511.78</v>
      </c>
    </row>
    <row r="29" spans="1:4" ht="15.75" x14ac:dyDescent="0.25">
      <c r="A29" s="276" t="s">
        <v>159</v>
      </c>
      <c r="B29" s="276"/>
      <c r="C29" s="276"/>
      <c r="D29" s="316">
        <v>598873.10000009928</v>
      </c>
    </row>
    <row r="30" spans="1:4" ht="15.75" x14ac:dyDescent="0.25">
      <c r="A30" s="276" t="s">
        <v>1372</v>
      </c>
      <c r="B30" s="276"/>
      <c r="C30" s="276"/>
      <c r="D30" s="276">
        <f>SUM(D25:D29)</f>
        <v>2942081.6900000991</v>
      </c>
    </row>
    <row r="31" spans="1:4" ht="15.75" x14ac:dyDescent="0.25">
      <c r="A31" s="276"/>
      <c r="B31" s="276"/>
      <c r="C31" s="276"/>
      <c r="D31" s="276"/>
    </row>
    <row r="32" spans="1:4" ht="15.75" x14ac:dyDescent="0.25">
      <c r="A32" s="276"/>
      <c r="B32" s="276"/>
      <c r="C32" s="276"/>
      <c r="D32" s="276"/>
    </row>
  </sheetData>
  <sheetProtection algorithmName="SHA-512" hashValue="O/KT6FtN0cM/TB0zaDbex1x0uvuLUoqxPIU9Sqzwej3yF6vL7XTlV7pMvVk4r1YQWvq3Q6A4CTbk5O3FrYvIZQ==" saltValue="JrAjJdL5qPMt1q4GKxyky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828</v>
      </c>
    </row>
    <row r="2" spans="1:7" ht="20.100000000000001" customHeight="1" x14ac:dyDescent="0.25">
      <c r="A2" s="62" t="s">
        <v>829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6/30/2024</v>
      </c>
      <c r="C4" s="64"/>
      <c r="D4" s="65"/>
      <c r="E4" s="66"/>
      <c r="F4" s="64" t="str">
        <f>"License Number:  "&amp;"H-"&amp;FIXED(data!C97,0)</f>
        <v>License Number:  H-201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St. Francis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"&amp;data!C102</f>
        <v xml:space="preserve">  98003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830</v>
      </c>
      <c r="C7" s="67"/>
      <c r="D7" s="64" t="str">
        <f>"  "&amp;data!C103</f>
        <v xml:space="preserve">  King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831</v>
      </c>
      <c r="C8" s="67"/>
      <c r="D8" s="64" t="str">
        <f>"  "&amp;data!C104</f>
        <v xml:space="preserve">  Ketul Patel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832</v>
      </c>
      <c r="C9" s="67"/>
      <c r="D9" s="64" t="str">
        <f>"  "&amp;data!C105</f>
        <v xml:space="preserve">  David Nosacka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833</v>
      </c>
      <c r="C10" s="67"/>
      <c r="D10" s="64" t="str">
        <f>"  "&amp;data!C107</f>
        <v xml:space="preserve">  253-944-8100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834</v>
      </c>
      <c r="C11" s="67"/>
      <c r="D11" s="64" t="str">
        <f>"  "&amp;data!C108</f>
        <v xml:space="preserve">  253-428-8313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835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 xml:space="preserve"> X</v>
      </c>
      <c r="D16" s="80" t="s">
        <v>836</v>
      </c>
      <c r="E16" s="228" t="str">
        <f>IF(data!C120&gt;0," X","")</f>
        <v/>
      </c>
      <c r="F16" s="81" t="s">
        <v>332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412</v>
      </c>
      <c r="E17" s="228" t="str">
        <f>IF(data!C121&gt;0," X","")</f>
        <v/>
      </c>
      <c r="F17" s="81" t="s">
        <v>333</v>
      </c>
      <c r="G17" s="67"/>
    </row>
    <row r="18" spans="1:7" ht="20.100000000000001" customHeight="1" x14ac:dyDescent="0.25">
      <c r="A18" s="63"/>
      <c r="B18" s="67" t="s">
        <v>837</v>
      </c>
      <c r="C18" s="67"/>
      <c r="D18" s="67"/>
      <c r="E18" s="228" t="str">
        <f>IF(data!C122&gt;0," X","")</f>
        <v/>
      </c>
      <c r="F18" s="81" t="s">
        <v>334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838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839</v>
      </c>
      <c r="C22" s="64"/>
      <c r="D22" s="64"/>
      <c r="E22" s="64"/>
      <c r="F22" s="78" t="s">
        <v>337</v>
      </c>
      <c r="G22" s="79" t="s">
        <v>242</v>
      </c>
    </row>
    <row r="23" spans="1:7" ht="20.100000000000001" customHeight="1" x14ac:dyDescent="0.25">
      <c r="A23" s="63"/>
      <c r="B23" s="64" t="s">
        <v>840</v>
      </c>
      <c r="C23" s="64"/>
      <c r="D23" s="64"/>
      <c r="E23" s="64"/>
      <c r="F23" s="63">
        <f>data!C127</f>
        <v>9740</v>
      </c>
      <c r="G23" s="67">
        <f>data!D127</f>
        <v>40197</v>
      </c>
    </row>
    <row r="24" spans="1:7" ht="20.100000000000001" customHeight="1" x14ac:dyDescent="0.25">
      <c r="A24" s="63"/>
      <c r="B24" s="64" t="s">
        <v>841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842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341</v>
      </c>
      <c r="C26" s="64"/>
      <c r="D26" s="64"/>
      <c r="E26" s="64"/>
      <c r="F26" s="63">
        <f>data!C130</f>
        <v>1357</v>
      </c>
      <c r="G26" s="67">
        <f>data!D130</f>
        <v>1936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843</v>
      </c>
      <c r="C29" s="67"/>
      <c r="D29" s="79" t="s">
        <v>194</v>
      </c>
      <c r="E29" s="83" t="s">
        <v>843</v>
      </c>
      <c r="F29" s="67"/>
      <c r="G29" s="79" t="s">
        <v>194</v>
      </c>
    </row>
    <row r="30" spans="1:7" ht="20.100000000000001" customHeight="1" x14ac:dyDescent="0.25">
      <c r="A30" s="63"/>
      <c r="B30" s="64" t="s">
        <v>343</v>
      </c>
      <c r="C30" s="67"/>
      <c r="D30" s="67">
        <f>data!C132</f>
        <v>14</v>
      </c>
      <c r="E30" s="64" t="s">
        <v>349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844</v>
      </c>
      <c r="C31" s="67"/>
      <c r="D31" s="67">
        <f>data!C133</f>
        <v>16</v>
      </c>
      <c r="E31" s="64" t="s">
        <v>350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845</v>
      </c>
      <c r="C32" s="67"/>
      <c r="D32" s="67">
        <f>data!C134</f>
        <v>72</v>
      </c>
      <c r="E32" s="64" t="s">
        <v>846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847</v>
      </c>
      <c r="C33" s="67"/>
      <c r="D33" s="67">
        <f>data!C135</f>
        <v>0</v>
      </c>
      <c r="E33" s="64" t="s">
        <v>848</v>
      </c>
      <c r="F33" s="67"/>
      <c r="G33" s="67">
        <f>data!C142</f>
        <v>6</v>
      </c>
    </row>
    <row r="34" spans="1:7" ht="20.100000000000001" customHeight="1" x14ac:dyDescent="0.25">
      <c r="A34" s="63"/>
      <c r="B34" s="83" t="s">
        <v>849</v>
      </c>
      <c r="C34" s="67"/>
      <c r="D34" s="67">
        <f>data!C136</f>
        <v>16</v>
      </c>
      <c r="E34" s="64" t="s">
        <v>352</v>
      </c>
      <c r="F34" s="67"/>
      <c r="G34" s="67">
        <f>data!E143</f>
        <v>124</v>
      </c>
    </row>
    <row r="35" spans="1:7" ht="20.100000000000001" customHeight="1" x14ac:dyDescent="0.25">
      <c r="A35" s="63"/>
      <c r="B35" s="83" t="s">
        <v>850</v>
      </c>
      <c r="C35" s="67"/>
      <c r="D35" s="67">
        <f>data!C137</f>
        <v>0</v>
      </c>
      <c r="E35" s="64" t="s">
        <v>851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data!C138</f>
        <v>0</v>
      </c>
      <c r="E36" s="64" t="s">
        <v>353</v>
      </c>
      <c r="F36" s="67"/>
      <c r="G36" s="67">
        <f>data!C144</f>
        <v>124</v>
      </c>
    </row>
    <row r="37" spans="1:7" ht="20.100000000000001" customHeight="1" x14ac:dyDescent="0.25">
      <c r="A37" s="63"/>
      <c r="E37" s="64" t="s">
        <v>354</v>
      </c>
      <c r="F37" s="67"/>
      <c r="G37" s="67">
        <f>data!C145</f>
        <v>18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852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853</v>
      </c>
      <c r="G1" s="61" t="s">
        <v>854</v>
      </c>
    </row>
    <row r="2" spans="1:7" ht="20.100000000000001" customHeight="1" x14ac:dyDescent="0.25">
      <c r="A2" s="1" t="str">
        <f>"Hospital: "&amp;data!C98</f>
        <v>Hospital: St. Francis Hospital</v>
      </c>
      <c r="G2" s="4" t="s">
        <v>855</v>
      </c>
    </row>
    <row r="3" spans="1:7" ht="20.100000000000001" customHeight="1" x14ac:dyDescent="0.25">
      <c r="G3" s="4" t="str">
        <f>"FYE: "&amp;data!C96</f>
        <v>FYE: 6/30/2024</v>
      </c>
    </row>
    <row r="4" spans="1:7" ht="20.100000000000001" customHeight="1" x14ac:dyDescent="0.25">
      <c r="A4" s="121" t="s">
        <v>856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857</v>
      </c>
      <c r="C5" s="74"/>
      <c r="D5" s="74"/>
      <c r="E5" s="125" t="s">
        <v>364</v>
      </c>
      <c r="F5" s="74"/>
      <c r="G5" s="74"/>
    </row>
    <row r="6" spans="1:7" ht="20.100000000000001" customHeight="1" x14ac:dyDescent="0.25">
      <c r="A6" s="126" t="s">
        <v>858</v>
      </c>
      <c r="B6" s="79" t="s">
        <v>337</v>
      </c>
      <c r="C6" s="79" t="s">
        <v>859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358</v>
      </c>
      <c r="B7" s="127">
        <f>data!B154</f>
        <v>4476</v>
      </c>
      <c r="C7" s="127">
        <f>data!B155</f>
        <v>23377</v>
      </c>
      <c r="D7" s="127">
        <f>data!B156</f>
        <v>0</v>
      </c>
      <c r="E7" s="127">
        <f>data!B157</f>
        <v>410054631.93000001</v>
      </c>
      <c r="F7" s="127">
        <f>data!B158</f>
        <v>405660724.32000005</v>
      </c>
      <c r="G7" s="127">
        <f>data!B157+data!B158</f>
        <v>815715356.25</v>
      </c>
    </row>
    <row r="8" spans="1:7" ht="20.100000000000001" customHeight="1" x14ac:dyDescent="0.25">
      <c r="A8" s="63" t="s">
        <v>359</v>
      </c>
      <c r="B8" s="127">
        <f>data!C154</f>
        <v>2714</v>
      </c>
      <c r="C8" s="127">
        <f>data!C155</f>
        <v>8883</v>
      </c>
      <c r="D8" s="127">
        <f>data!C156</f>
        <v>0</v>
      </c>
      <c r="E8" s="127">
        <f>data!C157</f>
        <v>183264445.65000001</v>
      </c>
      <c r="F8" s="127">
        <f>data!C158</f>
        <v>229375795.41</v>
      </c>
      <c r="G8" s="127">
        <f>data!C157+data!C158</f>
        <v>412640241.06</v>
      </c>
    </row>
    <row r="9" spans="1:7" ht="20.100000000000001" customHeight="1" x14ac:dyDescent="0.25">
      <c r="A9" s="63" t="s">
        <v>860</v>
      </c>
      <c r="B9" s="127">
        <f>data!D154</f>
        <v>2550</v>
      </c>
      <c r="C9" s="127">
        <f>data!D155</f>
        <v>7937</v>
      </c>
      <c r="D9" s="127">
        <f>data!D156</f>
        <v>0</v>
      </c>
      <c r="E9" s="127">
        <f>data!D157</f>
        <v>214490817.88000005</v>
      </c>
      <c r="F9" s="127">
        <f>data!D158</f>
        <v>463706086.73000002</v>
      </c>
      <c r="G9" s="127">
        <f>data!D157+data!D158</f>
        <v>678196904.61000013</v>
      </c>
    </row>
    <row r="10" spans="1:7" ht="20.100000000000001" customHeight="1" x14ac:dyDescent="0.25">
      <c r="A10" s="78" t="s">
        <v>230</v>
      </c>
      <c r="B10" s="127">
        <f>data!E154</f>
        <v>9740</v>
      </c>
      <c r="C10" s="127">
        <f>data!E155</f>
        <v>40197</v>
      </c>
      <c r="D10" s="127">
        <f>data!E156</f>
        <v>0</v>
      </c>
      <c r="E10" s="127">
        <f>data!E157</f>
        <v>807809895.46000004</v>
      </c>
      <c r="F10" s="127">
        <f>data!E158</f>
        <v>1098742606.46</v>
      </c>
      <c r="G10" s="127">
        <f>E10+F10</f>
        <v>1906552501.9200001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861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857</v>
      </c>
      <c r="C14" s="133"/>
      <c r="D14" s="133"/>
      <c r="E14" s="133" t="s">
        <v>364</v>
      </c>
      <c r="F14" s="133"/>
      <c r="G14" s="133"/>
    </row>
    <row r="15" spans="1:7" ht="20.100000000000001" customHeight="1" x14ac:dyDescent="0.25">
      <c r="A15" s="126" t="s">
        <v>858</v>
      </c>
      <c r="B15" s="79" t="s">
        <v>337</v>
      </c>
      <c r="C15" s="79" t="s">
        <v>859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358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data!C163+data!C164</f>
        <v>0</v>
      </c>
    </row>
    <row r="17" spans="1:7" ht="20.100000000000001" customHeight="1" x14ac:dyDescent="0.25">
      <c r="A17" s="63" t="s">
        <v>359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860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230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862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857</v>
      </c>
      <c r="C23" s="74"/>
      <c r="D23" s="74"/>
      <c r="E23" s="74" t="s">
        <v>364</v>
      </c>
      <c r="F23" s="74"/>
      <c r="G23" s="74"/>
    </row>
    <row r="24" spans="1:7" ht="20.100000000000001" customHeight="1" x14ac:dyDescent="0.25">
      <c r="A24" s="126" t="s">
        <v>858</v>
      </c>
      <c r="B24" s="79" t="s">
        <v>337</v>
      </c>
      <c r="C24" s="79" t="s">
        <v>859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358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359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860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863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864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865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367</v>
      </c>
      <c r="B1" s="62"/>
      <c r="C1" s="61" t="s">
        <v>866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St. Francis Hospital</v>
      </c>
      <c r="B3" s="69"/>
      <c r="C3" s="142" t="str">
        <f>"FYE: "&amp;data!C96</f>
        <v>FYE: 6/30/2024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368</v>
      </c>
      <c r="C5" s="123"/>
    </row>
    <row r="6" spans="1:3" ht="20.100000000000001" customHeight="1" x14ac:dyDescent="0.25">
      <c r="A6" s="143">
        <v>2</v>
      </c>
      <c r="B6" s="64" t="s">
        <v>867</v>
      </c>
      <c r="C6" s="63">
        <f>data!C181</f>
        <v>9044096.2100000009</v>
      </c>
    </row>
    <row r="7" spans="1:3" ht="20.100000000000001" customHeight="1" x14ac:dyDescent="0.25">
      <c r="A7" s="144">
        <v>3</v>
      </c>
      <c r="B7" s="83" t="s">
        <v>370</v>
      </c>
      <c r="C7" s="63">
        <f>data!C182</f>
        <v>259221.27440982091</v>
      </c>
    </row>
    <row r="8" spans="1:3" ht="20.100000000000001" customHeight="1" x14ac:dyDescent="0.25">
      <c r="A8" s="144">
        <v>4</v>
      </c>
      <c r="B8" s="64" t="s">
        <v>371</v>
      </c>
      <c r="C8" s="63">
        <f>data!C183</f>
        <v>725310.64734099119</v>
      </c>
    </row>
    <row r="9" spans="1:3" ht="20.100000000000001" customHeight="1" x14ac:dyDescent="0.25">
      <c r="A9" s="144">
        <v>5</v>
      </c>
      <c r="B9" s="64" t="s">
        <v>372</v>
      </c>
      <c r="C9" s="63">
        <f>data!C184</f>
        <v>13532870.700259296</v>
      </c>
    </row>
    <row r="10" spans="1:3" ht="20.100000000000001" customHeight="1" x14ac:dyDescent="0.25">
      <c r="A10" s="144">
        <v>6</v>
      </c>
      <c r="B10" s="64" t="s">
        <v>373</v>
      </c>
      <c r="C10" s="63">
        <f>data!C185</f>
        <v>269771.83965163515</v>
      </c>
    </row>
    <row r="11" spans="1:3" ht="20.100000000000001" customHeight="1" x14ac:dyDescent="0.25">
      <c r="A11" s="144">
        <v>7</v>
      </c>
      <c r="B11" s="64" t="s">
        <v>374</v>
      </c>
      <c r="C11" s="63">
        <f>data!C186</f>
        <v>6278203.453171772</v>
      </c>
    </row>
    <row r="12" spans="1:3" ht="20.100000000000001" customHeight="1" x14ac:dyDescent="0.25">
      <c r="A12" s="144">
        <v>8</v>
      </c>
      <c r="B12" s="64" t="s">
        <v>375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375</v>
      </c>
      <c r="C13" s="63">
        <f>data!C188</f>
        <v>3787289.4651664868</v>
      </c>
    </row>
    <row r="14" spans="1:3" ht="20.100000000000001" customHeight="1" x14ac:dyDescent="0.25">
      <c r="A14" s="144">
        <v>10</v>
      </c>
      <c r="B14" s="64" t="s">
        <v>868</v>
      </c>
      <c r="C14" s="63">
        <f>data!D189</f>
        <v>33896763.590000004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376</v>
      </c>
      <c r="C17" s="77"/>
    </row>
    <row r="18" spans="1:3" ht="20.100000000000001" customHeight="1" x14ac:dyDescent="0.25">
      <c r="A18" s="63">
        <v>12</v>
      </c>
      <c r="B18" s="64" t="s">
        <v>869</v>
      </c>
      <c r="C18" s="63">
        <f>data!C191</f>
        <v>7808563.46</v>
      </c>
    </row>
    <row r="19" spans="1:3" ht="20.100000000000001" customHeight="1" x14ac:dyDescent="0.25">
      <c r="A19" s="63">
        <v>13</v>
      </c>
      <c r="B19" s="64" t="s">
        <v>870</v>
      </c>
      <c r="C19" s="63">
        <f>data!C192</f>
        <v>864663.37000000011</v>
      </c>
    </row>
    <row r="20" spans="1:3" ht="20.100000000000001" customHeight="1" x14ac:dyDescent="0.25">
      <c r="A20" s="63">
        <v>14</v>
      </c>
      <c r="B20" s="64" t="s">
        <v>871</v>
      </c>
      <c r="C20" s="63">
        <f>data!D193</f>
        <v>8673226.8300000001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379</v>
      </c>
      <c r="C23" s="123"/>
    </row>
    <row r="24" spans="1:3" ht="20.100000000000001" customHeight="1" x14ac:dyDescent="0.25">
      <c r="A24" s="63">
        <v>16</v>
      </c>
      <c r="B24" s="75" t="s">
        <v>872</v>
      </c>
      <c r="C24" s="148"/>
    </row>
    <row r="25" spans="1:3" ht="20.100000000000001" customHeight="1" x14ac:dyDescent="0.25">
      <c r="A25" s="63">
        <v>17</v>
      </c>
      <c r="B25" s="64" t="s">
        <v>873</v>
      </c>
      <c r="C25" s="63">
        <f>data!C195</f>
        <v>2490065.17</v>
      </c>
    </row>
    <row r="26" spans="1:3" ht="20.100000000000001" customHeight="1" x14ac:dyDescent="0.25">
      <c r="A26" s="63">
        <v>18</v>
      </c>
      <c r="B26" s="64" t="s">
        <v>381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874</v>
      </c>
      <c r="C27" s="63">
        <f>data!D197</f>
        <v>2490065.17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875</v>
      </c>
      <c r="C30" s="133"/>
    </row>
    <row r="31" spans="1:3" ht="20.100000000000001" customHeight="1" x14ac:dyDescent="0.25">
      <c r="A31" s="63">
        <v>21</v>
      </c>
      <c r="B31" s="64" t="s">
        <v>383</v>
      </c>
      <c r="C31" s="63">
        <f>data!C199</f>
        <v>90760.33</v>
      </c>
    </row>
    <row r="32" spans="1:3" ht="20.100000000000001" customHeight="1" x14ac:dyDescent="0.25">
      <c r="A32" s="63">
        <v>22</v>
      </c>
      <c r="B32" s="64" t="s">
        <v>876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159</v>
      </c>
      <c r="C33" s="63">
        <f>data!C201</f>
        <v>-90760.33</v>
      </c>
    </row>
    <row r="34" spans="1:3" ht="20.100000000000001" customHeight="1" x14ac:dyDescent="0.25">
      <c r="A34" s="63">
        <v>24</v>
      </c>
      <c r="B34" s="64" t="s">
        <v>877</v>
      </c>
      <c r="C34" s="63">
        <f>data!D202</f>
        <v>0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385</v>
      </c>
      <c r="C37" s="123"/>
    </row>
    <row r="38" spans="1:3" ht="20.100000000000001" customHeight="1" x14ac:dyDescent="0.25">
      <c r="A38" s="63">
        <v>26</v>
      </c>
      <c r="B38" s="64" t="s">
        <v>878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387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879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D7" sqref="D7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388</v>
      </c>
      <c r="B1" s="62"/>
      <c r="C1" s="62"/>
      <c r="D1" s="62"/>
      <c r="E1" s="62"/>
      <c r="F1" s="61" t="s">
        <v>880</v>
      </c>
    </row>
    <row r="3" spans="1:6" ht="20.100000000000001" customHeight="1" x14ac:dyDescent="0.25">
      <c r="A3" s="120" t="str">
        <f>"Hospital: "&amp;data!C98</f>
        <v>Hospital: St. Francis Hospital</v>
      </c>
      <c r="F3" s="142" t="str">
        <f>"FYE: "&amp;data!C96</f>
        <v>FYE: 6/30/2024</v>
      </c>
    </row>
    <row r="4" spans="1:6" ht="20.100000000000001" customHeight="1" x14ac:dyDescent="0.25">
      <c r="A4" s="148" t="s">
        <v>389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881</v>
      </c>
      <c r="D5" s="151"/>
      <c r="E5" s="151"/>
      <c r="F5" s="151" t="s">
        <v>882</v>
      </c>
    </row>
    <row r="6" spans="1:6" ht="20.100000000000001" customHeight="1" x14ac:dyDescent="0.25">
      <c r="A6" s="152"/>
      <c r="B6" s="70"/>
      <c r="C6" s="153" t="s">
        <v>883</v>
      </c>
      <c r="D6" s="153" t="s">
        <v>391</v>
      </c>
      <c r="E6" s="153" t="s">
        <v>884</v>
      </c>
      <c r="F6" s="153" t="s">
        <v>883</v>
      </c>
    </row>
    <row r="7" spans="1:6" ht="20.100000000000001" customHeight="1" x14ac:dyDescent="0.25">
      <c r="A7" s="63">
        <v>1</v>
      </c>
      <c r="B7" s="67" t="s">
        <v>394</v>
      </c>
      <c r="C7" s="67">
        <f>data!B211</f>
        <v>7206096.9900000002</v>
      </c>
      <c r="D7" s="67">
        <f>data!C211</f>
        <v>0</v>
      </c>
      <c r="E7" s="67">
        <f>data!D211</f>
        <v>0</v>
      </c>
      <c r="F7" s="67">
        <f>data!E211</f>
        <v>7206096.9900000002</v>
      </c>
    </row>
    <row r="8" spans="1:6" ht="20.100000000000001" customHeight="1" x14ac:dyDescent="0.25">
      <c r="A8" s="63">
        <v>2</v>
      </c>
      <c r="B8" s="67" t="s">
        <v>395</v>
      </c>
      <c r="C8" s="67">
        <f>data!B212</f>
        <v>2956304.72</v>
      </c>
      <c r="D8" s="67">
        <f>data!C212</f>
        <v>148874</v>
      </c>
      <c r="E8" s="67">
        <f>data!D212</f>
        <v>0</v>
      </c>
      <c r="F8" s="67">
        <f>data!E212</f>
        <v>3105178.72</v>
      </c>
    </row>
    <row r="9" spans="1:6" ht="20.100000000000001" customHeight="1" x14ac:dyDescent="0.25">
      <c r="A9" s="63">
        <v>3</v>
      </c>
      <c r="B9" s="67" t="s">
        <v>396</v>
      </c>
      <c r="C9" s="67">
        <f>data!B213</f>
        <v>55434843.789999999</v>
      </c>
      <c r="D9" s="67">
        <f>data!C213</f>
        <v>0</v>
      </c>
      <c r="E9" s="67">
        <f>data!D213</f>
        <v>0</v>
      </c>
      <c r="F9" s="67">
        <f>data!E213</f>
        <v>55434843.789999999</v>
      </c>
    </row>
    <row r="10" spans="1:6" ht="20.100000000000001" customHeight="1" x14ac:dyDescent="0.25">
      <c r="A10" s="63">
        <v>4</v>
      </c>
      <c r="B10" s="67" t="s">
        <v>885</v>
      </c>
      <c r="C10" s="67">
        <f>data!B214</f>
        <v>9956436.0500000007</v>
      </c>
      <c r="D10" s="67">
        <f>data!C214</f>
        <v>54101</v>
      </c>
      <c r="E10" s="67">
        <f>data!D214</f>
        <v>0</v>
      </c>
      <c r="F10" s="67">
        <f>data!E214</f>
        <v>10010537.050000001</v>
      </c>
    </row>
    <row r="11" spans="1:6" ht="20.100000000000001" customHeight="1" x14ac:dyDescent="0.25">
      <c r="A11" s="63">
        <v>5</v>
      </c>
      <c r="B11" s="67" t="s">
        <v>886</v>
      </c>
      <c r="C11" s="67">
        <f>data!B215</f>
        <v>23255608.170000002</v>
      </c>
      <c r="D11" s="67">
        <f>data!C215</f>
        <v>415925</v>
      </c>
      <c r="E11" s="67">
        <f>data!D215</f>
        <v>1657</v>
      </c>
      <c r="F11" s="67">
        <f>data!E215</f>
        <v>23669876.170000002</v>
      </c>
    </row>
    <row r="12" spans="1:6" ht="20.100000000000001" customHeight="1" x14ac:dyDescent="0.25">
      <c r="A12" s="63">
        <v>6</v>
      </c>
      <c r="B12" s="67" t="s">
        <v>887</v>
      </c>
      <c r="C12" s="67">
        <f>data!B216</f>
        <v>117104325.96000002</v>
      </c>
      <c r="D12" s="67">
        <f>data!C216</f>
        <v>3406597.29</v>
      </c>
      <c r="E12" s="67">
        <f>data!D216</f>
        <v>190976.63</v>
      </c>
      <c r="F12" s="67">
        <f>data!E216</f>
        <v>120319946.62000003</v>
      </c>
    </row>
    <row r="13" spans="1:6" ht="20.100000000000001" customHeight="1" x14ac:dyDescent="0.25">
      <c r="A13" s="63">
        <v>7</v>
      </c>
      <c r="B13" s="67" t="s">
        <v>888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401</v>
      </c>
      <c r="C14" s="67">
        <f>data!B218</f>
        <v>18482746.98</v>
      </c>
      <c r="D14" s="67">
        <f>data!C218</f>
        <v>-32466</v>
      </c>
      <c r="E14" s="67">
        <f>data!D218</f>
        <v>159210</v>
      </c>
      <c r="F14" s="67">
        <f>data!E218</f>
        <v>18291070.98</v>
      </c>
    </row>
    <row r="15" spans="1:6" ht="20.100000000000001" customHeight="1" x14ac:dyDescent="0.25">
      <c r="A15" s="63">
        <v>9</v>
      </c>
      <c r="B15" s="67" t="s">
        <v>889</v>
      </c>
      <c r="C15" s="67">
        <f>data!B219</f>
        <v>8580779.9300000016</v>
      </c>
      <c r="D15" s="67">
        <f>data!C219</f>
        <v>12015664</v>
      </c>
      <c r="E15" s="67">
        <f>data!D219</f>
        <v>0</v>
      </c>
      <c r="F15" s="67">
        <f>data!E219</f>
        <v>20596443.93</v>
      </c>
    </row>
    <row r="16" spans="1:6" ht="20.100000000000001" customHeight="1" x14ac:dyDescent="0.25">
      <c r="A16" s="63">
        <v>10</v>
      </c>
      <c r="B16" s="67" t="s">
        <v>615</v>
      </c>
      <c r="C16" s="67">
        <f>data!B220</f>
        <v>242977142.59</v>
      </c>
      <c r="D16" s="67">
        <f>data!C220</f>
        <v>16008695.289999999</v>
      </c>
      <c r="E16" s="67">
        <f>data!D220</f>
        <v>351843.63</v>
      </c>
      <c r="F16" s="67">
        <f>data!E220</f>
        <v>258633994.25000003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403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881</v>
      </c>
      <c r="D21" s="4" t="s">
        <v>230</v>
      </c>
      <c r="E21" s="153"/>
      <c r="F21" s="153" t="s">
        <v>882</v>
      </c>
    </row>
    <row r="22" spans="1:6" ht="20.100000000000001" customHeight="1" x14ac:dyDescent="0.25">
      <c r="A22" s="154"/>
      <c r="B22" s="146"/>
      <c r="C22" s="153" t="s">
        <v>883</v>
      </c>
      <c r="D22" s="153" t="s">
        <v>890</v>
      </c>
      <c r="E22" s="153" t="s">
        <v>884</v>
      </c>
      <c r="F22" s="153" t="s">
        <v>883</v>
      </c>
    </row>
    <row r="23" spans="1:6" ht="20.100000000000001" customHeight="1" x14ac:dyDescent="0.25">
      <c r="A23" s="63">
        <v>11</v>
      </c>
      <c r="B23" s="155" t="s">
        <v>394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395</v>
      </c>
      <c r="C24" s="67">
        <f>data!B225</f>
        <v>2599783.41</v>
      </c>
      <c r="D24" s="67">
        <f>data!C225</f>
        <v>162008.28</v>
      </c>
      <c r="E24" s="67">
        <f>data!D225</f>
        <v>0</v>
      </c>
      <c r="F24" s="67">
        <f>data!E225</f>
        <v>2761791.69</v>
      </c>
    </row>
    <row r="25" spans="1:6" ht="20.100000000000001" customHeight="1" x14ac:dyDescent="0.25">
      <c r="A25" s="63">
        <v>13</v>
      </c>
      <c r="B25" s="67" t="s">
        <v>396</v>
      </c>
      <c r="C25" s="67">
        <f>data!B226</f>
        <v>26343166.150000002</v>
      </c>
      <c r="D25" s="67">
        <f>data!C226</f>
        <v>1395859.11</v>
      </c>
      <c r="E25" s="67">
        <f>data!D226</f>
        <v>0</v>
      </c>
      <c r="F25" s="67">
        <f>data!E226</f>
        <v>27739025.260000002</v>
      </c>
    </row>
    <row r="26" spans="1:6" ht="20.100000000000001" customHeight="1" x14ac:dyDescent="0.25">
      <c r="A26" s="63">
        <v>14</v>
      </c>
      <c r="B26" s="67" t="s">
        <v>885</v>
      </c>
      <c r="C26" s="67">
        <f>data!B227</f>
        <v>5010048.5599999996</v>
      </c>
      <c r="D26" s="67">
        <f>data!C227</f>
        <v>861765.14</v>
      </c>
      <c r="E26" s="67">
        <f>data!D227</f>
        <v>556.54</v>
      </c>
      <c r="F26" s="67">
        <f>data!E227</f>
        <v>5871257.1599999992</v>
      </c>
    </row>
    <row r="27" spans="1:6" ht="20.100000000000001" customHeight="1" x14ac:dyDescent="0.25">
      <c r="A27" s="63">
        <v>15</v>
      </c>
      <c r="B27" s="67" t="s">
        <v>886</v>
      </c>
      <c r="C27" s="67">
        <f>data!B228</f>
        <v>18975525.359999999</v>
      </c>
      <c r="D27" s="67">
        <f>data!C228</f>
        <v>658376.57999999996</v>
      </c>
      <c r="E27" s="67">
        <f>data!D228</f>
        <v>2238.96</v>
      </c>
      <c r="F27" s="67">
        <f>data!E228</f>
        <v>19631662.979999997</v>
      </c>
    </row>
    <row r="28" spans="1:6" ht="20.100000000000001" customHeight="1" x14ac:dyDescent="0.25">
      <c r="A28" s="63">
        <v>16</v>
      </c>
      <c r="B28" s="67" t="s">
        <v>887</v>
      </c>
      <c r="C28" s="67">
        <f>data!B229</f>
        <v>104645623.70999999</v>
      </c>
      <c r="D28" s="67">
        <f>data!C229</f>
        <v>7403309.4199999999</v>
      </c>
      <c r="E28" s="67">
        <f>data!D229</f>
        <v>2880531.42</v>
      </c>
      <c r="F28" s="67">
        <f>data!E229</f>
        <v>109168401.70999999</v>
      </c>
    </row>
    <row r="29" spans="1:6" ht="20.100000000000001" customHeight="1" x14ac:dyDescent="0.25">
      <c r="A29" s="63">
        <v>17</v>
      </c>
      <c r="B29" s="67" t="s">
        <v>888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401</v>
      </c>
      <c r="C30" s="67">
        <f>data!B231</f>
        <v>15043539.380000001</v>
      </c>
      <c r="D30" s="67">
        <f>data!C231</f>
        <v>722027.04</v>
      </c>
      <c r="E30" s="67">
        <f>data!D231</f>
        <v>174969.83</v>
      </c>
      <c r="F30" s="67">
        <f>data!E231</f>
        <v>15590596.590000002</v>
      </c>
    </row>
    <row r="31" spans="1:6" ht="20.100000000000001" customHeight="1" x14ac:dyDescent="0.25">
      <c r="A31" s="63">
        <v>19</v>
      </c>
      <c r="B31" s="67" t="s">
        <v>889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615</v>
      </c>
      <c r="C32" s="67">
        <f>data!B233</f>
        <v>172617686.56999999</v>
      </c>
      <c r="D32" s="67">
        <f>data!C233</f>
        <v>11203345.57</v>
      </c>
      <c r="E32" s="67">
        <f>data!D233</f>
        <v>3058296.75</v>
      </c>
      <c r="F32" s="67">
        <f>data!E233</f>
        <v>180762735.38999999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891</v>
      </c>
      <c r="B1" s="62"/>
      <c r="C1" s="62"/>
      <c r="D1" s="61" t="s">
        <v>892</v>
      </c>
    </row>
    <row r="2" spans="1:4" ht="20.100000000000001" customHeight="1" x14ac:dyDescent="0.25">
      <c r="A2" s="120" t="str">
        <f>"Hospital: "&amp;data!C98</f>
        <v>Hospital: St. Francis Hospital</v>
      </c>
      <c r="B2" s="69"/>
      <c r="C2" s="69"/>
      <c r="D2" s="142" t="str">
        <f>"FYE: "&amp;data!C96</f>
        <v>FYE: 6/30/2024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893</v>
      </c>
      <c r="C4" s="156" t="s">
        <v>894</v>
      </c>
      <c r="D4" s="157"/>
    </row>
    <row r="5" spans="1:4" ht="20.100000000000001" customHeight="1" x14ac:dyDescent="0.25">
      <c r="A5" s="124">
        <v>1</v>
      </c>
      <c r="B5" s="158"/>
      <c r="C5" s="80" t="s">
        <v>405</v>
      </c>
      <c r="D5" s="67">
        <f>data!D237</f>
        <v>14771345.42</v>
      </c>
    </row>
    <row r="6" spans="1:4" ht="20.100000000000001" customHeight="1" x14ac:dyDescent="0.25">
      <c r="A6" s="63">
        <v>2</v>
      </c>
      <c r="B6" s="69"/>
      <c r="C6" s="142" t="s">
        <v>501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358</v>
      </c>
      <c r="D7" s="67">
        <f>data!C239</f>
        <v>699087853.29999983</v>
      </c>
    </row>
    <row r="8" spans="1:4" ht="20.100000000000001" customHeight="1" x14ac:dyDescent="0.25">
      <c r="A8" s="63">
        <v>4</v>
      </c>
      <c r="B8" s="158">
        <v>5820</v>
      </c>
      <c r="C8" s="67" t="s">
        <v>359</v>
      </c>
      <c r="D8" s="67">
        <f>data!C240</f>
        <v>351236928.42000002</v>
      </c>
    </row>
    <row r="9" spans="1:4" ht="20.100000000000001" customHeight="1" x14ac:dyDescent="0.25">
      <c r="A9" s="63">
        <v>5</v>
      </c>
      <c r="B9" s="158">
        <v>5830</v>
      </c>
      <c r="C9" s="67" t="s">
        <v>371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410</v>
      </c>
      <c r="D10" s="67">
        <f>data!C242</f>
        <v>55749378.789999999</v>
      </c>
    </row>
    <row r="11" spans="1:4" ht="20.100000000000001" customHeight="1" x14ac:dyDescent="0.25">
      <c r="A11" s="63">
        <v>7</v>
      </c>
      <c r="B11" s="158">
        <v>5850</v>
      </c>
      <c r="C11" s="67" t="s">
        <v>895</v>
      </c>
      <c r="D11" s="67">
        <f>data!C243</f>
        <v>331598924.78999996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data!C244</f>
        <v>33588359.670000002</v>
      </c>
    </row>
    <row r="13" spans="1:4" ht="20.100000000000001" customHeight="1" x14ac:dyDescent="0.25">
      <c r="A13" s="63">
        <v>9</v>
      </c>
      <c r="B13" s="67"/>
      <c r="C13" s="67" t="s">
        <v>896</v>
      </c>
      <c r="D13" s="67">
        <f>data!D245</f>
        <v>1471261444.9699998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414</v>
      </c>
      <c r="D15" s="153"/>
    </row>
    <row r="16" spans="1:4" ht="20.100000000000001" customHeight="1" x14ac:dyDescent="0.25">
      <c r="A16" s="152">
        <v>12</v>
      </c>
      <c r="B16" s="79"/>
      <c r="C16" s="64" t="s">
        <v>897</v>
      </c>
      <c r="D16" s="63">
        <f>data!C247</f>
        <v>9662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416</v>
      </c>
      <c r="D18" s="67">
        <f>data!C249</f>
        <v>14853776.07</v>
      </c>
    </row>
    <row r="19" spans="1:4" ht="20.100000000000001" customHeight="1" x14ac:dyDescent="0.25">
      <c r="A19" s="161">
        <v>15</v>
      </c>
      <c r="B19" s="158">
        <v>5910</v>
      </c>
      <c r="C19" s="80" t="s">
        <v>898</v>
      </c>
      <c r="D19" s="67">
        <f>data!C250</f>
        <v>26035081.580000002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899</v>
      </c>
      <c r="D22" s="67">
        <f>data!D252</f>
        <v>40888857.650000006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420</v>
      </c>
      <c r="D24" s="67">
        <f>data!C254</f>
        <v>15258553.740000002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900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901</v>
      </c>
      <c r="C27" s="79"/>
      <c r="D27" s="67">
        <f>data!D256</f>
        <v>15258553.740000002</v>
      </c>
    </row>
    <row r="28" spans="1:4" ht="20.100000000000001" customHeight="1" x14ac:dyDescent="0.25">
      <c r="A28" s="72">
        <v>24</v>
      </c>
      <c r="B28" s="138" t="s">
        <v>902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2025-01-28T22:00:47Z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