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_2020\"/>
    </mc:Choice>
  </mc:AlternateContent>
  <xr:revisionPtr revIDLastSave="0" documentId="13_ncr:1_{A48F0631-D6C6-44D2-9054-B1FA715E7913}" xr6:coauthVersionLast="45" xr6:coauthVersionMax="45" xr10:uidLastSave="{00000000-0000-0000-0000-000000000000}"/>
  <bookViews>
    <workbookView xWindow="-103" yWindow="-103" windowWidth="16663" windowHeight="8863" tabRatio="847" xr2:uid="{00000000-000D-0000-FFFF-FFFF00000000}"/>
  </bookViews>
  <sheets>
    <sheet name="data" sheetId="1" r:id="rId1"/>
    <sheet name="Sheet1" sheetId="11" r:id="rId2"/>
    <sheet name="Transmittal" sheetId="2" r:id="rId3"/>
    <sheet name="INFO_PG1" sheetId="3" r:id="rId4"/>
    <sheet name="INFO_PG2" sheetId="4" r:id="rId5"/>
    <sheet name="SS2_3_5_6" sheetId="5" r:id="rId6"/>
    <sheet name="SS4" sheetId="6" r:id="rId7"/>
    <sheet name="SS8" sheetId="7" r:id="rId8"/>
    <sheet name="FS" sheetId="8" r:id="rId9"/>
    <sheet name="CC's" sheetId="9" r:id="rId10"/>
    <sheet name="Prior Year" sheetId="10" r:id="rId11"/>
  </sheets>
  <externalReferences>
    <externalReference r:id="rId12"/>
  </externalReferences>
  <definedNames>
    <definedName name="_Fill" localSheetId="10" hidden="1">'Prior Year'!$DR$819:$DR$864</definedName>
    <definedName name="_Fill" hidden="1">data!$DR$921:$DR$966</definedName>
    <definedName name="Costcenter" localSheetId="10">'Prior Year'!#REF!</definedName>
    <definedName name="Costcenter">data!$A$732:$W$813</definedName>
    <definedName name="Edit" localSheetId="10">'Prior Year'!$A$410:$E$477</definedName>
    <definedName name="Edit">data!$A$411:$E$478</definedName>
    <definedName name="Funds" localSheetId="10">'Prior Year'!#REF!</definedName>
    <definedName name="Funds">data!$A$728:$CF$730</definedName>
    <definedName name="Hospital" localSheetId="10">'Prior Year'!#REF!</definedName>
    <definedName name="Hospital">data!$A$724:$BR$726</definedName>
    <definedName name="_xlnm.Print_Area" localSheetId="9">'CC''s'!$A$1:$I$384</definedName>
    <definedName name="_xlnm.Print_Area" localSheetId="0">data!$A$411:$E$478</definedName>
    <definedName name="_xlnm.Print_Area" localSheetId="8">FS!$A$1:$D$153</definedName>
    <definedName name="_xlnm.Print_Area" localSheetId="3">INFO_PG1!$A$1:$G$40</definedName>
    <definedName name="_xlnm.Print_Area" localSheetId="4">INFO_PG2!$A$1:$G$33</definedName>
    <definedName name="_xlnm.Print_Area" localSheetId="10">'Prior Year'!$A$410:$E$477</definedName>
    <definedName name="_xlnm.Print_Area" localSheetId="5">SS2_3_5_6!$A$1:$C$40</definedName>
    <definedName name="_xlnm.Print_Area" localSheetId="6">'SS4'!$A$1:$F$32</definedName>
    <definedName name="_xlnm.Print_Area" localSheetId="7">'SS8'!$A$1:$D$34</definedName>
    <definedName name="Support" localSheetId="10">'Prior Year'!#REF!</definedName>
    <definedName name="Support">data!$A$720:$CD$722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93" i="1" l="1"/>
  <c r="D493" i="1"/>
  <c r="B493" i="1"/>
  <c r="BE76" i="1" l="1"/>
  <c r="AV74" i="1" l="1"/>
  <c r="BN66" i="1" l="1"/>
  <c r="BN47" i="1"/>
  <c r="BN69" i="1" l="1"/>
  <c r="C389" i="1"/>
  <c r="U64" i="1"/>
  <c r="C388" i="1" l="1"/>
  <c r="C387" i="1"/>
  <c r="C359" i="1"/>
  <c r="C313" i="1"/>
  <c r="C306" i="1"/>
  <c r="C255" i="1"/>
  <c r="C228" i="1"/>
  <c r="C224" i="1" l="1"/>
  <c r="D141" i="1" l="1"/>
  <c r="C142" i="1"/>
  <c r="D142" i="1" s="1"/>
  <c r="B142" i="1"/>
  <c r="D145" i="1"/>
  <c r="D144" i="1"/>
  <c r="B139" i="1"/>
  <c r="D139" i="1"/>
  <c r="C139" i="1"/>
  <c r="C138" i="1"/>
  <c r="B138" i="1"/>
  <c r="C615" i="10" l="1"/>
  <c r="B575" i="10"/>
  <c r="B574" i="10"/>
  <c r="B573" i="10"/>
  <c r="B572" i="10"/>
  <c r="B571" i="10"/>
  <c r="B570" i="10"/>
  <c r="B569" i="10"/>
  <c r="B568" i="10"/>
  <c r="B567" i="10"/>
  <c r="B566" i="10"/>
  <c r="B565" i="10"/>
  <c r="B564" i="10"/>
  <c r="B563" i="10"/>
  <c r="B562" i="10"/>
  <c r="B561" i="10"/>
  <c r="B560" i="10"/>
  <c r="B559" i="10"/>
  <c r="B558" i="10"/>
  <c r="B557" i="10"/>
  <c r="B556" i="10"/>
  <c r="B555" i="10"/>
  <c r="B554" i="10"/>
  <c r="B553" i="10"/>
  <c r="B552" i="10"/>
  <c r="B551" i="10"/>
  <c r="E550" i="10"/>
  <c r="D550" i="10"/>
  <c r="B550" i="10"/>
  <c r="B549" i="10"/>
  <c r="B548" i="10"/>
  <c r="B547" i="10"/>
  <c r="E546" i="10"/>
  <c r="D546" i="10"/>
  <c r="B546" i="10"/>
  <c r="F546" i="10" s="1"/>
  <c r="D545" i="10"/>
  <c r="B545" i="10"/>
  <c r="F545" i="10" s="1"/>
  <c r="E544" i="10"/>
  <c r="D544" i="10"/>
  <c r="B544" i="10"/>
  <c r="B543" i="10"/>
  <c r="B542" i="10"/>
  <c r="B541" i="10"/>
  <c r="E540" i="10"/>
  <c r="D540" i="10"/>
  <c r="B540" i="10"/>
  <c r="F540" i="10" s="1"/>
  <c r="E539" i="10"/>
  <c r="D539" i="10"/>
  <c r="B539" i="10"/>
  <c r="F539" i="10" s="1"/>
  <c r="E538" i="10"/>
  <c r="D538" i="10"/>
  <c r="B538" i="10"/>
  <c r="F538" i="10" s="1"/>
  <c r="E537" i="10"/>
  <c r="D537" i="10"/>
  <c r="B537" i="10"/>
  <c r="E536" i="10"/>
  <c r="D536" i="10"/>
  <c r="B536" i="10"/>
  <c r="F536" i="10" s="1"/>
  <c r="E535" i="10"/>
  <c r="D535" i="10"/>
  <c r="B535" i="10"/>
  <c r="F535" i="10" s="1"/>
  <c r="E534" i="10"/>
  <c r="D534" i="10"/>
  <c r="B534" i="10"/>
  <c r="F534" i="10" s="1"/>
  <c r="H533" i="10"/>
  <c r="E533" i="10"/>
  <c r="D533" i="10"/>
  <c r="B533" i="10"/>
  <c r="F533" i="10" s="1"/>
  <c r="H532" i="10"/>
  <c r="E532" i="10"/>
  <c r="D532" i="10"/>
  <c r="B532" i="10"/>
  <c r="F532" i="10" s="1"/>
  <c r="E531" i="10"/>
  <c r="D531" i="10"/>
  <c r="B531" i="10"/>
  <c r="H531" i="10" s="1"/>
  <c r="E530" i="10"/>
  <c r="D530" i="10"/>
  <c r="B530" i="10"/>
  <c r="F530" i="10" s="1"/>
  <c r="E529" i="10"/>
  <c r="D529" i="10"/>
  <c r="B529" i="10"/>
  <c r="E528" i="10"/>
  <c r="D528" i="10"/>
  <c r="B528" i="10"/>
  <c r="F528" i="10" s="1"/>
  <c r="E527" i="10"/>
  <c r="D527" i="10"/>
  <c r="B527" i="10"/>
  <c r="H527" i="10" s="1"/>
  <c r="E526" i="10"/>
  <c r="D526" i="10"/>
  <c r="B526" i="10"/>
  <c r="E525" i="10"/>
  <c r="D525" i="10"/>
  <c r="B525" i="10"/>
  <c r="E524" i="10"/>
  <c r="D524" i="10"/>
  <c r="B524" i="10"/>
  <c r="F524" i="10" s="1"/>
  <c r="E523" i="10"/>
  <c r="D523" i="10"/>
  <c r="B523" i="10"/>
  <c r="H523" i="10" s="1"/>
  <c r="E522" i="10"/>
  <c r="D522" i="10"/>
  <c r="B522" i="10"/>
  <c r="B521" i="10"/>
  <c r="F521" i="10" s="1"/>
  <c r="E520" i="10"/>
  <c r="D520" i="10"/>
  <c r="B520" i="10"/>
  <c r="F520" i="10" s="1"/>
  <c r="E519" i="10"/>
  <c r="D519" i="10"/>
  <c r="B519" i="10"/>
  <c r="F519" i="10" s="1"/>
  <c r="E518" i="10"/>
  <c r="D518" i="10"/>
  <c r="B518" i="10"/>
  <c r="F518" i="10" s="1"/>
  <c r="E517" i="10"/>
  <c r="D517" i="10"/>
  <c r="B517" i="10"/>
  <c r="F517" i="10" s="1"/>
  <c r="E516" i="10"/>
  <c r="D516" i="10"/>
  <c r="B516" i="10"/>
  <c r="H515" i="10"/>
  <c r="E515" i="10"/>
  <c r="D515" i="10"/>
  <c r="B515" i="10"/>
  <c r="F515" i="10" s="1"/>
  <c r="E514" i="10"/>
  <c r="D514" i="10"/>
  <c r="B514" i="10"/>
  <c r="B513" i="10"/>
  <c r="B512" i="10"/>
  <c r="H512" i="10" s="1"/>
  <c r="E511" i="10"/>
  <c r="D511" i="10"/>
  <c r="B511" i="10"/>
  <c r="E510" i="10"/>
  <c r="D510" i="10"/>
  <c r="B510" i="10"/>
  <c r="F510" i="10" s="1"/>
  <c r="E509" i="10"/>
  <c r="D509" i="10"/>
  <c r="B509" i="10"/>
  <c r="F509" i="10" s="1"/>
  <c r="E508" i="10"/>
  <c r="D508" i="10"/>
  <c r="B508" i="10"/>
  <c r="F508" i="10" s="1"/>
  <c r="E507" i="10"/>
  <c r="D507" i="10"/>
  <c r="B507" i="10"/>
  <c r="E506" i="10"/>
  <c r="D506" i="10"/>
  <c r="B506" i="10"/>
  <c r="E505" i="10"/>
  <c r="D505" i="10"/>
  <c r="B505" i="10"/>
  <c r="E504" i="10"/>
  <c r="D504" i="10"/>
  <c r="B504" i="10"/>
  <c r="F504" i="10" s="1"/>
  <c r="H503" i="10"/>
  <c r="E503" i="10"/>
  <c r="D503" i="10"/>
  <c r="B503" i="10"/>
  <c r="F503" i="10" s="1"/>
  <c r="H502" i="10"/>
  <c r="E502" i="10"/>
  <c r="D502" i="10"/>
  <c r="B502" i="10"/>
  <c r="F502" i="10" s="1"/>
  <c r="E501" i="10"/>
  <c r="D501" i="10"/>
  <c r="B501" i="10"/>
  <c r="H501" i="10" s="1"/>
  <c r="E500" i="10"/>
  <c r="D500" i="10"/>
  <c r="B500" i="10"/>
  <c r="F500" i="10" s="1"/>
  <c r="E499" i="10"/>
  <c r="D499" i="10"/>
  <c r="B499" i="10"/>
  <c r="F499" i="10" s="1"/>
  <c r="E498" i="10"/>
  <c r="D498" i="10"/>
  <c r="B498" i="10"/>
  <c r="F498" i="10" s="1"/>
  <c r="E497" i="10"/>
  <c r="D497" i="10"/>
  <c r="B497" i="10"/>
  <c r="H497" i="10" s="1"/>
  <c r="E496" i="10"/>
  <c r="D496" i="10"/>
  <c r="B496" i="10"/>
  <c r="F496" i="10" s="1"/>
  <c r="G493" i="10"/>
  <c r="F493" i="10"/>
  <c r="E493" i="10"/>
  <c r="D493" i="10"/>
  <c r="C493" i="10"/>
  <c r="B493" i="10"/>
  <c r="A493" i="10"/>
  <c r="B478" i="10"/>
  <c r="B475" i="10"/>
  <c r="C474" i="10"/>
  <c r="B474" i="10"/>
  <c r="B473" i="10"/>
  <c r="B472" i="10"/>
  <c r="B471" i="10"/>
  <c r="B470" i="10"/>
  <c r="B469" i="10"/>
  <c r="B468" i="10"/>
  <c r="C463" i="10"/>
  <c r="C459" i="10"/>
  <c r="B459" i="10"/>
  <c r="B458" i="10"/>
  <c r="B455" i="10"/>
  <c r="B454" i="10"/>
  <c r="B453" i="10"/>
  <c r="C447" i="10"/>
  <c r="C446" i="10"/>
  <c r="C445" i="10"/>
  <c r="C444" i="10"/>
  <c r="C439" i="10"/>
  <c r="C438" i="10"/>
  <c r="B438" i="10"/>
  <c r="B437" i="10"/>
  <c r="B436" i="10"/>
  <c r="B435" i="10"/>
  <c r="B434" i="10"/>
  <c r="B432" i="10"/>
  <c r="B431" i="10"/>
  <c r="B430" i="10"/>
  <c r="B428" i="10"/>
  <c r="B427" i="10"/>
  <c r="D424" i="10"/>
  <c r="B424" i="10"/>
  <c r="B423" i="10"/>
  <c r="D421" i="10"/>
  <c r="B421" i="10"/>
  <c r="B420" i="10"/>
  <c r="D418" i="10"/>
  <c r="B418" i="10"/>
  <c r="B417" i="10"/>
  <c r="D415" i="10"/>
  <c r="B415" i="10"/>
  <c r="B414" i="10"/>
  <c r="A412" i="10"/>
  <c r="C392" i="10"/>
  <c r="C389" i="10"/>
  <c r="B439" i="10" s="1"/>
  <c r="C384" i="10"/>
  <c r="B433" i="10" s="1"/>
  <c r="C380" i="10"/>
  <c r="B429" i="10" s="1"/>
  <c r="D372" i="10"/>
  <c r="D367" i="10"/>
  <c r="C448" i="10" s="1"/>
  <c r="C360" i="10"/>
  <c r="B464" i="10" s="1"/>
  <c r="C359" i="10"/>
  <c r="D329" i="10"/>
  <c r="D328" i="10"/>
  <c r="D319" i="10"/>
  <c r="C306" i="10"/>
  <c r="D314" i="10" s="1"/>
  <c r="D290" i="10"/>
  <c r="D283" i="10"/>
  <c r="D275" i="10"/>
  <c r="D277" i="10" s="1"/>
  <c r="D265" i="10"/>
  <c r="C255" i="10"/>
  <c r="D260" i="10" s="1"/>
  <c r="D240" i="10"/>
  <c r="B447" i="10" s="1"/>
  <c r="D236" i="10"/>
  <c r="B446" i="10" s="1"/>
  <c r="D229" i="10"/>
  <c r="B445" i="10" s="1"/>
  <c r="D221" i="10"/>
  <c r="B444" i="10" s="1"/>
  <c r="D217" i="10"/>
  <c r="C217" i="10"/>
  <c r="D433" i="10" s="1"/>
  <c r="B217" i="10"/>
  <c r="E216" i="10"/>
  <c r="E215" i="10"/>
  <c r="E214" i="10"/>
  <c r="E213" i="10"/>
  <c r="E212" i="10"/>
  <c r="E217" i="10" s="1"/>
  <c r="C478" i="10" s="1"/>
  <c r="E211" i="10"/>
  <c r="E210" i="10"/>
  <c r="E209" i="10"/>
  <c r="D204" i="10"/>
  <c r="B204" i="10"/>
  <c r="E203" i="10"/>
  <c r="C475" i="10" s="1"/>
  <c r="E202" i="10"/>
  <c r="E201" i="10"/>
  <c r="E200" i="10"/>
  <c r="E199" i="10"/>
  <c r="C472" i="10" s="1"/>
  <c r="C198" i="10"/>
  <c r="E198" i="10" s="1"/>
  <c r="C471" i="10" s="1"/>
  <c r="E197" i="10"/>
  <c r="C470" i="10" s="1"/>
  <c r="C197" i="10"/>
  <c r="C196" i="10"/>
  <c r="E196" i="10" s="1"/>
  <c r="C469" i="10" s="1"/>
  <c r="E195" i="10"/>
  <c r="C468" i="10" s="1"/>
  <c r="D190" i="10"/>
  <c r="D437" i="10" s="1"/>
  <c r="D186" i="10"/>
  <c r="D436" i="10" s="1"/>
  <c r="D181" i="10"/>
  <c r="D435" i="10" s="1"/>
  <c r="D177" i="10"/>
  <c r="D434" i="10" s="1"/>
  <c r="D173" i="10"/>
  <c r="D428" i="10" s="1"/>
  <c r="E154" i="10"/>
  <c r="E153" i="10"/>
  <c r="E152" i="10"/>
  <c r="E151" i="10"/>
  <c r="C421" i="10" s="1"/>
  <c r="E150" i="10"/>
  <c r="C420" i="10" s="1"/>
  <c r="E148" i="10"/>
  <c r="E147" i="10"/>
  <c r="E146" i="10"/>
  <c r="E145" i="10"/>
  <c r="C418" i="10" s="1"/>
  <c r="B144" i="10"/>
  <c r="E144" i="10" s="1"/>
  <c r="C417" i="10" s="1"/>
  <c r="E142" i="10"/>
  <c r="D464" i="10" s="1"/>
  <c r="E141" i="10"/>
  <c r="E140" i="10"/>
  <c r="C139" i="10"/>
  <c r="B139" i="10"/>
  <c r="C138" i="10"/>
  <c r="B138" i="10"/>
  <c r="E127" i="10"/>
  <c r="CE80" i="10"/>
  <c r="L612" i="10" s="1"/>
  <c r="CF79" i="10"/>
  <c r="CE79" i="10"/>
  <c r="J612" i="10" s="1"/>
  <c r="CE78" i="10"/>
  <c r="I612" i="10" s="1"/>
  <c r="CE77" i="10"/>
  <c r="CF76" i="10"/>
  <c r="CE76" i="10"/>
  <c r="D612" i="10" s="1"/>
  <c r="AV75" i="10"/>
  <c r="AU75" i="10"/>
  <c r="AT75" i="10"/>
  <c r="AS75" i="10"/>
  <c r="AR75" i="10"/>
  <c r="AQ75" i="10"/>
  <c r="AP75" i="10"/>
  <c r="AO75" i="10"/>
  <c r="AN75" i="10"/>
  <c r="AM75" i="10"/>
  <c r="AL75" i="10"/>
  <c r="AK75" i="10"/>
  <c r="AJ75" i="10"/>
  <c r="AI75" i="10"/>
  <c r="AH75" i="10"/>
  <c r="AG75" i="10"/>
  <c r="AF75" i="10"/>
  <c r="AE75" i="10"/>
  <c r="AD75" i="10"/>
  <c r="AC75" i="10"/>
  <c r="AB75" i="10"/>
  <c r="AA75" i="10"/>
  <c r="Z75" i="10"/>
  <c r="Y75" i="10"/>
  <c r="X75" i="10"/>
  <c r="W75" i="10"/>
  <c r="V75" i="10"/>
  <c r="U75" i="10"/>
  <c r="T75" i="10"/>
  <c r="S75" i="10"/>
  <c r="R75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E75" i="10"/>
  <c r="D75" i="10"/>
  <c r="C75" i="10"/>
  <c r="CE74" i="10"/>
  <c r="C464" i="10" s="1"/>
  <c r="CE73" i="10"/>
  <c r="CD71" i="10"/>
  <c r="C575" i="10" s="1"/>
  <c r="CE70" i="10"/>
  <c r="C458" i="10" s="1"/>
  <c r="CE69" i="10"/>
  <c r="C440" i="10" s="1"/>
  <c r="BN69" i="10"/>
  <c r="CE68" i="10"/>
  <c r="C434" i="10" s="1"/>
  <c r="CE66" i="10"/>
  <c r="C432" i="10" s="1"/>
  <c r="BN66" i="10"/>
  <c r="CE65" i="10"/>
  <c r="C431" i="10" s="1"/>
  <c r="CE64" i="10"/>
  <c r="F612" i="10" s="1"/>
  <c r="CE63" i="10"/>
  <c r="C429" i="10" s="1"/>
  <c r="BN61" i="10"/>
  <c r="CE61" i="10" s="1"/>
  <c r="BZ48" i="10" s="1"/>
  <c r="BZ62" i="10" s="1"/>
  <c r="CE60" i="10"/>
  <c r="H612" i="10" s="1"/>
  <c r="AZ59" i="10"/>
  <c r="E545" i="10" s="1"/>
  <c r="B53" i="10"/>
  <c r="BQ52" i="10"/>
  <c r="BQ67" i="10" s="1"/>
  <c r="BA52" i="10"/>
  <c r="BA67" i="10" s="1"/>
  <c r="AK52" i="10"/>
  <c r="AK67" i="10" s="1"/>
  <c r="U52" i="10"/>
  <c r="U67" i="10" s="1"/>
  <c r="I52" i="10"/>
  <c r="I67" i="10" s="1"/>
  <c r="CE51" i="10"/>
  <c r="B49" i="10"/>
  <c r="CA48" i="10"/>
  <c r="CA62" i="10" s="1"/>
  <c r="BV48" i="10"/>
  <c r="BV62" i="10" s="1"/>
  <c r="BS48" i="10"/>
  <c r="BS62" i="10" s="1"/>
  <c r="BN48" i="10"/>
  <c r="BL48" i="10"/>
  <c r="BL62" i="10" s="1"/>
  <c r="BH48" i="10"/>
  <c r="BH62" i="10" s="1"/>
  <c r="BG48" i="10"/>
  <c r="BG62" i="10" s="1"/>
  <c r="BC48" i="10"/>
  <c r="BC62" i="10" s="1"/>
  <c r="BB48" i="10"/>
  <c r="BB62" i="10" s="1"/>
  <c r="AX48" i="10"/>
  <c r="AX62" i="10" s="1"/>
  <c r="AV48" i="10"/>
  <c r="AV62" i="10" s="1"/>
  <c r="AR48" i="10"/>
  <c r="AR62" i="10" s="1"/>
  <c r="AQ48" i="10"/>
  <c r="AQ62" i="10" s="1"/>
  <c r="AM48" i="10"/>
  <c r="AM62" i="10" s="1"/>
  <c r="AL48" i="10"/>
  <c r="AL62" i="10" s="1"/>
  <c r="AH48" i="10"/>
  <c r="AH62" i="10" s="1"/>
  <c r="AF48" i="10"/>
  <c r="AF62" i="10" s="1"/>
  <c r="AB48" i="10"/>
  <c r="AB62" i="10" s="1"/>
  <c r="AA48" i="10"/>
  <c r="AA62" i="10" s="1"/>
  <c r="W48" i="10"/>
  <c r="W62" i="10" s="1"/>
  <c r="V48" i="10"/>
  <c r="V62" i="10" s="1"/>
  <c r="R48" i="10"/>
  <c r="R62" i="10" s="1"/>
  <c r="P48" i="10"/>
  <c r="P62" i="10" s="1"/>
  <c r="L48" i="10"/>
  <c r="L62" i="10" s="1"/>
  <c r="K48" i="10"/>
  <c r="K62" i="10" s="1"/>
  <c r="G48" i="10"/>
  <c r="G62" i="10" s="1"/>
  <c r="F48" i="10"/>
  <c r="F62" i="10" s="1"/>
  <c r="BN47" i="10"/>
  <c r="BN62" i="10" s="1"/>
  <c r="F526" i="10" l="1"/>
  <c r="H536" i="10"/>
  <c r="H528" i="10"/>
  <c r="F537" i="10"/>
  <c r="H540" i="10"/>
  <c r="F544" i="10"/>
  <c r="H546" i="10"/>
  <c r="F550" i="10"/>
  <c r="H545" i="10"/>
  <c r="H499" i="10"/>
  <c r="F511" i="10"/>
  <c r="F516" i="10"/>
  <c r="H519" i="10"/>
  <c r="BX52" i="10"/>
  <c r="BX67" i="10" s="1"/>
  <c r="BP52" i="10"/>
  <c r="BP67" i="10" s="1"/>
  <c r="BH52" i="10"/>
  <c r="BH67" i="10" s="1"/>
  <c r="AZ52" i="10"/>
  <c r="AZ67" i="10" s="1"/>
  <c r="AR52" i="10"/>
  <c r="AR67" i="10" s="1"/>
  <c r="AJ52" i="10"/>
  <c r="AJ67" i="10" s="1"/>
  <c r="AB52" i="10"/>
  <c r="AB67" i="10" s="1"/>
  <c r="AB71" i="10" s="1"/>
  <c r="T52" i="10"/>
  <c r="T67" i="10" s="1"/>
  <c r="M52" i="10"/>
  <c r="M67" i="10" s="1"/>
  <c r="H52" i="10"/>
  <c r="H67" i="10" s="1"/>
  <c r="D52" i="10"/>
  <c r="D67" i="10" s="1"/>
  <c r="CC52" i="10"/>
  <c r="CC67" i="10" s="1"/>
  <c r="BU52" i="10"/>
  <c r="BU67" i="10" s="1"/>
  <c r="BM52" i="10"/>
  <c r="BM67" i="10" s="1"/>
  <c r="BE52" i="10"/>
  <c r="BE67" i="10" s="1"/>
  <c r="AW52" i="10"/>
  <c r="AW67" i="10" s="1"/>
  <c r="AO52" i="10"/>
  <c r="AO67" i="10" s="1"/>
  <c r="AG52" i="10"/>
  <c r="AG67" i="10" s="1"/>
  <c r="Y52" i="10"/>
  <c r="Y67" i="10" s="1"/>
  <c r="Q52" i="10"/>
  <c r="Q67" i="10" s="1"/>
  <c r="L52" i="10"/>
  <c r="L67" i="10" s="1"/>
  <c r="G52" i="10"/>
  <c r="G67" i="10" s="1"/>
  <c r="G71" i="10" s="1"/>
  <c r="C52" i="10"/>
  <c r="C67" i="10" s="1"/>
  <c r="H505" i="10"/>
  <c r="F505" i="10"/>
  <c r="H513" i="10"/>
  <c r="F513" i="10"/>
  <c r="C48" i="10"/>
  <c r="C62" i="10" s="1"/>
  <c r="H48" i="10"/>
  <c r="H62" i="10" s="1"/>
  <c r="N48" i="10"/>
  <c r="N62" i="10" s="1"/>
  <c r="N71" i="10" s="1"/>
  <c r="B507" i="1" s="1"/>
  <c r="S48" i="10"/>
  <c r="S62" i="10" s="1"/>
  <c r="X48" i="10"/>
  <c r="X62" i="10" s="1"/>
  <c r="AD48" i="10"/>
  <c r="AD62" i="10" s="1"/>
  <c r="AD71" i="10" s="1"/>
  <c r="B523" i="1" s="1"/>
  <c r="AI48" i="10"/>
  <c r="AI62" i="10" s="1"/>
  <c r="AN48" i="10"/>
  <c r="AN62" i="10" s="1"/>
  <c r="AT48" i="10"/>
  <c r="AT62" i="10" s="1"/>
  <c r="AY48" i="10"/>
  <c r="AY62" i="10" s="1"/>
  <c r="BD48" i="10"/>
  <c r="BD62" i="10" s="1"/>
  <c r="BD71" i="10" s="1"/>
  <c r="B549" i="1" s="1"/>
  <c r="BJ48" i="10"/>
  <c r="BJ62" i="10" s="1"/>
  <c r="BO48" i="10"/>
  <c r="BO62" i="10" s="1"/>
  <c r="BW48" i="10"/>
  <c r="BW62" i="10" s="1"/>
  <c r="K52" i="10"/>
  <c r="K67" i="10" s="1"/>
  <c r="K71" i="10" s="1"/>
  <c r="X52" i="10"/>
  <c r="X67" i="10" s="1"/>
  <c r="AN52" i="10"/>
  <c r="AN67" i="10" s="1"/>
  <c r="BD52" i="10"/>
  <c r="BD67" i="10" s="1"/>
  <c r="BT52" i="10"/>
  <c r="BT67" i="10" s="1"/>
  <c r="D463" i="10"/>
  <c r="D292" i="10"/>
  <c r="D341" i="10" s="1"/>
  <c r="C481" i="10" s="1"/>
  <c r="B463" i="10"/>
  <c r="D361" i="10"/>
  <c r="D48" i="10"/>
  <c r="D62" i="10" s="1"/>
  <c r="D71" i="10" s="1"/>
  <c r="B497" i="1" s="1"/>
  <c r="J48" i="10"/>
  <c r="J62" i="10" s="1"/>
  <c r="J71" i="10" s="1"/>
  <c r="B503" i="1" s="1"/>
  <c r="O48" i="10"/>
  <c r="O62" i="10" s="1"/>
  <c r="T48" i="10"/>
  <c r="T62" i="10" s="1"/>
  <c r="T71" i="10" s="1"/>
  <c r="B513" i="1" s="1"/>
  <c r="Z48" i="10"/>
  <c r="Z62" i="10" s="1"/>
  <c r="AE48" i="10"/>
  <c r="AE62" i="10" s="1"/>
  <c r="AJ48" i="10"/>
  <c r="AJ62" i="10" s="1"/>
  <c r="AJ71" i="10" s="1"/>
  <c r="B529" i="1" s="1"/>
  <c r="AP48" i="10"/>
  <c r="AP62" i="10" s="1"/>
  <c r="AU48" i="10"/>
  <c r="AU62" i="10" s="1"/>
  <c r="AZ48" i="10"/>
  <c r="AZ62" i="10" s="1"/>
  <c r="AZ71" i="10" s="1"/>
  <c r="B545" i="1" s="1"/>
  <c r="BF48" i="10"/>
  <c r="BF62" i="10" s="1"/>
  <c r="BK48" i="10"/>
  <c r="BK62" i="10" s="1"/>
  <c r="BR48" i="10"/>
  <c r="BR62" i="10" s="1"/>
  <c r="E52" i="10"/>
  <c r="E67" i="10" s="1"/>
  <c r="O52" i="10"/>
  <c r="O67" i="10" s="1"/>
  <c r="AC52" i="10"/>
  <c r="AC67" i="10" s="1"/>
  <c r="AS52" i="10"/>
  <c r="AS67" i="10" s="1"/>
  <c r="BI52" i="10"/>
  <c r="BI67" i="10" s="1"/>
  <c r="BY52" i="10"/>
  <c r="BY67" i="10" s="1"/>
  <c r="F525" i="10"/>
  <c r="H525" i="10"/>
  <c r="L71" i="10"/>
  <c r="B505" i="1" s="1"/>
  <c r="AR71" i="10"/>
  <c r="B537" i="1" s="1"/>
  <c r="BH71" i="10"/>
  <c r="B553" i="1" s="1"/>
  <c r="P71" i="10"/>
  <c r="B509" i="1" s="1"/>
  <c r="F52" i="10"/>
  <c r="F67" i="10" s="1"/>
  <c r="F71" i="10" s="1"/>
  <c r="P52" i="10"/>
  <c r="P67" i="10" s="1"/>
  <c r="AF52" i="10"/>
  <c r="AF67" i="10" s="1"/>
  <c r="AF71" i="10" s="1"/>
  <c r="AV52" i="10"/>
  <c r="AV67" i="10" s="1"/>
  <c r="AV71" i="10" s="1"/>
  <c r="BL52" i="10"/>
  <c r="BL67" i="10" s="1"/>
  <c r="BL71" i="10" s="1"/>
  <c r="CB52" i="10"/>
  <c r="CB67" i="10" s="1"/>
  <c r="CC48" i="10"/>
  <c r="CC62" i="10" s="1"/>
  <c r="CC71" i="10" s="1"/>
  <c r="B574" i="1" s="1"/>
  <c r="BY48" i="10"/>
  <c r="BY62" i="10" s="1"/>
  <c r="BU48" i="10"/>
  <c r="BU62" i="10" s="1"/>
  <c r="BU71" i="10" s="1"/>
  <c r="B566" i="1" s="1"/>
  <c r="BQ48" i="10"/>
  <c r="BQ62" i="10" s="1"/>
  <c r="BQ71" i="10" s="1"/>
  <c r="B562" i="1" s="1"/>
  <c r="BM48" i="10"/>
  <c r="BM62" i="10" s="1"/>
  <c r="BI48" i="10"/>
  <c r="BI62" i="10" s="1"/>
  <c r="BI71" i="10" s="1"/>
  <c r="B554" i="1" s="1"/>
  <c r="BE48" i="10"/>
  <c r="BE62" i="10" s="1"/>
  <c r="BE71" i="10" s="1"/>
  <c r="B550" i="1" s="1"/>
  <c r="BA48" i="10"/>
  <c r="BA62" i="10" s="1"/>
  <c r="BA71" i="10" s="1"/>
  <c r="B546" i="1" s="1"/>
  <c r="AW48" i="10"/>
  <c r="AW62" i="10" s="1"/>
  <c r="AW71" i="10" s="1"/>
  <c r="B542" i="1" s="1"/>
  <c r="AS48" i="10"/>
  <c r="AS62" i="10" s="1"/>
  <c r="AS71" i="10" s="1"/>
  <c r="B538" i="1" s="1"/>
  <c r="AO48" i="10"/>
  <c r="AO62" i="10" s="1"/>
  <c r="AO71" i="10" s="1"/>
  <c r="B534" i="1" s="1"/>
  <c r="AK48" i="10"/>
  <c r="AK62" i="10" s="1"/>
  <c r="AK71" i="10" s="1"/>
  <c r="B530" i="1" s="1"/>
  <c r="AG48" i="10"/>
  <c r="AG62" i="10" s="1"/>
  <c r="AC48" i="10"/>
  <c r="AC62" i="10" s="1"/>
  <c r="AC71" i="10" s="1"/>
  <c r="B522" i="1" s="1"/>
  <c r="Y48" i="10"/>
  <c r="Y62" i="10" s="1"/>
  <c r="Y71" i="10" s="1"/>
  <c r="U48" i="10"/>
  <c r="U62" i="10" s="1"/>
  <c r="U71" i="10" s="1"/>
  <c r="Q48" i="10"/>
  <c r="Q62" i="10" s="1"/>
  <c r="Q71" i="10" s="1"/>
  <c r="M48" i="10"/>
  <c r="M62" i="10" s="1"/>
  <c r="M71" i="10" s="1"/>
  <c r="I48" i="10"/>
  <c r="I62" i="10" s="1"/>
  <c r="I71" i="10" s="1"/>
  <c r="E48" i="10"/>
  <c r="E62" i="10" s="1"/>
  <c r="C427" i="10"/>
  <c r="CB48" i="10"/>
  <c r="CB62" i="10" s="1"/>
  <c r="CB71" i="10" s="1"/>
  <c r="B573" i="1" s="1"/>
  <c r="BX48" i="10"/>
  <c r="BX62" i="10" s="1"/>
  <c r="BX71" i="10" s="1"/>
  <c r="B569" i="1" s="1"/>
  <c r="BT48" i="10"/>
  <c r="BT62" i="10" s="1"/>
  <c r="BP48" i="10"/>
  <c r="BP62" i="10" s="1"/>
  <c r="F506" i="10"/>
  <c r="H510" i="10"/>
  <c r="E139" i="10"/>
  <c r="C415" i="10" s="1"/>
  <c r="E138" i="10"/>
  <c r="C414" i="10" s="1"/>
  <c r="C473" i="10"/>
  <c r="D330" i="10"/>
  <c r="D339" i="10" s="1"/>
  <c r="C482" i="10" s="1"/>
  <c r="F514" i="10"/>
  <c r="F522" i="10"/>
  <c r="B575" i="1"/>
  <c r="CE62" i="10"/>
  <c r="C71" i="10"/>
  <c r="B496" i="1" s="1"/>
  <c r="C669" i="10"/>
  <c r="C497" i="10"/>
  <c r="G497" i="10" s="1"/>
  <c r="C685" i="10"/>
  <c r="C513" i="10"/>
  <c r="G513" i="10" s="1"/>
  <c r="C628" i="10"/>
  <c r="C545" i="10"/>
  <c r="G545" i="10" s="1"/>
  <c r="C569" i="10"/>
  <c r="C509" i="10"/>
  <c r="G509" i="10" s="1"/>
  <c r="C529" i="10"/>
  <c r="C636" i="10"/>
  <c r="C553" i="10"/>
  <c r="Z71" i="10"/>
  <c r="B519" i="1" s="1"/>
  <c r="AT71" i="10"/>
  <c r="B539" i="1" s="1"/>
  <c r="BF71" i="10"/>
  <c r="B551" i="1" s="1"/>
  <c r="C694" i="10"/>
  <c r="C522" i="10"/>
  <c r="G522" i="10" s="1"/>
  <c r="C702" i="10"/>
  <c r="C530" i="10"/>
  <c r="G530" i="10" s="1"/>
  <c r="C534" i="10"/>
  <c r="G534" i="10" s="1"/>
  <c r="C631" i="10"/>
  <c r="C542" i="10"/>
  <c r="C630" i="10"/>
  <c r="C546" i="10"/>
  <c r="G546" i="10" s="1"/>
  <c r="C550" i="10"/>
  <c r="C623" i="10"/>
  <c r="C562" i="10"/>
  <c r="C566" i="10"/>
  <c r="C620" i="10"/>
  <c r="C574" i="10"/>
  <c r="D438" i="10"/>
  <c r="D242" i="10"/>
  <c r="B448" i="10" s="1"/>
  <c r="C502" i="10"/>
  <c r="G502" i="10" s="1"/>
  <c r="CE47" i="10"/>
  <c r="CA52" i="10"/>
  <c r="CA67" i="10" s="1"/>
  <c r="CA71" i="10" s="1"/>
  <c r="B572" i="1" s="1"/>
  <c r="BW52" i="10"/>
  <c r="BW67" i="10" s="1"/>
  <c r="BW71" i="10" s="1"/>
  <c r="B568" i="1" s="1"/>
  <c r="BS52" i="10"/>
  <c r="BS67" i="10" s="1"/>
  <c r="BS71" i="10" s="1"/>
  <c r="B564" i="1" s="1"/>
  <c r="BO52" i="10"/>
  <c r="BO67" i="10" s="1"/>
  <c r="BO71" i="10" s="1"/>
  <c r="B560" i="1" s="1"/>
  <c r="BK52" i="10"/>
  <c r="BK67" i="10" s="1"/>
  <c r="BK71" i="10" s="1"/>
  <c r="B556" i="1" s="1"/>
  <c r="BG52" i="10"/>
  <c r="BG67" i="10" s="1"/>
  <c r="BG71" i="10" s="1"/>
  <c r="B552" i="1" s="1"/>
  <c r="BC52" i="10"/>
  <c r="BC67" i="10" s="1"/>
  <c r="BC71" i="10" s="1"/>
  <c r="B548" i="1" s="1"/>
  <c r="AY52" i="10"/>
  <c r="AY67" i="10" s="1"/>
  <c r="AU52" i="10"/>
  <c r="AU67" i="10" s="1"/>
  <c r="AU71" i="10" s="1"/>
  <c r="B540" i="1" s="1"/>
  <c r="AQ52" i="10"/>
  <c r="AQ67" i="10" s="1"/>
  <c r="AQ71" i="10" s="1"/>
  <c r="B536" i="1" s="1"/>
  <c r="AM52" i="10"/>
  <c r="AM67" i="10" s="1"/>
  <c r="AM71" i="10" s="1"/>
  <c r="B532" i="1" s="1"/>
  <c r="AI52" i="10"/>
  <c r="AI67" i="10" s="1"/>
  <c r="AE52" i="10"/>
  <c r="AE67" i="10" s="1"/>
  <c r="AA52" i="10"/>
  <c r="AA67" i="10" s="1"/>
  <c r="AA71" i="10" s="1"/>
  <c r="B520" i="1" s="1"/>
  <c r="W52" i="10"/>
  <c r="W67" i="10" s="1"/>
  <c r="W71" i="10" s="1"/>
  <c r="B516" i="1" s="1"/>
  <c r="S52" i="10"/>
  <c r="S67" i="10" s="1"/>
  <c r="S71" i="10" s="1"/>
  <c r="B512" i="1" s="1"/>
  <c r="BZ52" i="10"/>
  <c r="BZ67" i="10" s="1"/>
  <c r="BZ71" i="10" s="1"/>
  <c r="B571" i="1" s="1"/>
  <c r="BV52" i="10"/>
  <c r="BV67" i="10" s="1"/>
  <c r="BV71" i="10" s="1"/>
  <c r="B567" i="1" s="1"/>
  <c r="BR52" i="10"/>
  <c r="BR67" i="10" s="1"/>
  <c r="BR71" i="10" s="1"/>
  <c r="B563" i="1" s="1"/>
  <c r="BN52" i="10"/>
  <c r="BN67" i="10" s="1"/>
  <c r="BN71" i="10" s="1"/>
  <c r="B559" i="1" s="1"/>
  <c r="BJ52" i="10"/>
  <c r="BJ67" i="10" s="1"/>
  <c r="BJ71" i="10" s="1"/>
  <c r="B555" i="1" s="1"/>
  <c r="BF52" i="10"/>
  <c r="BF67" i="10" s="1"/>
  <c r="BB52" i="10"/>
  <c r="BB67" i="10" s="1"/>
  <c r="BB71" i="10" s="1"/>
  <c r="B547" i="1" s="1"/>
  <c r="AX52" i="10"/>
  <c r="AX67" i="10" s="1"/>
  <c r="AX71" i="10" s="1"/>
  <c r="B543" i="1" s="1"/>
  <c r="AT52" i="10"/>
  <c r="AT67" i="10" s="1"/>
  <c r="AP52" i="10"/>
  <c r="AP67" i="10" s="1"/>
  <c r="AP71" i="10" s="1"/>
  <c r="B535" i="1" s="1"/>
  <c r="AL52" i="10"/>
  <c r="AL67" i="10" s="1"/>
  <c r="AL71" i="10" s="1"/>
  <c r="B531" i="1" s="1"/>
  <c r="AH52" i="10"/>
  <c r="AH67" i="10" s="1"/>
  <c r="AH71" i="10" s="1"/>
  <c r="B527" i="1" s="1"/>
  <c r="AD52" i="10"/>
  <c r="AD67" i="10" s="1"/>
  <c r="Z52" i="10"/>
  <c r="Z67" i="10" s="1"/>
  <c r="V52" i="10"/>
  <c r="V67" i="10" s="1"/>
  <c r="V71" i="10" s="1"/>
  <c r="B515" i="1" s="1"/>
  <c r="R52" i="10"/>
  <c r="R67" i="10" s="1"/>
  <c r="R71" i="10" s="1"/>
  <c r="B511" i="1" s="1"/>
  <c r="N52" i="10"/>
  <c r="N67" i="10" s="1"/>
  <c r="J52" i="10"/>
  <c r="J67" i="10" s="1"/>
  <c r="B440" i="10"/>
  <c r="F507" i="10"/>
  <c r="C510" i="10"/>
  <c r="G510" i="10" s="1"/>
  <c r="F529" i="10"/>
  <c r="CE75" i="10"/>
  <c r="G612" i="10"/>
  <c r="CF77" i="10"/>
  <c r="D390" i="10"/>
  <c r="B441" i="10" s="1"/>
  <c r="C430" i="10"/>
  <c r="B476" i="10"/>
  <c r="F497" i="10"/>
  <c r="F501" i="10"/>
  <c r="F523" i="10"/>
  <c r="F527" i="10"/>
  <c r="D465" i="10"/>
  <c r="E204" i="10"/>
  <c r="C476" i="10" s="1"/>
  <c r="B465" i="10"/>
  <c r="D368" i="10"/>
  <c r="D373" i="10" s="1"/>
  <c r="C514" i="10"/>
  <c r="F531" i="10"/>
  <c r="C204" i="10"/>
  <c r="H535" i="10"/>
  <c r="H539" i="10"/>
  <c r="H496" i="10"/>
  <c r="H500" i="10"/>
  <c r="H504" i="10"/>
  <c r="H508" i="10"/>
  <c r="F512" i="10"/>
  <c r="H520" i="10"/>
  <c r="H522" i="10"/>
  <c r="H530" i="10"/>
  <c r="H534" i="10"/>
  <c r="H538" i="10"/>
  <c r="B557" i="1" l="1"/>
  <c r="C557" i="10"/>
  <c r="C637" i="10"/>
  <c r="B499" i="1"/>
  <c r="C499" i="10"/>
  <c r="G499" i="10" s="1"/>
  <c r="C671" i="10"/>
  <c r="B541" i="1"/>
  <c r="C713" i="10"/>
  <c r="C541" i="10"/>
  <c r="B521" i="1"/>
  <c r="C693" i="10"/>
  <c r="C521" i="10"/>
  <c r="B525" i="1"/>
  <c r="C525" i="10"/>
  <c r="G525" i="10" s="1"/>
  <c r="C697" i="10"/>
  <c r="B504" i="1"/>
  <c r="C504" i="10"/>
  <c r="G504" i="10" s="1"/>
  <c r="C676" i="10"/>
  <c r="B500" i="1"/>
  <c r="C500" i="10"/>
  <c r="G500" i="10" s="1"/>
  <c r="C672" i="10"/>
  <c r="C641" i="10"/>
  <c r="C701" i="10"/>
  <c r="H71" i="10"/>
  <c r="AE71" i="10"/>
  <c r="B524" i="1" s="1"/>
  <c r="C554" i="10"/>
  <c r="C538" i="10"/>
  <c r="G538" i="10" s="1"/>
  <c r="C573" i="10"/>
  <c r="C549" i="10"/>
  <c r="C537" i="10"/>
  <c r="H537" i="10" s="1"/>
  <c r="C505" i="10"/>
  <c r="G505" i="10" s="1"/>
  <c r="BP71" i="10"/>
  <c r="C682" i="10"/>
  <c r="B510" i="1"/>
  <c r="AG71" i="10"/>
  <c r="BM71" i="10"/>
  <c r="X71" i="10"/>
  <c r="C674" i="10"/>
  <c r="B502" i="1"/>
  <c r="C690" i="10"/>
  <c r="B518" i="1"/>
  <c r="O71" i="10"/>
  <c r="C614" i="10"/>
  <c r="D615" i="10" s="1"/>
  <c r="C706" i="10"/>
  <c r="C681" i="10"/>
  <c r="C644" i="10"/>
  <c r="C678" i="10"/>
  <c r="B506" i="1"/>
  <c r="BY71" i="10"/>
  <c r="C518" i="10"/>
  <c r="H518" i="10" s="1"/>
  <c r="C506" i="10"/>
  <c r="G506" i="10" s="1"/>
  <c r="AI71" i="10"/>
  <c r="B528" i="1" s="1"/>
  <c r="AY71" i="10"/>
  <c r="B544" i="1" s="1"/>
  <c r="CE48" i="10"/>
  <c r="H509" i="10"/>
  <c r="C634" i="10"/>
  <c r="C710" i="10"/>
  <c r="C622" i="10"/>
  <c r="C624" i="10"/>
  <c r="C709" i="10"/>
  <c r="C677" i="10"/>
  <c r="BT71" i="10"/>
  <c r="E71" i="10"/>
  <c r="C686" i="10"/>
  <c r="B514" i="1"/>
  <c r="AN71" i="10"/>
  <c r="C683" i="10"/>
  <c r="C511" i="10"/>
  <c r="C616" i="10"/>
  <c r="C543" i="10"/>
  <c r="C684" i="10"/>
  <c r="C512" i="10"/>
  <c r="G512" i="10" s="1"/>
  <c r="C544" i="10"/>
  <c r="C625" i="10"/>
  <c r="C703" i="10"/>
  <c r="C531" i="10"/>
  <c r="G531" i="10" s="1"/>
  <c r="C626" i="10"/>
  <c r="C563" i="10"/>
  <c r="C704" i="10"/>
  <c r="C532" i="10"/>
  <c r="G532" i="10" s="1"/>
  <c r="C642" i="10"/>
  <c r="C567" i="10"/>
  <c r="C692" i="10"/>
  <c r="C520" i="10"/>
  <c r="G520" i="10" s="1"/>
  <c r="C552" i="10"/>
  <c r="C618" i="10"/>
  <c r="C643" i="10"/>
  <c r="C568" i="10"/>
  <c r="C699" i="10"/>
  <c r="C527" i="10"/>
  <c r="G527" i="10" s="1"/>
  <c r="C619" i="10"/>
  <c r="C559" i="10"/>
  <c r="C700" i="10"/>
  <c r="C528" i="10"/>
  <c r="G528" i="10" s="1"/>
  <c r="C627" i="10"/>
  <c r="C560" i="10"/>
  <c r="C687" i="10"/>
  <c r="C515" i="10"/>
  <c r="G515" i="10" s="1"/>
  <c r="C632" i="10"/>
  <c r="C547" i="10"/>
  <c r="C688" i="10"/>
  <c r="C516" i="10"/>
  <c r="C696" i="10"/>
  <c r="C635" i="10"/>
  <c r="C556" i="10"/>
  <c r="C647" i="10"/>
  <c r="C572" i="10"/>
  <c r="K612" i="10"/>
  <c r="C465" i="10"/>
  <c r="C695" i="10"/>
  <c r="C523" i="10"/>
  <c r="G523" i="10" s="1"/>
  <c r="C639" i="10"/>
  <c r="C564" i="10"/>
  <c r="C633" i="10"/>
  <c r="C548" i="10"/>
  <c r="H514" i="10"/>
  <c r="G514" i="10"/>
  <c r="C646" i="10"/>
  <c r="C571" i="10"/>
  <c r="C691" i="10"/>
  <c r="C519" i="10"/>
  <c r="G519" i="10" s="1"/>
  <c r="C708" i="10"/>
  <c r="C536" i="10"/>
  <c r="G536" i="10" s="1"/>
  <c r="G529" i="10"/>
  <c r="H529" i="10"/>
  <c r="C428" i="10"/>
  <c r="D391" i="10"/>
  <c r="D393" i="10" s="1"/>
  <c r="D396" i="10" s="1"/>
  <c r="CE52" i="10"/>
  <c r="G518" i="10"/>
  <c r="H506" i="10"/>
  <c r="C711" i="10"/>
  <c r="C539" i="10"/>
  <c r="G539" i="10" s="1"/>
  <c r="C679" i="10"/>
  <c r="C507" i="10"/>
  <c r="C668" i="10"/>
  <c r="C496" i="10"/>
  <c r="G496" i="10" s="1"/>
  <c r="C629" i="10"/>
  <c r="C551" i="10"/>
  <c r="C707" i="10"/>
  <c r="C535" i="10"/>
  <c r="G535" i="10" s="1"/>
  <c r="C675" i="10"/>
  <c r="C503" i="10"/>
  <c r="G503" i="10" s="1"/>
  <c r="G537" i="10"/>
  <c r="G521" i="10"/>
  <c r="H521" i="10"/>
  <c r="C712" i="10"/>
  <c r="C540" i="10"/>
  <c r="G540" i="10" s="1"/>
  <c r="CE67" i="10"/>
  <c r="C433" i="10" s="1"/>
  <c r="G550" i="10"/>
  <c r="H550" i="10" s="1"/>
  <c r="C617" i="10"/>
  <c r="C555" i="10"/>
  <c r="CE71" i="10" l="1"/>
  <c r="C716" i="10" s="1"/>
  <c r="B570" i="1"/>
  <c r="C645" i="10"/>
  <c r="C570" i="10"/>
  <c r="C524" i="10"/>
  <c r="B558" i="1"/>
  <c r="C638" i="10"/>
  <c r="C558" i="10"/>
  <c r="B561" i="1"/>
  <c r="C621" i="10"/>
  <c r="C561" i="10"/>
  <c r="B501" i="1"/>
  <c r="C673" i="10"/>
  <c r="C501" i="10"/>
  <c r="G501" i="10" s="1"/>
  <c r="C670" i="10"/>
  <c r="B498" i="1"/>
  <c r="C498" i="10"/>
  <c r="B526" i="1"/>
  <c r="C526" i="10"/>
  <c r="C698" i="10"/>
  <c r="B533" i="1"/>
  <c r="C705" i="10"/>
  <c r="C533" i="10"/>
  <c r="G533" i="10" s="1"/>
  <c r="B565" i="1"/>
  <c r="C565" i="10"/>
  <c r="C640" i="10"/>
  <c r="B508" i="1"/>
  <c r="C680" i="10"/>
  <c r="C508" i="10"/>
  <c r="G508" i="10" s="1"/>
  <c r="B517" i="1"/>
  <c r="C689" i="10"/>
  <c r="C517" i="10"/>
  <c r="H524" i="10"/>
  <c r="G524" i="10"/>
  <c r="G507" i="10"/>
  <c r="H507" i="10"/>
  <c r="C441" i="10"/>
  <c r="G516" i="10"/>
  <c r="H516" i="10"/>
  <c r="G511" i="10"/>
  <c r="H511" i="10"/>
  <c r="D710" i="10"/>
  <c r="D716" i="10"/>
  <c r="D711" i="10"/>
  <c r="D707" i="10"/>
  <c r="D703" i="10"/>
  <c r="D699" i="10"/>
  <c r="D695" i="10"/>
  <c r="D691" i="10"/>
  <c r="D687" i="10"/>
  <c r="D712" i="10"/>
  <c r="D713" i="10"/>
  <c r="D709" i="10"/>
  <c r="D705" i="10"/>
  <c r="D701" i="10"/>
  <c r="D697" i="10"/>
  <c r="D693" i="10"/>
  <c r="D689" i="10"/>
  <c r="D685" i="10"/>
  <c r="D704" i="10"/>
  <c r="D696" i="10"/>
  <c r="D688" i="10"/>
  <c r="D681" i="10"/>
  <c r="D677" i="10"/>
  <c r="D673" i="10"/>
  <c r="D669" i="10"/>
  <c r="D706" i="10"/>
  <c r="D698" i="10"/>
  <c r="D690" i="10"/>
  <c r="D682" i="10"/>
  <c r="D678" i="10"/>
  <c r="D674" i="10"/>
  <c r="D670" i="10"/>
  <c r="D647" i="10"/>
  <c r="D646" i="10"/>
  <c r="D700" i="10"/>
  <c r="D683" i="10"/>
  <c r="D675" i="10"/>
  <c r="D627" i="10"/>
  <c r="D694" i="10"/>
  <c r="D680" i="10"/>
  <c r="D672" i="10"/>
  <c r="D645" i="10"/>
  <c r="D629" i="10"/>
  <c r="D708" i="10"/>
  <c r="D692" i="10"/>
  <c r="D679" i="10"/>
  <c r="D671" i="10"/>
  <c r="D644" i="10"/>
  <c r="D643" i="10"/>
  <c r="D642" i="10"/>
  <c r="D641" i="10"/>
  <c r="D640" i="10"/>
  <c r="D639" i="10"/>
  <c r="D638" i="10"/>
  <c r="D637" i="10"/>
  <c r="D636" i="10"/>
  <c r="D635" i="10"/>
  <c r="D634" i="10"/>
  <c r="D633" i="10"/>
  <c r="D632" i="10"/>
  <c r="D631" i="10"/>
  <c r="D630" i="10"/>
  <c r="D625" i="10"/>
  <c r="D624" i="10"/>
  <c r="D702" i="10"/>
  <c r="D686" i="10"/>
  <c r="D684" i="10"/>
  <c r="D676" i="10"/>
  <c r="D668" i="10"/>
  <c r="D623" i="10"/>
  <c r="D619" i="10"/>
  <c r="D616" i="10"/>
  <c r="D628" i="10"/>
  <c r="D622" i="10"/>
  <c r="D618" i="10"/>
  <c r="D626" i="10"/>
  <c r="D621" i="10"/>
  <c r="D620" i="10"/>
  <c r="D617" i="10"/>
  <c r="G544" i="10"/>
  <c r="H544" i="10"/>
  <c r="E623" i="10"/>
  <c r="G526" i="10" l="1"/>
  <c r="H526" i="10"/>
  <c r="C648" i="10"/>
  <c r="M716" i="10" s="1"/>
  <c r="H498" i="10"/>
  <c r="G498" i="10"/>
  <c r="G517" i="10"/>
  <c r="H517" i="10"/>
  <c r="C715" i="10"/>
  <c r="E716" i="10"/>
  <c r="D715" i="10"/>
  <c r="E612" i="10"/>
  <c r="E712" i="10" s="1"/>
  <c r="E624" i="10" l="1"/>
  <c r="E699" i="10"/>
  <c r="E684" i="10"/>
  <c r="E631" i="10"/>
  <c r="E635" i="10"/>
  <c r="E639" i="10"/>
  <c r="E643" i="10"/>
  <c r="E691" i="10"/>
  <c r="E645" i="10"/>
  <c r="E671" i="10"/>
  <c r="E687" i="10"/>
  <c r="E647" i="10"/>
  <c r="E682" i="10"/>
  <c r="E686" i="10"/>
  <c r="E702" i="10"/>
  <c r="E713" i="10"/>
  <c r="E700" i="10"/>
  <c r="E711" i="10"/>
  <c r="E625" i="10"/>
  <c r="E628" i="10"/>
  <c r="E689" i="10"/>
  <c r="E632" i="10"/>
  <c r="E636" i="10"/>
  <c r="E640" i="10"/>
  <c r="E644" i="10"/>
  <c r="E707" i="10"/>
  <c r="E672" i="10"/>
  <c r="E675" i="10"/>
  <c r="E695" i="10"/>
  <c r="E670" i="10"/>
  <c r="E685" i="10"/>
  <c r="E690" i="10"/>
  <c r="E706" i="10"/>
  <c r="E688" i="10"/>
  <c r="E704" i="10"/>
  <c r="E673" i="10"/>
  <c r="E668" i="10"/>
  <c r="E705" i="10"/>
  <c r="E633" i="10"/>
  <c r="E637" i="10"/>
  <c r="E641" i="10"/>
  <c r="E669" i="10"/>
  <c r="E626" i="10"/>
  <c r="E680" i="10"/>
  <c r="E679" i="10"/>
  <c r="E703" i="10"/>
  <c r="E674" i="10"/>
  <c r="E693" i="10"/>
  <c r="E694" i="10"/>
  <c r="E710" i="10"/>
  <c r="E692" i="10"/>
  <c r="E708" i="10"/>
  <c r="E627" i="10"/>
  <c r="E681" i="10"/>
  <c r="E676" i="10"/>
  <c r="E630" i="10"/>
  <c r="E634" i="10"/>
  <c r="E638" i="10"/>
  <c r="E642" i="10"/>
  <c r="E677" i="10"/>
  <c r="E629" i="10"/>
  <c r="E697" i="10"/>
  <c r="E683" i="10"/>
  <c r="E646" i="10"/>
  <c r="E678" i="10"/>
  <c r="E701" i="10"/>
  <c r="E698" i="10"/>
  <c r="E709" i="10"/>
  <c r="E696" i="10"/>
  <c r="E715" i="10" l="1"/>
  <c r="F624" i="10"/>
  <c r="F712" i="10" l="1"/>
  <c r="F713" i="10"/>
  <c r="F709" i="10"/>
  <c r="F705" i="10"/>
  <c r="F701" i="10"/>
  <c r="F697" i="10"/>
  <c r="F693" i="10"/>
  <c r="F689" i="10"/>
  <c r="F685" i="10"/>
  <c r="F710" i="10"/>
  <c r="F716" i="10"/>
  <c r="F711" i="10"/>
  <c r="F707" i="10"/>
  <c r="F703" i="10"/>
  <c r="F699" i="10"/>
  <c r="F695" i="10"/>
  <c r="F691" i="10"/>
  <c r="F687" i="10"/>
  <c r="F706" i="10"/>
  <c r="F698" i="10"/>
  <c r="F690" i="10"/>
  <c r="F683" i="10"/>
  <c r="F679" i="10"/>
  <c r="F675" i="10"/>
  <c r="F671" i="10"/>
  <c r="F708" i="10"/>
  <c r="F700" i="10"/>
  <c r="F692" i="10"/>
  <c r="F684" i="10"/>
  <c r="F680" i="10"/>
  <c r="F676" i="10"/>
  <c r="F672" i="10"/>
  <c r="F668" i="10"/>
  <c r="F694" i="10"/>
  <c r="F677" i="10"/>
  <c r="F669" i="10"/>
  <c r="F644" i="10"/>
  <c r="F643" i="10"/>
  <c r="F642" i="10"/>
  <c r="F641" i="10"/>
  <c r="F640" i="10"/>
  <c r="F639" i="10"/>
  <c r="F638" i="10"/>
  <c r="F637" i="10"/>
  <c r="F636" i="10"/>
  <c r="F635" i="10"/>
  <c r="F634" i="10"/>
  <c r="F633" i="10"/>
  <c r="F632" i="10"/>
  <c r="F631" i="10"/>
  <c r="F630" i="10"/>
  <c r="F625" i="10"/>
  <c r="F704" i="10"/>
  <c r="F688" i="10"/>
  <c r="F682" i="10"/>
  <c r="F674" i="10"/>
  <c r="F702" i="10"/>
  <c r="F686" i="10"/>
  <c r="F681" i="10"/>
  <c r="F673" i="10"/>
  <c r="F627" i="10"/>
  <c r="F696" i="10"/>
  <c r="F678" i="10"/>
  <c r="F670" i="10"/>
  <c r="F647" i="10"/>
  <c r="F646" i="10"/>
  <c r="F645" i="10"/>
  <c r="F628" i="10"/>
  <c r="F626" i="10"/>
  <c r="F629" i="10"/>
  <c r="F715" i="10" l="1"/>
  <c r="G625" i="10"/>
  <c r="G713" i="10" l="1"/>
  <c r="G709" i="10"/>
  <c r="G710" i="10"/>
  <c r="G706" i="10"/>
  <c r="G702" i="10"/>
  <c r="G698" i="10"/>
  <c r="G694" i="10"/>
  <c r="G690" i="10"/>
  <c r="G686" i="10"/>
  <c r="G716" i="10"/>
  <c r="G711" i="10"/>
  <c r="G712" i="10"/>
  <c r="G708" i="10"/>
  <c r="G704" i="10"/>
  <c r="G700" i="10"/>
  <c r="G696" i="10"/>
  <c r="G692" i="10"/>
  <c r="G688" i="10"/>
  <c r="G703" i="10"/>
  <c r="G695" i="10"/>
  <c r="G687" i="10"/>
  <c r="G684" i="10"/>
  <c r="G680" i="10"/>
  <c r="G676" i="10"/>
  <c r="G672" i="10"/>
  <c r="G668" i="10"/>
  <c r="G705" i="10"/>
  <c r="G697" i="10"/>
  <c r="G689" i="10"/>
  <c r="G681" i="10"/>
  <c r="G677" i="10"/>
  <c r="G673" i="10"/>
  <c r="G669" i="10"/>
  <c r="G707" i="10"/>
  <c r="G691" i="10"/>
  <c r="G682" i="10"/>
  <c r="G674" i="10"/>
  <c r="G628" i="10"/>
  <c r="G701" i="10"/>
  <c r="G685" i="10"/>
  <c r="G679" i="10"/>
  <c r="G671" i="10"/>
  <c r="G699" i="10"/>
  <c r="G678" i="10"/>
  <c r="G670" i="10"/>
  <c r="G647" i="10"/>
  <c r="G646" i="10"/>
  <c r="G645" i="10"/>
  <c r="G629" i="10"/>
  <c r="G626" i="10"/>
  <c r="G693" i="10"/>
  <c r="G683" i="10"/>
  <c r="G675" i="10"/>
  <c r="G644" i="10"/>
  <c r="G643" i="10"/>
  <c r="G642" i="10"/>
  <c r="G641" i="10"/>
  <c r="G640" i="10"/>
  <c r="G639" i="10"/>
  <c r="G638" i="10"/>
  <c r="G637" i="10"/>
  <c r="G636" i="10"/>
  <c r="G635" i="10"/>
  <c r="G634" i="10"/>
  <c r="G633" i="10"/>
  <c r="G632" i="10"/>
  <c r="G631" i="10"/>
  <c r="G630" i="10"/>
  <c r="G627" i="10"/>
  <c r="H628" i="10" l="1"/>
  <c r="G715" i="10"/>
  <c r="H710" i="10" l="1"/>
  <c r="H716" i="10"/>
  <c r="H711" i="10"/>
  <c r="H707" i="10"/>
  <c r="H703" i="10"/>
  <c r="H699" i="10"/>
  <c r="H695" i="10"/>
  <c r="H691" i="10"/>
  <c r="H687" i="10"/>
  <c r="H712" i="10"/>
  <c r="H713" i="10"/>
  <c r="H709" i="10"/>
  <c r="H705" i="10"/>
  <c r="H701" i="10"/>
  <c r="H697" i="10"/>
  <c r="H693" i="10"/>
  <c r="H689" i="10"/>
  <c r="H685" i="10"/>
  <c r="H708" i="10"/>
  <c r="H700" i="10"/>
  <c r="H692" i="10"/>
  <c r="H681" i="10"/>
  <c r="H677" i="10"/>
  <c r="H673" i="10"/>
  <c r="H669" i="10"/>
  <c r="H702" i="10"/>
  <c r="H694" i="10"/>
  <c r="H686" i="10"/>
  <c r="H682" i="10"/>
  <c r="H678" i="10"/>
  <c r="H674" i="10"/>
  <c r="H670" i="10"/>
  <c r="H647" i="10"/>
  <c r="H646" i="10"/>
  <c r="H645" i="10"/>
  <c r="H704" i="10"/>
  <c r="H688" i="10"/>
  <c r="H679" i="10"/>
  <c r="H671" i="10"/>
  <c r="H698" i="10"/>
  <c r="H684" i="10"/>
  <c r="H676" i="10"/>
  <c r="H668" i="10"/>
  <c r="H629" i="10"/>
  <c r="H696" i="10"/>
  <c r="H683" i="10"/>
  <c r="H675" i="10"/>
  <c r="H644" i="10"/>
  <c r="H643" i="10"/>
  <c r="H642" i="10"/>
  <c r="H641" i="10"/>
  <c r="H640" i="10"/>
  <c r="H639" i="10"/>
  <c r="H638" i="10"/>
  <c r="H637" i="10"/>
  <c r="H636" i="10"/>
  <c r="H635" i="10"/>
  <c r="H634" i="10"/>
  <c r="H633" i="10"/>
  <c r="H632" i="10"/>
  <c r="H631" i="10"/>
  <c r="H630" i="10"/>
  <c r="H706" i="10"/>
  <c r="H690" i="10"/>
  <c r="H680" i="10"/>
  <c r="H672" i="10"/>
  <c r="H715" i="10" l="1"/>
  <c r="I629" i="10"/>
  <c r="I716" i="10" l="1"/>
  <c r="I711" i="10"/>
  <c r="I712" i="10"/>
  <c r="I708" i="10"/>
  <c r="I704" i="10"/>
  <c r="I700" i="10"/>
  <c r="I696" i="10"/>
  <c r="I692" i="10"/>
  <c r="I688" i="10"/>
  <c r="I713" i="10"/>
  <c r="I709" i="10"/>
  <c r="I710" i="10"/>
  <c r="I706" i="10"/>
  <c r="I702" i="10"/>
  <c r="I698" i="10"/>
  <c r="I694" i="10"/>
  <c r="I690" i="10"/>
  <c r="I686" i="10"/>
  <c r="I705" i="10"/>
  <c r="I697" i="10"/>
  <c r="I689" i="10"/>
  <c r="I682" i="10"/>
  <c r="I678" i="10"/>
  <c r="I674" i="10"/>
  <c r="I670" i="10"/>
  <c r="I647" i="10"/>
  <c r="I646" i="10"/>
  <c r="I645" i="10"/>
  <c r="I707" i="10"/>
  <c r="I699" i="10"/>
  <c r="I691" i="10"/>
  <c r="I683" i="10"/>
  <c r="I679" i="10"/>
  <c r="I675" i="10"/>
  <c r="I671" i="10"/>
  <c r="I701" i="10"/>
  <c r="I685" i="10"/>
  <c r="I684" i="10"/>
  <c r="I676" i="10"/>
  <c r="I668" i="10"/>
  <c r="I695" i="10"/>
  <c r="I681" i="10"/>
  <c r="I673" i="10"/>
  <c r="I644" i="10"/>
  <c r="I643" i="10"/>
  <c r="I642" i="10"/>
  <c r="I641" i="10"/>
  <c r="I640" i="10"/>
  <c r="I639" i="10"/>
  <c r="I638" i="10"/>
  <c r="I637" i="10"/>
  <c r="I636" i="10"/>
  <c r="I635" i="10"/>
  <c r="I634" i="10"/>
  <c r="I633" i="10"/>
  <c r="I632" i="10"/>
  <c r="I631" i="10"/>
  <c r="I630" i="10"/>
  <c r="I693" i="10"/>
  <c r="I680" i="10"/>
  <c r="I672" i="10"/>
  <c r="I703" i="10"/>
  <c r="I687" i="10"/>
  <c r="I677" i="10"/>
  <c r="I669" i="10"/>
  <c r="I715" i="10" l="1"/>
  <c r="J630" i="10"/>
  <c r="J712" i="10" l="1"/>
  <c r="J713" i="10"/>
  <c r="J709" i="10"/>
  <c r="J705" i="10"/>
  <c r="J701" i="10"/>
  <c r="J697" i="10"/>
  <c r="J693" i="10"/>
  <c r="J689" i="10"/>
  <c r="J685" i="10"/>
  <c r="J710" i="10"/>
  <c r="J716" i="10"/>
  <c r="J711" i="10"/>
  <c r="J707" i="10"/>
  <c r="J703" i="10"/>
  <c r="J699" i="10"/>
  <c r="J695" i="10"/>
  <c r="J691" i="10"/>
  <c r="J687" i="10"/>
  <c r="J702" i="10"/>
  <c r="J694" i="10"/>
  <c r="J686" i="10"/>
  <c r="J683" i="10"/>
  <c r="J679" i="10"/>
  <c r="J675" i="10"/>
  <c r="J671" i="10"/>
  <c r="J704" i="10"/>
  <c r="J696" i="10"/>
  <c r="J688" i="10"/>
  <c r="J684" i="10"/>
  <c r="J680" i="10"/>
  <c r="J676" i="10"/>
  <c r="J672" i="10"/>
  <c r="J668" i="10"/>
  <c r="J698" i="10"/>
  <c r="J681" i="10"/>
  <c r="J673" i="10"/>
  <c r="J644" i="10"/>
  <c r="K644" i="10" s="1"/>
  <c r="J643" i="10"/>
  <c r="J642" i="10"/>
  <c r="J641" i="10"/>
  <c r="J640" i="10"/>
  <c r="J639" i="10"/>
  <c r="J638" i="10"/>
  <c r="J637" i="10"/>
  <c r="J636" i="10"/>
  <c r="J635" i="10"/>
  <c r="J634" i="10"/>
  <c r="J633" i="10"/>
  <c r="J632" i="10"/>
  <c r="J631" i="10"/>
  <c r="J715" i="10" s="1"/>
  <c r="J708" i="10"/>
  <c r="J692" i="10"/>
  <c r="J678" i="10"/>
  <c r="J670" i="10"/>
  <c r="J647" i="10"/>
  <c r="L647" i="10" s="1"/>
  <c r="J646" i="10"/>
  <c r="J645" i="10"/>
  <c r="J706" i="10"/>
  <c r="J690" i="10"/>
  <c r="J677" i="10"/>
  <c r="J669" i="10"/>
  <c r="J700" i="10"/>
  <c r="J682" i="10"/>
  <c r="J674" i="10"/>
  <c r="L710" i="10" l="1"/>
  <c r="M710" i="10" s="1"/>
  <c r="L716" i="10"/>
  <c r="L711" i="10"/>
  <c r="M711" i="10" s="1"/>
  <c r="L707" i="10"/>
  <c r="M707" i="10" s="1"/>
  <c r="L703" i="10"/>
  <c r="M703" i="10" s="1"/>
  <c r="L699" i="10"/>
  <c r="M699" i="10" s="1"/>
  <c r="L695" i="10"/>
  <c r="M695" i="10" s="1"/>
  <c r="L691" i="10"/>
  <c r="M691" i="10" s="1"/>
  <c r="L687" i="10"/>
  <c r="M687" i="10" s="1"/>
  <c r="L712" i="10"/>
  <c r="M712" i="10" s="1"/>
  <c r="L713" i="10"/>
  <c r="M713" i="10" s="1"/>
  <c r="L709" i="10"/>
  <c r="M709" i="10" s="1"/>
  <c r="L705" i="10"/>
  <c r="M705" i="10" s="1"/>
  <c r="L701" i="10"/>
  <c r="M701" i="10" s="1"/>
  <c r="L697" i="10"/>
  <c r="M697" i="10" s="1"/>
  <c r="L693" i="10"/>
  <c r="M693" i="10" s="1"/>
  <c r="L689" i="10"/>
  <c r="M689" i="10" s="1"/>
  <c r="L685" i="10"/>
  <c r="M685" i="10" s="1"/>
  <c r="L704" i="10"/>
  <c r="M704" i="10" s="1"/>
  <c r="L696" i="10"/>
  <c r="M696" i="10" s="1"/>
  <c r="L688" i="10"/>
  <c r="M688" i="10" s="1"/>
  <c r="L681" i="10"/>
  <c r="M681" i="10" s="1"/>
  <c r="L677" i="10"/>
  <c r="M677" i="10" s="1"/>
  <c r="L673" i="10"/>
  <c r="M673" i="10" s="1"/>
  <c r="L669" i="10"/>
  <c r="M669" i="10" s="1"/>
  <c r="L706" i="10"/>
  <c r="M706" i="10" s="1"/>
  <c r="L698" i="10"/>
  <c r="M698" i="10" s="1"/>
  <c r="L690" i="10"/>
  <c r="M690" i="10" s="1"/>
  <c r="L682" i="10"/>
  <c r="M682" i="10" s="1"/>
  <c r="L678" i="10"/>
  <c r="M678" i="10" s="1"/>
  <c r="L674" i="10"/>
  <c r="M674" i="10" s="1"/>
  <c r="L670" i="10"/>
  <c r="M670" i="10" s="1"/>
  <c r="L708" i="10"/>
  <c r="M708" i="10" s="1"/>
  <c r="L692" i="10"/>
  <c r="M692" i="10" s="1"/>
  <c r="L683" i="10"/>
  <c r="M683" i="10" s="1"/>
  <c r="L675" i="10"/>
  <c r="M675" i="10" s="1"/>
  <c r="L702" i="10"/>
  <c r="M702" i="10" s="1"/>
  <c r="L686" i="10"/>
  <c r="M686" i="10" s="1"/>
  <c r="L680" i="10"/>
  <c r="M680" i="10" s="1"/>
  <c r="L672" i="10"/>
  <c r="M672" i="10" s="1"/>
  <c r="L700" i="10"/>
  <c r="M700" i="10" s="1"/>
  <c r="L679" i="10"/>
  <c r="M679" i="10" s="1"/>
  <c r="L671" i="10"/>
  <c r="M671" i="10" s="1"/>
  <c r="L694" i="10"/>
  <c r="M694" i="10" s="1"/>
  <c r="L684" i="10"/>
  <c r="M684" i="10" s="1"/>
  <c r="L676" i="10"/>
  <c r="M676" i="10" s="1"/>
  <c r="L668" i="10"/>
  <c r="K713" i="10"/>
  <c r="K709" i="10"/>
  <c r="K710" i="10"/>
  <c r="K706" i="10"/>
  <c r="K702" i="10"/>
  <c r="K698" i="10"/>
  <c r="K694" i="10"/>
  <c r="K690" i="10"/>
  <c r="K686" i="10"/>
  <c r="K716" i="10"/>
  <c r="K711" i="10"/>
  <c r="K712" i="10"/>
  <c r="K708" i="10"/>
  <c r="K704" i="10"/>
  <c r="K700" i="10"/>
  <c r="K696" i="10"/>
  <c r="K692" i="10"/>
  <c r="K688" i="10"/>
  <c r="K707" i="10"/>
  <c r="K699" i="10"/>
  <c r="K691" i="10"/>
  <c r="K684" i="10"/>
  <c r="K680" i="10"/>
  <c r="K676" i="10"/>
  <c r="K672" i="10"/>
  <c r="K668" i="10"/>
  <c r="K715" i="10" s="1"/>
  <c r="K701" i="10"/>
  <c r="K693" i="10"/>
  <c r="K685" i="10"/>
  <c r="K681" i="10"/>
  <c r="K677" i="10"/>
  <c r="K673" i="10"/>
  <c r="K669" i="10"/>
  <c r="K695" i="10"/>
  <c r="K678" i="10"/>
  <c r="K670" i="10"/>
  <c r="K705" i="10"/>
  <c r="K689" i="10"/>
  <c r="K683" i="10"/>
  <c r="K675" i="10"/>
  <c r="K703" i="10"/>
  <c r="K687" i="10"/>
  <c r="K682" i="10"/>
  <c r="K674" i="10"/>
  <c r="K697" i="10"/>
  <c r="K679" i="10"/>
  <c r="K671" i="10"/>
  <c r="L715" i="10" l="1"/>
  <c r="M668" i="10"/>
  <c r="M715" i="10" s="1"/>
  <c r="O816" i="10" l="1"/>
  <c r="M816" i="10"/>
  <c r="L816" i="10"/>
  <c r="K816" i="10"/>
  <c r="J816" i="10"/>
  <c r="I816" i="10"/>
  <c r="H816" i="10"/>
  <c r="G816" i="10"/>
  <c r="F816" i="10"/>
  <c r="E816" i="10"/>
  <c r="D816" i="10"/>
  <c r="W812" i="10"/>
  <c r="W814" i="10"/>
  <c r="Y812" i="10"/>
  <c r="Y814" i="10" s="1"/>
  <c r="X812" i="10"/>
  <c r="X814" i="10" s="1"/>
  <c r="V812" i="10"/>
  <c r="V814" i="10" s="1"/>
  <c r="U812" i="10"/>
  <c r="U814" i="10" s="1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B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B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B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B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T733" i="10"/>
  <c r="S733" i="10"/>
  <c r="R733" i="10"/>
  <c r="Q733" i="10"/>
  <c r="P733" i="10"/>
  <c r="O733" i="10"/>
  <c r="M733" i="10"/>
  <c r="L733" i="10"/>
  <c r="K733" i="10"/>
  <c r="I733" i="10"/>
  <c r="H733" i="10"/>
  <c r="G733" i="10"/>
  <c r="F733" i="10"/>
  <c r="D733" i="10"/>
  <c r="C733" i="10"/>
  <c r="B733" i="10"/>
  <c r="A733" i="10"/>
  <c r="CF729" i="10"/>
  <c r="CE729" i="10"/>
  <c r="CD729" i="10"/>
  <c r="CC729" i="10"/>
  <c r="CB729" i="10"/>
  <c r="CA729" i="10"/>
  <c r="BZ729" i="10"/>
  <c r="BY729" i="10"/>
  <c r="BX729" i="10"/>
  <c r="BW729" i="10"/>
  <c r="BV729" i="10"/>
  <c r="BU729" i="10"/>
  <c r="BT729" i="10"/>
  <c r="BS729" i="10"/>
  <c r="BR729" i="10"/>
  <c r="BQ729" i="10"/>
  <c r="BP729" i="10"/>
  <c r="BO729" i="10"/>
  <c r="BN729" i="10"/>
  <c r="BM729" i="10"/>
  <c r="BL729" i="10"/>
  <c r="BK729" i="10"/>
  <c r="BJ729" i="10"/>
  <c r="BF729" i="10"/>
  <c r="BE729" i="10"/>
  <c r="BB729" i="10"/>
  <c r="BA729" i="10"/>
  <c r="AZ729" i="10"/>
  <c r="AY729" i="10"/>
  <c r="AX729" i="10"/>
  <c r="AW729" i="10"/>
  <c r="AV729" i="10"/>
  <c r="AU729" i="10"/>
  <c r="AT729" i="10"/>
  <c r="AS729" i="10"/>
  <c r="AR729" i="10"/>
  <c r="AQ729" i="10"/>
  <c r="AP729" i="10"/>
  <c r="AO729" i="10"/>
  <c r="AN729" i="10"/>
  <c r="AM729" i="10"/>
  <c r="AL729" i="10"/>
  <c r="AK729" i="10"/>
  <c r="AJ729" i="10"/>
  <c r="AI729" i="10"/>
  <c r="AH729" i="10"/>
  <c r="AG729" i="10"/>
  <c r="AF729" i="10"/>
  <c r="AE729" i="10"/>
  <c r="AD729" i="10"/>
  <c r="AC729" i="10"/>
  <c r="AB729" i="10"/>
  <c r="AA729" i="10"/>
  <c r="Z729" i="10"/>
  <c r="Y729" i="10"/>
  <c r="X729" i="10"/>
  <c r="W729" i="10"/>
  <c r="V729" i="10"/>
  <c r="U729" i="10"/>
  <c r="T729" i="10"/>
  <c r="S729" i="10"/>
  <c r="R729" i="10"/>
  <c r="Q729" i="10"/>
  <c r="P729" i="10"/>
  <c r="O729" i="10"/>
  <c r="N729" i="10"/>
  <c r="M729" i="10"/>
  <c r="L729" i="10"/>
  <c r="K729" i="10"/>
  <c r="J729" i="10"/>
  <c r="I729" i="10"/>
  <c r="H729" i="10"/>
  <c r="G729" i="10"/>
  <c r="F729" i="10"/>
  <c r="E729" i="10"/>
  <c r="D729" i="10"/>
  <c r="C729" i="10"/>
  <c r="B729" i="10"/>
  <c r="A729" i="10"/>
  <c r="BR725" i="10"/>
  <c r="BQ725" i="10"/>
  <c r="BP725" i="10"/>
  <c r="BO725" i="10"/>
  <c r="BN725" i="10"/>
  <c r="BM725" i="10"/>
  <c r="BL725" i="10"/>
  <c r="BK725" i="10"/>
  <c r="BJ725" i="10"/>
  <c r="BI725" i="10"/>
  <c r="BH725" i="10"/>
  <c r="BG725" i="10"/>
  <c r="BF725" i="10"/>
  <c r="BE725" i="10"/>
  <c r="BD725" i="10"/>
  <c r="BC725" i="10"/>
  <c r="BB725" i="10"/>
  <c r="BA725" i="10"/>
  <c r="AZ725" i="10"/>
  <c r="AY725" i="10"/>
  <c r="AX725" i="10"/>
  <c r="AW725" i="10"/>
  <c r="AV725" i="10"/>
  <c r="AU725" i="10"/>
  <c r="AT725" i="10"/>
  <c r="AS725" i="10"/>
  <c r="AR725" i="10"/>
  <c r="AQ725" i="10"/>
  <c r="AP725" i="10"/>
  <c r="AO725" i="10"/>
  <c r="AN725" i="10"/>
  <c r="AM725" i="10"/>
  <c r="AL725" i="10"/>
  <c r="AK725" i="10"/>
  <c r="AJ725" i="10"/>
  <c r="AI725" i="10"/>
  <c r="AH725" i="10"/>
  <c r="AG725" i="10"/>
  <c r="AF725" i="10"/>
  <c r="AE725" i="10"/>
  <c r="AD725" i="10"/>
  <c r="AC725" i="10"/>
  <c r="AB725" i="10"/>
  <c r="AA725" i="10"/>
  <c r="Z725" i="10"/>
  <c r="Y725" i="10"/>
  <c r="X725" i="10"/>
  <c r="W725" i="10"/>
  <c r="V725" i="10"/>
  <c r="U725" i="10"/>
  <c r="S725" i="10"/>
  <c r="R725" i="10"/>
  <c r="Q725" i="10"/>
  <c r="P725" i="10"/>
  <c r="O725" i="10"/>
  <c r="N725" i="10"/>
  <c r="M725" i="10"/>
  <c r="L725" i="10"/>
  <c r="K725" i="10"/>
  <c r="J725" i="10"/>
  <c r="I725" i="10"/>
  <c r="H725" i="10"/>
  <c r="G725" i="10"/>
  <c r="F725" i="10"/>
  <c r="E725" i="10"/>
  <c r="D725" i="10"/>
  <c r="C725" i="10"/>
  <c r="B725" i="10"/>
  <c r="A725" i="10"/>
  <c r="CC721" i="10"/>
  <c r="CB721" i="10"/>
  <c r="CA721" i="10"/>
  <c r="BZ721" i="10"/>
  <c r="BY721" i="10"/>
  <c r="BX721" i="10"/>
  <c r="BW721" i="10"/>
  <c r="BV721" i="10"/>
  <c r="BU721" i="10"/>
  <c r="BT721" i="10"/>
  <c r="BS721" i="10"/>
  <c r="BR721" i="10"/>
  <c r="BQ721" i="10"/>
  <c r="BP721" i="10"/>
  <c r="BO721" i="10"/>
  <c r="BN721" i="10"/>
  <c r="BM721" i="10"/>
  <c r="BL721" i="10"/>
  <c r="BK721" i="10"/>
  <c r="BJ721" i="10"/>
  <c r="BI721" i="10"/>
  <c r="BH721" i="10"/>
  <c r="BG721" i="10"/>
  <c r="BF721" i="10"/>
  <c r="BE721" i="10"/>
  <c r="BD721" i="10"/>
  <c r="BC721" i="10"/>
  <c r="BB721" i="10"/>
  <c r="BA721" i="10"/>
  <c r="AZ721" i="10"/>
  <c r="AY721" i="10"/>
  <c r="AX721" i="10"/>
  <c r="AW721" i="10"/>
  <c r="AV721" i="10"/>
  <c r="AR721" i="10"/>
  <c r="AQ721" i="10"/>
  <c r="AP721" i="10"/>
  <c r="AO721" i="10"/>
  <c r="AN721" i="10"/>
  <c r="AM721" i="10"/>
  <c r="AL721" i="10"/>
  <c r="AK721" i="10"/>
  <c r="AJ721" i="10"/>
  <c r="AI721" i="10"/>
  <c r="AH721" i="10"/>
  <c r="AG721" i="10"/>
  <c r="AF721" i="10"/>
  <c r="AE721" i="10"/>
  <c r="AD721" i="10"/>
  <c r="AC721" i="10"/>
  <c r="AB721" i="10"/>
  <c r="AA721" i="10"/>
  <c r="Z721" i="10"/>
  <c r="Y721" i="10"/>
  <c r="X721" i="10"/>
  <c r="W721" i="10"/>
  <c r="V721" i="10"/>
  <c r="U721" i="10"/>
  <c r="T721" i="10"/>
  <c r="S721" i="10"/>
  <c r="R721" i="10"/>
  <c r="Q721" i="10"/>
  <c r="P721" i="10"/>
  <c r="O721" i="10"/>
  <c r="N721" i="10"/>
  <c r="M721" i="10"/>
  <c r="L721" i="10"/>
  <c r="K721" i="10"/>
  <c r="J721" i="10"/>
  <c r="I721" i="10"/>
  <c r="H721" i="10"/>
  <c r="G721" i="10"/>
  <c r="F721" i="10"/>
  <c r="E721" i="10"/>
  <c r="D721" i="10"/>
  <c r="C721" i="10"/>
  <c r="B721" i="10"/>
  <c r="A721" i="10"/>
  <c r="H815" i="10"/>
  <c r="N816" i="10"/>
  <c r="T815" i="10"/>
  <c r="S815" i="10"/>
  <c r="N778" i="10"/>
  <c r="N777" i="10"/>
  <c r="N776" i="10"/>
  <c r="N775" i="10"/>
  <c r="N774" i="10"/>
  <c r="N773" i="10"/>
  <c r="N772" i="10"/>
  <c r="N771" i="10"/>
  <c r="N770" i="10"/>
  <c r="N769" i="10"/>
  <c r="N768" i="10"/>
  <c r="N767" i="10"/>
  <c r="N766" i="10"/>
  <c r="N765" i="10"/>
  <c r="N764" i="10"/>
  <c r="N763" i="10"/>
  <c r="N762" i="10"/>
  <c r="N761" i="10"/>
  <c r="N760" i="10"/>
  <c r="N759" i="10"/>
  <c r="N758" i="10"/>
  <c r="N757" i="10"/>
  <c r="N756" i="10"/>
  <c r="N755" i="10"/>
  <c r="N754" i="10"/>
  <c r="N753" i="10"/>
  <c r="N752" i="10"/>
  <c r="N751" i="10"/>
  <c r="N750" i="10"/>
  <c r="N749" i="10"/>
  <c r="N748" i="10"/>
  <c r="N747" i="10"/>
  <c r="N746" i="10"/>
  <c r="N745" i="10"/>
  <c r="N744" i="10"/>
  <c r="N743" i="10"/>
  <c r="N742" i="10"/>
  <c r="N741" i="10"/>
  <c r="N740" i="10"/>
  <c r="N739" i="10"/>
  <c r="N738" i="10"/>
  <c r="N737" i="10"/>
  <c r="N736" i="10"/>
  <c r="N735" i="10"/>
  <c r="N734" i="10"/>
  <c r="N733" i="10"/>
  <c r="O815" i="10"/>
  <c r="K815" i="10"/>
  <c r="F815" i="10"/>
  <c r="E793" i="10"/>
  <c r="E757" i="10"/>
  <c r="E805" i="10"/>
  <c r="E769" i="10"/>
  <c r="E785" i="10"/>
  <c r="E801" i="10"/>
  <c r="E761" i="10"/>
  <c r="E809" i="10"/>
  <c r="E789" i="10"/>
  <c r="E777" i="10"/>
  <c r="E773" i="10"/>
  <c r="E735" i="10"/>
  <c r="E742" i="10"/>
  <c r="E738" i="10"/>
  <c r="D815" i="10"/>
  <c r="M815" i="10"/>
  <c r="E765" i="10"/>
  <c r="E781" i="10"/>
  <c r="E797" i="10"/>
  <c r="E787" i="10"/>
  <c r="E734" i="10"/>
  <c r="BI729" i="10"/>
  <c r="R815" i="10"/>
  <c r="E736" i="10"/>
  <c r="E748" i="10"/>
  <c r="A493" i="1"/>
  <c r="A730" i="1"/>
  <c r="A726" i="1"/>
  <c r="A722" i="1"/>
  <c r="C115" i="8"/>
  <c r="CB730" i="1"/>
  <c r="C444" i="1"/>
  <c r="D367" i="1"/>
  <c r="D221" i="1"/>
  <c r="CD722" i="1" s="1"/>
  <c r="D12" i="6"/>
  <c r="I286" i="9"/>
  <c r="G159" i="9"/>
  <c r="S764" i="1"/>
  <c r="D127" i="9"/>
  <c r="I63" i="9"/>
  <c r="V813" i="1"/>
  <c r="CE47" i="1"/>
  <c r="C101" i="8"/>
  <c r="C100" i="8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CE61" i="1"/>
  <c r="W48" i="1" s="1"/>
  <c r="W62" i="1" s="1"/>
  <c r="CE65" i="1"/>
  <c r="C431" i="1" s="1"/>
  <c r="CE63" i="1"/>
  <c r="CE66" i="1"/>
  <c r="CE68" i="1"/>
  <c r="I370" i="9" s="1"/>
  <c r="D75" i="1"/>
  <c r="AR75" i="1"/>
  <c r="AS75" i="1"/>
  <c r="N776" i="1" s="1"/>
  <c r="AT75" i="1"/>
  <c r="D218" i="9" s="1"/>
  <c r="AU75" i="1"/>
  <c r="AQ75" i="1"/>
  <c r="AO75" i="1"/>
  <c r="AN75" i="1"/>
  <c r="AM75" i="1"/>
  <c r="N770" i="1" s="1"/>
  <c r="AI75" i="1"/>
  <c r="G154" i="9" s="1"/>
  <c r="AH75" i="1"/>
  <c r="F154" i="9" s="1"/>
  <c r="AF75" i="1"/>
  <c r="AD75" i="1"/>
  <c r="I122" i="9"/>
  <c r="AA75" i="1"/>
  <c r="F122" i="9" s="1"/>
  <c r="Z75" i="1"/>
  <c r="E122" i="9" s="1"/>
  <c r="X75" i="1"/>
  <c r="C122" i="9" s="1"/>
  <c r="W75" i="1"/>
  <c r="V75" i="1"/>
  <c r="H90" i="9" s="1"/>
  <c r="T75" i="1"/>
  <c r="F90" i="9" s="1"/>
  <c r="R75" i="1"/>
  <c r="Q75" i="1"/>
  <c r="C90" i="9" s="1"/>
  <c r="P75" i="1"/>
  <c r="I58" i="9" s="1"/>
  <c r="O75" i="1"/>
  <c r="N746" i="1" s="1"/>
  <c r="N75" i="1"/>
  <c r="G58" i="9" s="1"/>
  <c r="M75" i="1"/>
  <c r="F58" i="9" s="1"/>
  <c r="L75" i="1"/>
  <c r="E58" i="9" s="1"/>
  <c r="I75" i="1"/>
  <c r="H75" i="1"/>
  <c r="G75" i="1"/>
  <c r="F75" i="1"/>
  <c r="F26" i="9"/>
  <c r="AV75" i="1"/>
  <c r="AP75" i="1"/>
  <c r="G186" i="9" s="1"/>
  <c r="AJ75" i="1"/>
  <c r="AL75" i="1"/>
  <c r="C186" i="9" s="1"/>
  <c r="AK75" i="1"/>
  <c r="I154" i="9" s="1"/>
  <c r="AG75" i="1"/>
  <c r="AE75" i="1"/>
  <c r="C154" i="9" s="1"/>
  <c r="AC75" i="1"/>
  <c r="H122" i="9" s="1"/>
  <c r="AB75" i="1"/>
  <c r="N759" i="1" s="1"/>
  <c r="Y75" i="1"/>
  <c r="D122" i="9" s="1"/>
  <c r="U75" i="1"/>
  <c r="G90" i="9" s="1"/>
  <c r="S75" i="1"/>
  <c r="E90" i="9" s="1"/>
  <c r="K75" i="1"/>
  <c r="J75" i="1"/>
  <c r="E75" i="1"/>
  <c r="E26" i="9" s="1"/>
  <c r="CE73" i="1"/>
  <c r="O816" i="1" s="1"/>
  <c r="CE74" i="1"/>
  <c r="I377" i="9" s="1"/>
  <c r="C75" i="1"/>
  <c r="CE80" i="1"/>
  <c r="CE78" i="1"/>
  <c r="CE69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61" i="1"/>
  <c r="D372" i="1"/>
  <c r="C125" i="8" s="1"/>
  <c r="D260" i="1"/>
  <c r="C16" i="8" s="1"/>
  <c r="D265" i="1"/>
  <c r="C22" i="8" s="1"/>
  <c r="D290" i="1"/>
  <c r="C49" i="8" s="1"/>
  <c r="D314" i="1"/>
  <c r="C68" i="8" s="1"/>
  <c r="D319" i="1"/>
  <c r="C74" i="8" s="1"/>
  <c r="D328" i="1"/>
  <c r="D329" i="1"/>
  <c r="C85" i="8" s="1"/>
  <c r="D229" i="1"/>
  <c r="D236" i="1"/>
  <c r="D240" i="1"/>
  <c r="B447" i="1" s="1"/>
  <c r="E209" i="1"/>
  <c r="F24" i="6" s="1"/>
  <c r="E210" i="1"/>
  <c r="F25" i="6" s="1"/>
  <c r="E211" i="1"/>
  <c r="F26" i="6" s="1"/>
  <c r="E212" i="1"/>
  <c r="F27" i="6" s="1"/>
  <c r="E213" i="1"/>
  <c r="F28" i="6" s="1"/>
  <c r="E214" i="1"/>
  <c r="F29" i="6" s="1"/>
  <c r="E215" i="1"/>
  <c r="F30" i="6" s="1"/>
  <c r="E216" i="1"/>
  <c r="D217" i="1"/>
  <c r="E32" i="6" s="1"/>
  <c r="C217" i="1"/>
  <c r="E196" i="1"/>
  <c r="C469" i="1" s="1"/>
  <c r="E197" i="1"/>
  <c r="C269" i="1" s="1"/>
  <c r="E198" i="1"/>
  <c r="C270" i="1" s="1"/>
  <c r="B471" i="1" s="1"/>
  <c r="E199" i="1"/>
  <c r="E200" i="1"/>
  <c r="C272" i="1" s="1"/>
  <c r="B473" i="1" s="1"/>
  <c r="E201" i="1"/>
  <c r="E202" i="1"/>
  <c r="C474" i="1" s="1"/>
  <c r="E203" i="1"/>
  <c r="D204" i="1"/>
  <c r="E16" i="6" s="1"/>
  <c r="B204" i="1"/>
  <c r="C16" i="6" s="1"/>
  <c r="D190" i="1"/>
  <c r="D437" i="1" s="1"/>
  <c r="D186" i="1"/>
  <c r="C34" i="5" s="1"/>
  <c r="D181" i="1"/>
  <c r="D435" i="1" s="1"/>
  <c r="D177" i="1"/>
  <c r="C20" i="5" s="1"/>
  <c r="E154" i="1"/>
  <c r="E153" i="1"/>
  <c r="E152" i="1"/>
  <c r="D28" i="4" s="1"/>
  <c r="E151" i="1"/>
  <c r="E150" i="1"/>
  <c r="E148" i="1"/>
  <c r="E147" i="1"/>
  <c r="E19" i="4" s="1"/>
  <c r="E146" i="1"/>
  <c r="D19" i="4" s="1"/>
  <c r="E145" i="1"/>
  <c r="C19" i="4" s="1"/>
  <c r="E144" i="1"/>
  <c r="B19" i="4" s="1"/>
  <c r="E141" i="1"/>
  <c r="E10" i="4" s="1"/>
  <c r="E140" i="1"/>
  <c r="D10" i="4" s="1"/>
  <c r="E139" i="1"/>
  <c r="E127" i="1"/>
  <c r="CF79" i="1"/>
  <c r="B53" i="1"/>
  <c r="CE51" i="1"/>
  <c r="B49" i="1"/>
  <c r="A412" i="1"/>
  <c r="G493" i="1"/>
  <c r="E493" i="1"/>
  <c r="C493" i="1"/>
  <c r="O817" i="1"/>
  <c r="N817" i="1"/>
  <c r="M817" i="1"/>
  <c r="K817" i="1"/>
  <c r="J817" i="1"/>
  <c r="I817" i="1"/>
  <c r="H817" i="1"/>
  <c r="G817" i="1"/>
  <c r="F817" i="1"/>
  <c r="E817" i="1"/>
  <c r="D817" i="1"/>
  <c r="X813" i="1"/>
  <c r="X815" i="1" s="1"/>
  <c r="W813" i="1"/>
  <c r="W815" i="1" s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34" i="1"/>
  <c r="R736" i="1"/>
  <c r="R737" i="1"/>
  <c r="R740" i="1"/>
  <c r="R742" i="1"/>
  <c r="R745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4" i="1"/>
  <c r="R766" i="1"/>
  <c r="R767" i="1"/>
  <c r="R768" i="1"/>
  <c r="R769" i="1"/>
  <c r="R775" i="1"/>
  <c r="R776" i="1"/>
  <c r="R777" i="1"/>
  <c r="R778" i="1"/>
  <c r="R779" i="1"/>
  <c r="R784" i="1"/>
  <c r="R791" i="1"/>
  <c r="R796" i="1"/>
  <c r="R794" i="1"/>
  <c r="R802" i="1"/>
  <c r="R803" i="1"/>
  <c r="R804" i="1"/>
  <c r="R805" i="1"/>
  <c r="R806" i="1"/>
  <c r="R807" i="1"/>
  <c r="R808" i="1"/>
  <c r="R810" i="1"/>
  <c r="R735" i="1"/>
  <c r="R738" i="1"/>
  <c r="R739" i="1"/>
  <c r="R741" i="1"/>
  <c r="R743" i="1"/>
  <c r="R744" i="1"/>
  <c r="R746" i="1"/>
  <c r="R763" i="1"/>
  <c r="R765" i="1"/>
  <c r="R770" i="1"/>
  <c r="R771" i="1"/>
  <c r="R772" i="1"/>
  <c r="R773" i="1"/>
  <c r="R774" i="1"/>
  <c r="R780" i="1"/>
  <c r="R781" i="1"/>
  <c r="R782" i="1"/>
  <c r="R783" i="1"/>
  <c r="R785" i="1"/>
  <c r="R786" i="1"/>
  <c r="R787" i="1"/>
  <c r="R788" i="1"/>
  <c r="R789" i="1"/>
  <c r="R790" i="1"/>
  <c r="R792" i="1"/>
  <c r="R793" i="1"/>
  <c r="R795" i="1"/>
  <c r="R797" i="1"/>
  <c r="R798" i="1"/>
  <c r="R799" i="1"/>
  <c r="R800" i="1"/>
  <c r="R801" i="1"/>
  <c r="R809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810" i="1"/>
  <c r="P811" i="1"/>
  <c r="P785" i="1"/>
  <c r="P799" i="1"/>
  <c r="P800" i="1"/>
  <c r="P809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N736" i="1"/>
  <c r="N737" i="1"/>
  <c r="N748" i="1"/>
  <c r="N755" i="1"/>
  <c r="N761" i="1"/>
  <c r="N777" i="1"/>
  <c r="N773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736" i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8" i="1"/>
  <c r="B784" i="1"/>
  <c r="B783" i="1"/>
  <c r="B782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F730" i="1"/>
  <c r="CE730" i="1"/>
  <c r="CD730" i="1"/>
  <c r="CA730" i="1"/>
  <c r="BZ730" i="1"/>
  <c r="BY730" i="1"/>
  <c r="BX730" i="1"/>
  <c r="BW730" i="1"/>
  <c r="BV730" i="1"/>
  <c r="BU730" i="1"/>
  <c r="BT730" i="1"/>
  <c r="BS730" i="1"/>
  <c r="BR730" i="1"/>
  <c r="BQ730" i="1"/>
  <c r="BP730" i="1"/>
  <c r="BO730" i="1"/>
  <c r="BN730" i="1"/>
  <c r="BM730" i="1"/>
  <c r="BL730" i="1"/>
  <c r="BK730" i="1"/>
  <c r="BJ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X730" i="1"/>
  <c r="W730" i="1"/>
  <c r="R730" i="1"/>
  <c r="Q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I726" i="1"/>
  <c r="AH726" i="1"/>
  <c r="AG726" i="1"/>
  <c r="AF726" i="1"/>
  <c r="AE726" i="1"/>
  <c r="AD726" i="1"/>
  <c r="AB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0" i="1"/>
  <c r="B468" i="1"/>
  <c r="B465" i="1"/>
  <c r="B464" i="1"/>
  <c r="B463" i="1"/>
  <c r="C459" i="1"/>
  <c r="B459" i="1"/>
  <c r="B458" i="1"/>
  <c r="B455" i="1"/>
  <c r="B454" i="1"/>
  <c r="B453" i="1"/>
  <c r="C448" i="1"/>
  <c r="C447" i="1"/>
  <c r="C446" i="1"/>
  <c r="C445" i="1"/>
  <c r="B445" i="1"/>
  <c r="C429" i="1"/>
  <c r="B438" i="1"/>
  <c r="B439" i="1"/>
  <c r="B440" i="1" s="1"/>
  <c r="C439" i="1"/>
  <c r="C438" i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C417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9" i="8"/>
  <c r="C118" i="8"/>
  <c r="C117" i="8"/>
  <c r="C116" i="8"/>
  <c r="C112" i="8"/>
  <c r="C111" i="8"/>
  <c r="C110" i="8"/>
  <c r="C107" i="8"/>
  <c r="A107" i="8"/>
  <c r="C88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28" i="8"/>
  <c r="C27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F31" i="6"/>
  <c r="E31" i="6"/>
  <c r="D31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15" i="6"/>
  <c r="D15" i="6"/>
  <c r="E14" i="6"/>
  <c r="D14" i="6"/>
  <c r="F13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D368" i="1"/>
  <c r="C120" i="8" s="1"/>
  <c r="D330" i="1"/>
  <c r="C86" i="8" s="1"/>
  <c r="C816" i="1"/>
  <c r="N766" i="1"/>
  <c r="N743" i="1"/>
  <c r="N769" i="1"/>
  <c r="N758" i="1"/>
  <c r="N753" i="1"/>
  <c r="N747" i="1"/>
  <c r="I26" i="9"/>
  <c r="N740" i="1"/>
  <c r="H58" i="9"/>
  <c r="C218" i="9"/>
  <c r="D366" i="9"/>
  <c r="G812" i="1"/>
  <c r="CE64" i="1"/>
  <c r="F612" i="1" s="1"/>
  <c r="D368" i="9"/>
  <c r="I812" i="1"/>
  <c r="C276" i="9"/>
  <c r="CE70" i="1"/>
  <c r="C458" i="1" s="1"/>
  <c r="CE76" i="1"/>
  <c r="P816" i="1" s="1"/>
  <c r="P812" i="1"/>
  <c r="CE77" i="1"/>
  <c r="Q816" i="1" s="1"/>
  <c r="I29" i="9"/>
  <c r="C95" i="9"/>
  <c r="CE79" i="1"/>
  <c r="J612" i="1" s="1"/>
  <c r="S748" i="1"/>
  <c r="E142" i="1"/>
  <c r="F10" i="4" s="1"/>
  <c r="G9" i="4"/>
  <c r="F9" i="4"/>
  <c r="AC726" i="1"/>
  <c r="E138" i="1"/>
  <c r="C414" i="1" s="1"/>
  <c r="C204" i="1"/>
  <c r="D16" i="6" s="1"/>
  <c r="E195" i="1"/>
  <c r="C267" i="1" s="1"/>
  <c r="S722" i="1"/>
  <c r="BH722" i="1"/>
  <c r="C28" i="6"/>
  <c r="B217" i="1"/>
  <c r="C32" i="6" s="1"/>
  <c r="C140" i="8"/>
  <c r="L817" i="1"/>
  <c r="CC730" i="1"/>
  <c r="D390" i="1"/>
  <c r="B441" i="1" s="1"/>
  <c r="AA730" i="1"/>
  <c r="D283" i="1"/>
  <c r="C42" i="8" s="1"/>
  <c r="C40" i="8"/>
  <c r="B753" i="1"/>
  <c r="E515" i="1"/>
  <c r="H73" i="9"/>
  <c r="E105" i="9"/>
  <c r="B757" i="1"/>
  <c r="E519" i="1"/>
  <c r="B766" i="1"/>
  <c r="E528" i="1"/>
  <c r="G137" i="9"/>
  <c r="E722" i="1"/>
  <c r="C9" i="5"/>
  <c r="D173" i="1"/>
  <c r="F28" i="4"/>
  <c r="CD71" i="1"/>
  <c r="R816" i="1"/>
  <c r="N765" i="1"/>
  <c r="C615" i="1"/>
  <c r="V815" i="1"/>
  <c r="E372" i="9"/>
  <c r="I372" i="9"/>
  <c r="M816" i="1"/>
  <c r="CF77" i="1"/>
  <c r="N751" i="1" l="1"/>
  <c r="C30" i="8"/>
  <c r="O730" i="1"/>
  <c r="N752" i="1"/>
  <c r="F15" i="6"/>
  <c r="C274" i="1"/>
  <c r="C472" i="1"/>
  <c r="C271" i="1"/>
  <c r="T730" i="1"/>
  <c r="N768" i="1"/>
  <c r="N757" i="1"/>
  <c r="F12" i="6"/>
  <c r="C27" i="5"/>
  <c r="C473" i="1"/>
  <c r="C273" i="1"/>
  <c r="D186" i="9"/>
  <c r="F8" i="6"/>
  <c r="C268" i="1"/>
  <c r="K814" i="10"/>
  <c r="I381" i="9"/>
  <c r="G612" i="1"/>
  <c r="I380" i="9"/>
  <c r="C141" i="8"/>
  <c r="G10" i="4"/>
  <c r="B10" i="4"/>
  <c r="N762" i="1"/>
  <c r="N760" i="1"/>
  <c r="G122" i="9"/>
  <c r="C464" i="1"/>
  <c r="F815" i="1"/>
  <c r="N745" i="1"/>
  <c r="BJ48" i="1"/>
  <c r="BJ62" i="1" s="1"/>
  <c r="E793" i="1" s="1"/>
  <c r="C434" i="1"/>
  <c r="K816" i="1"/>
  <c r="C430" i="1"/>
  <c r="G816" i="1"/>
  <c r="Z48" i="1"/>
  <c r="Z62" i="1" s="1"/>
  <c r="E757" i="1" s="1"/>
  <c r="BW48" i="1"/>
  <c r="BW62" i="1" s="1"/>
  <c r="E806" i="1" s="1"/>
  <c r="D48" i="1"/>
  <c r="D62" i="1" s="1"/>
  <c r="E735" i="1" s="1"/>
  <c r="AR48" i="1"/>
  <c r="AR62" i="1" s="1"/>
  <c r="E775" i="1" s="1"/>
  <c r="BM48" i="1"/>
  <c r="BM62" i="1" s="1"/>
  <c r="I268" i="9" s="1"/>
  <c r="AE48" i="1"/>
  <c r="AE62" i="1" s="1"/>
  <c r="I366" i="9"/>
  <c r="BP48" i="1"/>
  <c r="BP62" i="1" s="1"/>
  <c r="E300" i="9" s="1"/>
  <c r="K48" i="1"/>
  <c r="K62" i="1" s="1"/>
  <c r="BU48" i="1"/>
  <c r="BU62" i="1" s="1"/>
  <c r="L48" i="1"/>
  <c r="L62" i="1" s="1"/>
  <c r="E743" i="1" s="1"/>
  <c r="N48" i="1"/>
  <c r="N62" i="1" s="1"/>
  <c r="AJ48" i="1"/>
  <c r="AJ62" i="1" s="1"/>
  <c r="E767" i="1" s="1"/>
  <c r="BD48" i="1"/>
  <c r="BD62" i="1" s="1"/>
  <c r="BR48" i="1"/>
  <c r="BR62" i="1" s="1"/>
  <c r="E801" i="1" s="1"/>
  <c r="AY48" i="1"/>
  <c r="AY62" i="1" s="1"/>
  <c r="E782" i="1" s="1"/>
  <c r="AO48" i="1"/>
  <c r="AO62" i="1" s="1"/>
  <c r="G48" i="1"/>
  <c r="G62" i="1" s="1"/>
  <c r="G12" i="9" s="1"/>
  <c r="D815" i="1"/>
  <c r="AD48" i="1"/>
  <c r="AD62" i="1" s="1"/>
  <c r="I108" i="9" s="1"/>
  <c r="AX48" i="1"/>
  <c r="AX62" i="1" s="1"/>
  <c r="H204" i="9" s="1"/>
  <c r="Q48" i="1"/>
  <c r="Q62" i="1" s="1"/>
  <c r="BS48" i="1"/>
  <c r="BS62" i="1" s="1"/>
  <c r="E802" i="1" s="1"/>
  <c r="R48" i="1"/>
  <c r="R62" i="1" s="1"/>
  <c r="AL48" i="1"/>
  <c r="AL62" i="1" s="1"/>
  <c r="C172" i="9" s="1"/>
  <c r="BF48" i="1"/>
  <c r="BF62" i="1" s="1"/>
  <c r="E789" i="1" s="1"/>
  <c r="BX48" i="1"/>
  <c r="BX62" i="1" s="1"/>
  <c r="AW48" i="1"/>
  <c r="AW62" i="1" s="1"/>
  <c r="E780" i="1" s="1"/>
  <c r="AK48" i="1"/>
  <c r="AK62" i="1" s="1"/>
  <c r="BI48" i="1"/>
  <c r="BI62" i="1" s="1"/>
  <c r="F48" i="1"/>
  <c r="F62" i="1" s="1"/>
  <c r="V48" i="1"/>
  <c r="V62" i="1" s="1"/>
  <c r="AF48" i="1"/>
  <c r="AF62" i="1" s="1"/>
  <c r="E763" i="1" s="1"/>
  <c r="AN48" i="1"/>
  <c r="AN62" i="1" s="1"/>
  <c r="E172" i="9" s="1"/>
  <c r="AT48" i="1"/>
  <c r="AT62" i="1" s="1"/>
  <c r="AZ48" i="1"/>
  <c r="AZ62" i="1" s="1"/>
  <c r="BL48" i="1"/>
  <c r="BL62" i="1" s="1"/>
  <c r="BT48" i="1"/>
  <c r="BT62" i="1" s="1"/>
  <c r="BY48" i="1"/>
  <c r="BY62" i="1" s="1"/>
  <c r="E808" i="1" s="1"/>
  <c r="AA48" i="1"/>
  <c r="AA62" i="1" s="1"/>
  <c r="F108" i="9" s="1"/>
  <c r="BG48" i="1"/>
  <c r="BG62" i="1" s="1"/>
  <c r="CC48" i="1"/>
  <c r="CC62" i="1" s="1"/>
  <c r="E812" i="1" s="1"/>
  <c r="E48" i="1"/>
  <c r="E62" i="1" s="1"/>
  <c r="E736" i="1" s="1"/>
  <c r="BA48" i="1"/>
  <c r="BA62" i="1" s="1"/>
  <c r="O48" i="1"/>
  <c r="O62" i="1" s="1"/>
  <c r="H44" i="9" s="1"/>
  <c r="AU48" i="1"/>
  <c r="AU62" i="1" s="1"/>
  <c r="X48" i="1"/>
  <c r="X62" i="1" s="1"/>
  <c r="D816" i="1"/>
  <c r="AS48" i="1"/>
  <c r="AS62" i="1" s="1"/>
  <c r="J48" i="1"/>
  <c r="J62" i="1" s="1"/>
  <c r="AH48" i="1"/>
  <c r="AH62" i="1" s="1"/>
  <c r="F140" i="9" s="1"/>
  <c r="AP48" i="1"/>
  <c r="AP62" i="1" s="1"/>
  <c r="G172" i="9" s="1"/>
  <c r="AV48" i="1"/>
  <c r="AV62" i="1" s="1"/>
  <c r="F204" i="9" s="1"/>
  <c r="BB48" i="1"/>
  <c r="BB62" i="1" s="1"/>
  <c r="E236" i="9" s="1"/>
  <c r="BH48" i="1"/>
  <c r="BH62" i="1" s="1"/>
  <c r="BN48" i="1"/>
  <c r="BN62" i="1" s="1"/>
  <c r="BV48" i="1"/>
  <c r="BV62" i="1" s="1"/>
  <c r="E805" i="1" s="1"/>
  <c r="CA48" i="1"/>
  <c r="CA62" i="1" s="1"/>
  <c r="I332" i="9" s="1"/>
  <c r="C48" i="1"/>
  <c r="AI48" i="1"/>
  <c r="AI62" i="1" s="1"/>
  <c r="E766" i="1" s="1"/>
  <c r="BO48" i="1"/>
  <c r="BO62" i="1" s="1"/>
  <c r="D300" i="9" s="1"/>
  <c r="I48" i="1"/>
  <c r="I62" i="1" s="1"/>
  <c r="AG48" i="1"/>
  <c r="AG62" i="1" s="1"/>
  <c r="E140" i="9" s="1"/>
  <c r="BE48" i="1"/>
  <c r="BE62" i="1" s="1"/>
  <c r="U48" i="1"/>
  <c r="U62" i="1" s="1"/>
  <c r="BQ48" i="1"/>
  <c r="BQ62" i="1" s="1"/>
  <c r="AB48" i="1"/>
  <c r="AB62" i="1" s="1"/>
  <c r="G108" i="9" s="1"/>
  <c r="T814" i="10"/>
  <c r="H814" i="10"/>
  <c r="R814" i="10"/>
  <c r="P814" i="10"/>
  <c r="F814" i="10"/>
  <c r="E373" i="9"/>
  <c r="C575" i="1"/>
  <c r="E752" i="10"/>
  <c r="C14" i="5"/>
  <c r="D428" i="1"/>
  <c r="D612" i="1"/>
  <c r="CF76" i="1"/>
  <c r="AN52" i="1" s="1"/>
  <c r="AN67" i="1" s="1"/>
  <c r="J771" i="1" s="1"/>
  <c r="D436" i="1"/>
  <c r="C28" i="4"/>
  <c r="C421" i="1"/>
  <c r="C470" i="1"/>
  <c r="F9" i="6"/>
  <c r="I382" i="9"/>
  <c r="I612" i="1"/>
  <c r="E154" i="9"/>
  <c r="N764" i="1"/>
  <c r="H186" i="9"/>
  <c r="N774" i="1"/>
  <c r="I186" i="9"/>
  <c r="N775" i="1"/>
  <c r="I368" i="9"/>
  <c r="C432" i="1"/>
  <c r="I816" i="1"/>
  <c r="H612" i="1"/>
  <c r="BI730" i="1"/>
  <c r="I362" i="9"/>
  <c r="F11" i="6"/>
  <c r="C475" i="1"/>
  <c r="G19" i="4"/>
  <c r="F19" i="4"/>
  <c r="D463" i="1"/>
  <c r="E28" i="4"/>
  <c r="D32" i="6"/>
  <c r="D433" i="1"/>
  <c r="C26" i="9"/>
  <c r="N734" i="1"/>
  <c r="H26" i="9"/>
  <c r="N739" i="1"/>
  <c r="E186" i="9"/>
  <c r="N771" i="1"/>
  <c r="D154" i="9"/>
  <c r="N763" i="1"/>
  <c r="E218" i="9"/>
  <c r="N778" i="1"/>
  <c r="F816" i="1"/>
  <c r="I365" i="9"/>
  <c r="I815" i="10"/>
  <c r="G815" i="10"/>
  <c r="E753" i="10"/>
  <c r="Q815" i="10"/>
  <c r="E754" i="10"/>
  <c r="C815" i="1"/>
  <c r="H815" i="1"/>
  <c r="C415" i="1"/>
  <c r="C10" i="4"/>
  <c r="I371" i="9"/>
  <c r="C440" i="1"/>
  <c r="L816" i="1"/>
  <c r="N754" i="1"/>
  <c r="I90" i="9"/>
  <c r="BK48" i="1"/>
  <c r="BK62" i="1" s="1"/>
  <c r="I363" i="9"/>
  <c r="T48" i="1"/>
  <c r="T62" i="1" s="1"/>
  <c r="H48" i="1"/>
  <c r="H62" i="1" s="1"/>
  <c r="P48" i="1"/>
  <c r="P62" i="1" s="1"/>
  <c r="BZ48" i="1"/>
  <c r="BZ62" i="1" s="1"/>
  <c r="AC48" i="1"/>
  <c r="AC62" i="1" s="1"/>
  <c r="H108" i="9" s="1"/>
  <c r="M48" i="1"/>
  <c r="M62" i="1" s="1"/>
  <c r="BC48" i="1"/>
  <c r="BC62" i="1" s="1"/>
  <c r="AM48" i="1"/>
  <c r="AM62" i="1" s="1"/>
  <c r="C427" i="1"/>
  <c r="Y48" i="1"/>
  <c r="Y62" i="1" s="1"/>
  <c r="AQ48" i="1"/>
  <c r="AQ62" i="1" s="1"/>
  <c r="E774" i="1" s="1"/>
  <c r="S48" i="1"/>
  <c r="S62" i="1" s="1"/>
  <c r="CB48" i="1"/>
  <c r="CB62" i="1" s="1"/>
  <c r="C364" i="9" s="1"/>
  <c r="B444" i="1"/>
  <c r="D5" i="7"/>
  <c r="C815" i="10"/>
  <c r="I815" i="1"/>
  <c r="G815" i="1"/>
  <c r="P815" i="1"/>
  <c r="Q815" i="1"/>
  <c r="R815" i="1"/>
  <c r="S815" i="1"/>
  <c r="G28" i="4"/>
  <c r="C814" i="10"/>
  <c r="M814" i="10"/>
  <c r="G814" i="10"/>
  <c r="L814" i="10"/>
  <c r="Q814" i="10"/>
  <c r="D814" i="10"/>
  <c r="I814" i="10"/>
  <c r="O814" i="10"/>
  <c r="S814" i="10"/>
  <c r="B446" i="1"/>
  <c r="D242" i="1"/>
  <c r="E779" i="10"/>
  <c r="E795" i="10"/>
  <c r="C418" i="1"/>
  <c r="D438" i="1"/>
  <c r="F14" i="6"/>
  <c r="O815" i="1"/>
  <c r="T815" i="1"/>
  <c r="C471" i="1"/>
  <c r="F10" i="6"/>
  <c r="D339" i="1"/>
  <c r="D26" i="9"/>
  <c r="N735" i="1"/>
  <c r="CE75" i="1"/>
  <c r="J809" i="10"/>
  <c r="J740" i="10"/>
  <c r="J747" i="10"/>
  <c r="J739" i="10"/>
  <c r="J808" i="10"/>
  <c r="P815" i="10"/>
  <c r="J804" i="10"/>
  <c r="J772" i="10"/>
  <c r="J790" i="10"/>
  <c r="J774" i="10"/>
  <c r="J758" i="10"/>
  <c r="F7" i="6"/>
  <c r="E204" i="1"/>
  <c r="C468" i="1"/>
  <c r="I383" i="9"/>
  <c r="S816" i="1"/>
  <c r="D22" i="7"/>
  <c r="C40" i="5"/>
  <c r="N815" i="10"/>
  <c r="I76" i="9"/>
  <c r="E754" i="1"/>
  <c r="C420" i="1"/>
  <c r="B28" i="4"/>
  <c r="N772" i="1"/>
  <c r="F186" i="9"/>
  <c r="E763" i="10"/>
  <c r="I376" i="9"/>
  <c r="C463" i="1"/>
  <c r="D58" i="9"/>
  <c r="N742" i="1"/>
  <c r="G26" i="9"/>
  <c r="N738" i="1"/>
  <c r="E217" i="1"/>
  <c r="I384" i="9"/>
  <c r="T816" i="1"/>
  <c r="L612" i="1"/>
  <c r="F218" i="9"/>
  <c r="N779" i="1"/>
  <c r="D90" i="9"/>
  <c r="N749" i="1"/>
  <c r="E755" i="10"/>
  <c r="E759" i="10"/>
  <c r="E775" i="10"/>
  <c r="E791" i="10"/>
  <c r="E807" i="10"/>
  <c r="D464" i="1"/>
  <c r="K815" i="1"/>
  <c r="H154" i="9"/>
  <c r="N767" i="1"/>
  <c r="I367" i="9"/>
  <c r="H816" i="1"/>
  <c r="M815" i="1"/>
  <c r="E733" i="10"/>
  <c r="D373" i="1"/>
  <c r="D434" i="1"/>
  <c r="L815" i="1"/>
  <c r="C58" i="9"/>
  <c r="N741" i="1"/>
  <c r="N744" i="1"/>
  <c r="N756" i="1"/>
  <c r="N750" i="1"/>
  <c r="L815" i="10"/>
  <c r="E747" i="10"/>
  <c r="E739" i="10"/>
  <c r="E741" i="10"/>
  <c r="E749" i="10"/>
  <c r="N814" i="10"/>
  <c r="E743" i="10"/>
  <c r="E751" i="10"/>
  <c r="E771" i="10"/>
  <c r="E803" i="10"/>
  <c r="E737" i="10"/>
  <c r="E745" i="10"/>
  <c r="E767" i="10"/>
  <c r="E783" i="10"/>
  <c r="E799" i="10"/>
  <c r="E740" i="10"/>
  <c r="E744" i="10"/>
  <c r="E746" i="10"/>
  <c r="E750" i="10"/>
  <c r="B469" i="1" l="1"/>
  <c r="P730" i="1"/>
  <c r="C26" i="8"/>
  <c r="C32" i="8"/>
  <c r="V730" i="1"/>
  <c r="B475" i="1"/>
  <c r="U730" i="1"/>
  <c r="C31" i="8"/>
  <c r="B474" i="1"/>
  <c r="C29" i="8"/>
  <c r="B472" i="1"/>
  <c r="S730" i="1"/>
  <c r="D275" i="1"/>
  <c r="T52" i="1"/>
  <c r="T67" i="1" s="1"/>
  <c r="T71" i="1" s="1"/>
  <c r="BF52" i="1"/>
  <c r="BF67" i="1" s="1"/>
  <c r="BF71" i="1" s="1"/>
  <c r="C551" i="1" s="1"/>
  <c r="AK52" i="1"/>
  <c r="AK67" i="1" s="1"/>
  <c r="I145" i="9" s="1"/>
  <c r="AX52" i="1"/>
  <c r="AX67" i="1" s="1"/>
  <c r="J781" i="1" s="1"/>
  <c r="AY52" i="1"/>
  <c r="AY67" i="1" s="1"/>
  <c r="I209" i="9" s="1"/>
  <c r="BV52" i="1"/>
  <c r="BV67" i="1" s="1"/>
  <c r="BV71" i="1" s="1"/>
  <c r="D341" i="9" s="1"/>
  <c r="BY52" i="1"/>
  <c r="BY67" i="1" s="1"/>
  <c r="J808" i="1" s="1"/>
  <c r="AG52" i="1"/>
  <c r="AG67" i="1" s="1"/>
  <c r="AG71" i="1" s="1"/>
  <c r="C526" i="1" s="1"/>
  <c r="G526" i="1" s="1"/>
  <c r="BE52" i="1"/>
  <c r="BE67" i="1" s="1"/>
  <c r="BE71" i="1" s="1"/>
  <c r="AW52" i="1"/>
  <c r="AW67" i="1" s="1"/>
  <c r="AW71" i="1" s="1"/>
  <c r="G213" i="9" s="1"/>
  <c r="AM52" i="1"/>
  <c r="AM67" i="1" s="1"/>
  <c r="AM71" i="1" s="1"/>
  <c r="BR52" i="1"/>
  <c r="BR67" i="1" s="1"/>
  <c r="BR71" i="1" s="1"/>
  <c r="C563" i="1" s="1"/>
  <c r="AA52" i="1"/>
  <c r="AA67" i="1" s="1"/>
  <c r="J758" i="1" s="1"/>
  <c r="M52" i="1"/>
  <c r="M67" i="1" s="1"/>
  <c r="J744" i="1" s="1"/>
  <c r="CB52" i="1"/>
  <c r="CB67" i="1" s="1"/>
  <c r="C369" i="9" s="1"/>
  <c r="F52" i="1"/>
  <c r="F67" i="1" s="1"/>
  <c r="F71" i="1" s="1"/>
  <c r="BD52" i="1"/>
  <c r="BD67" i="1" s="1"/>
  <c r="G241" i="9" s="1"/>
  <c r="J52" i="1"/>
  <c r="J67" i="1" s="1"/>
  <c r="J71" i="1" s="1"/>
  <c r="C503" i="1" s="1"/>
  <c r="G503" i="1" s="1"/>
  <c r="AH52" i="1"/>
  <c r="AH67" i="1" s="1"/>
  <c r="F145" i="9" s="1"/>
  <c r="G52" i="1"/>
  <c r="G67" i="1" s="1"/>
  <c r="J738" i="1" s="1"/>
  <c r="D52" i="1"/>
  <c r="D67" i="1" s="1"/>
  <c r="D17" i="9" s="1"/>
  <c r="BN52" i="1"/>
  <c r="BN67" i="1" s="1"/>
  <c r="BN71" i="1" s="1"/>
  <c r="BM52" i="1"/>
  <c r="BM67" i="1" s="1"/>
  <c r="J796" i="1" s="1"/>
  <c r="BQ52" i="1"/>
  <c r="BQ67" i="1" s="1"/>
  <c r="J800" i="1" s="1"/>
  <c r="BP52" i="1"/>
  <c r="BP67" i="1" s="1"/>
  <c r="BP71" i="1" s="1"/>
  <c r="C621" i="1" s="1"/>
  <c r="BO52" i="1"/>
  <c r="BO67" i="1" s="1"/>
  <c r="D305" i="9" s="1"/>
  <c r="AF52" i="1"/>
  <c r="AF67" i="1" s="1"/>
  <c r="AF71" i="1" s="1"/>
  <c r="D149" i="9" s="1"/>
  <c r="BX52" i="1"/>
  <c r="BX67" i="1" s="1"/>
  <c r="BX71" i="1" s="1"/>
  <c r="C569" i="1" s="1"/>
  <c r="P52" i="1"/>
  <c r="P67" i="1" s="1"/>
  <c r="I49" i="9" s="1"/>
  <c r="BT52" i="1"/>
  <c r="BT67" i="1" s="1"/>
  <c r="BT71" i="1" s="1"/>
  <c r="AJ52" i="1"/>
  <c r="AJ67" i="1" s="1"/>
  <c r="H145" i="9" s="1"/>
  <c r="AB52" i="1"/>
  <c r="AB67" i="1" s="1"/>
  <c r="G113" i="9" s="1"/>
  <c r="V52" i="1"/>
  <c r="V67" i="1" s="1"/>
  <c r="J753" i="1" s="1"/>
  <c r="H52" i="1"/>
  <c r="H67" i="1" s="1"/>
  <c r="H71" i="1" s="1"/>
  <c r="E745" i="1"/>
  <c r="F268" i="9"/>
  <c r="E799" i="1"/>
  <c r="D44" i="9"/>
  <c r="E785" i="1"/>
  <c r="E796" i="1"/>
  <c r="C76" i="9"/>
  <c r="E798" i="1"/>
  <c r="E762" i="1"/>
  <c r="E769" i="1"/>
  <c r="H268" i="9"/>
  <c r="E756" i="1"/>
  <c r="E332" i="9"/>
  <c r="D12" i="9"/>
  <c r="E779" i="1"/>
  <c r="E744" i="1"/>
  <c r="C140" i="9"/>
  <c r="C332" i="9"/>
  <c r="D332" i="9"/>
  <c r="F172" i="9"/>
  <c r="E742" i="1"/>
  <c r="AX71" i="1"/>
  <c r="C616" i="1" s="1"/>
  <c r="E772" i="1"/>
  <c r="E108" i="9"/>
  <c r="E781" i="1"/>
  <c r="D204" i="9"/>
  <c r="I236" i="9"/>
  <c r="G44" i="9"/>
  <c r="E204" i="9"/>
  <c r="E761" i="1"/>
  <c r="D71" i="1"/>
  <c r="D21" i="9" s="1"/>
  <c r="I12" i="9"/>
  <c r="F332" i="9"/>
  <c r="G204" i="9"/>
  <c r="I204" i="9"/>
  <c r="E778" i="1"/>
  <c r="I172" i="9"/>
  <c r="H300" i="9"/>
  <c r="E44" i="9"/>
  <c r="E807" i="1"/>
  <c r="G236" i="9"/>
  <c r="E787" i="1"/>
  <c r="D364" i="9"/>
  <c r="C108" i="9"/>
  <c r="G300" i="9"/>
  <c r="E748" i="1"/>
  <c r="E771" i="1"/>
  <c r="AN71" i="1"/>
  <c r="C533" i="1" s="1"/>
  <c r="G533" i="1" s="1"/>
  <c r="E792" i="1"/>
  <c r="E768" i="1"/>
  <c r="I140" i="9"/>
  <c r="E755" i="1"/>
  <c r="E738" i="1"/>
  <c r="E797" i="1"/>
  <c r="E777" i="1"/>
  <c r="H140" i="9"/>
  <c r="E804" i="1"/>
  <c r="E268" i="9"/>
  <c r="D76" i="9"/>
  <c r="E749" i="1"/>
  <c r="E746" i="1"/>
  <c r="E773" i="1"/>
  <c r="E795" i="1"/>
  <c r="D140" i="9"/>
  <c r="C300" i="9"/>
  <c r="H172" i="9"/>
  <c r="E758" i="1"/>
  <c r="E12" i="9"/>
  <c r="G140" i="9"/>
  <c r="E753" i="1"/>
  <c r="E740" i="1"/>
  <c r="E810" i="1"/>
  <c r="C44" i="9"/>
  <c r="G332" i="9"/>
  <c r="E791" i="1"/>
  <c r="D268" i="9"/>
  <c r="C236" i="9"/>
  <c r="E783" i="1"/>
  <c r="E765" i="1"/>
  <c r="E784" i="1"/>
  <c r="F300" i="9"/>
  <c r="E800" i="1"/>
  <c r="E737" i="1"/>
  <c r="E811" i="1"/>
  <c r="H76" i="9"/>
  <c r="D236" i="9"/>
  <c r="E764" i="1"/>
  <c r="G76" i="9"/>
  <c r="E752" i="1"/>
  <c r="E803" i="1"/>
  <c r="I300" i="9"/>
  <c r="C62" i="1"/>
  <c r="CE48" i="1"/>
  <c r="D108" i="9"/>
  <c r="F44" i="9"/>
  <c r="E759" i="1"/>
  <c r="F12" i="9"/>
  <c r="E741" i="1"/>
  <c r="H236" i="9"/>
  <c r="E788" i="1"/>
  <c r="E776" i="1"/>
  <c r="C204" i="9"/>
  <c r="C268" i="9"/>
  <c r="E790" i="1"/>
  <c r="F76" i="9"/>
  <c r="E751" i="1"/>
  <c r="J806" i="10"/>
  <c r="J776" i="10"/>
  <c r="J755" i="10"/>
  <c r="N815" i="1"/>
  <c r="F511" i="1"/>
  <c r="H501" i="1"/>
  <c r="F501" i="1"/>
  <c r="F497" i="1"/>
  <c r="H497" i="1"/>
  <c r="E750" i="1"/>
  <c r="E76" i="9"/>
  <c r="D172" i="9"/>
  <c r="E770" i="1"/>
  <c r="H332" i="9"/>
  <c r="E809" i="1"/>
  <c r="BC52" i="1"/>
  <c r="BC67" i="1" s="1"/>
  <c r="BC71" i="1" s="1"/>
  <c r="AP52" i="1"/>
  <c r="AP67" i="1" s="1"/>
  <c r="AP71" i="1" s="1"/>
  <c r="G181" i="9" s="1"/>
  <c r="AU52" i="1"/>
  <c r="AU67" i="1" s="1"/>
  <c r="AU71" i="1" s="1"/>
  <c r="U52" i="1"/>
  <c r="U67" i="1" s="1"/>
  <c r="U71" i="1" s="1"/>
  <c r="Y52" i="1"/>
  <c r="Y67" i="1" s="1"/>
  <c r="Y71" i="1" s="1"/>
  <c r="S52" i="1"/>
  <c r="S67" i="1" s="1"/>
  <c r="S71" i="1" s="1"/>
  <c r="R52" i="1"/>
  <c r="R67" i="1" s="1"/>
  <c r="R71" i="1" s="1"/>
  <c r="Z52" i="1"/>
  <c r="Z67" i="1" s="1"/>
  <c r="Z71" i="1" s="1"/>
  <c r="C519" i="1" s="1"/>
  <c r="G519" i="1" s="1"/>
  <c r="BB52" i="1"/>
  <c r="BB67" i="1" s="1"/>
  <c r="BB71" i="1" s="1"/>
  <c r="E245" i="9" s="1"/>
  <c r="L52" i="1"/>
  <c r="L67" i="1" s="1"/>
  <c r="L71" i="1" s="1"/>
  <c r="C677" i="1" s="1"/>
  <c r="BA52" i="1"/>
  <c r="BA67" i="1" s="1"/>
  <c r="BA71" i="1" s="1"/>
  <c r="C546" i="1" s="1"/>
  <c r="G546" i="1" s="1"/>
  <c r="AV52" i="1"/>
  <c r="AV67" i="1" s="1"/>
  <c r="AV71" i="1" s="1"/>
  <c r="AL52" i="1"/>
  <c r="AL67" i="1" s="1"/>
  <c r="AL71" i="1" s="1"/>
  <c r="C703" i="1" s="1"/>
  <c r="CC52" i="1"/>
  <c r="CC67" i="1" s="1"/>
  <c r="CC71" i="1" s="1"/>
  <c r="D373" i="9" s="1"/>
  <c r="AC52" i="1"/>
  <c r="AC67" i="1" s="1"/>
  <c r="AC71" i="1" s="1"/>
  <c r="H117" i="9" s="1"/>
  <c r="BS52" i="1"/>
  <c r="BS67" i="1" s="1"/>
  <c r="BS71" i="1" s="1"/>
  <c r="AO52" i="1"/>
  <c r="AO67" i="1" s="1"/>
  <c r="AO71" i="1" s="1"/>
  <c r="AI52" i="1"/>
  <c r="AI67" i="1" s="1"/>
  <c r="AI71" i="1" s="1"/>
  <c r="C528" i="1" s="1"/>
  <c r="G528" i="1" s="1"/>
  <c r="W52" i="1"/>
  <c r="W67" i="1" s="1"/>
  <c r="W71" i="1" s="1"/>
  <c r="C516" i="1" s="1"/>
  <c r="G516" i="1" s="1"/>
  <c r="AS52" i="1"/>
  <c r="AS67" i="1" s="1"/>
  <c r="AS71" i="1" s="1"/>
  <c r="AQ52" i="1"/>
  <c r="AQ67" i="1" s="1"/>
  <c r="AQ71" i="1" s="1"/>
  <c r="C536" i="1" s="1"/>
  <c r="G536" i="1" s="1"/>
  <c r="AR52" i="1"/>
  <c r="AR67" i="1" s="1"/>
  <c r="AR71" i="1" s="1"/>
  <c r="C709" i="1" s="1"/>
  <c r="AZ52" i="1"/>
  <c r="AZ67" i="1" s="1"/>
  <c r="AZ71" i="1" s="1"/>
  <c r="C245" i="9" s="1"/>
  <c r="N52" i="1"/>
  <c r="N67" i="1" s="1"/>
  <c r="N71" i="1" s="1"/>
  <c r="CA52" i="1"/>
  <c r="CA67" i="1" s="1"/>
  <c r="CA71" i="1" s="1"/>
  <c r="I341" i="9" s="1"/>
  <c r="BU52" i="1"/>
  <c r="BU67" i="1" s="1"/>
  <c r="BU71" i="1" s="1"/>
  <c r="AD52" i="1"/>
  <c r="AD67" i="1" s="1"/>
  <c r="AD71" i="1" s="1"/>
  <c r="I117" i="9" s="1"/>
  <c r="AT52" i="1"/>
  <c r="AT67" i="1" s="1"/>
  <c r="AT71" i="1" s="1"/>
  <c r="E760" i="1"/>
  <c r="F236" i="9"/>
  <c r="E786" i="1"/>
  <c r="I44" i="9"/>
  <c r="E747" i="1"/>
  <c r="G268" i="9"/>
  <c r="E794" i="1"/>
  <c r="BG52" i="1"/>
  <c r="BG67" i="1" s="1"/>
  <c r="BG71" i="1" s="1"/>
  <c r="Q52" i="1"/>
  <c r="Q67" i="1" s="1"/>
  <c r="Q71" i="1" s="1"/>
  <c r="BK52" i="1"/>
  <c r="BK67" i="1" s="1"/>
  <c r="BK71" i="1" s="1"/>
  <c r="O52" i="1"/>
  <c r="O67" i="1" s="1"/>
  <c r="O71" i="1" s="1"/>
  <c r="C508" i="1" s="1"/>
  <c r="G508" i="1" s="1"/>
  <c r="BW52" i="1"/>
  <c r="BW67" i="1" s="1"/>
  <c r="BW71" i="1" s="1"/>
  <c r="E341" i="9" s="1"/>
  <c r="BI52" i="1"/>
  <c r="BI67" i="1" s="1"/>
  <c r="BI71" i="1" s="1"/>
  <c r="K52" i="1"/>
  <c r="K67" i="1" s="1"/>
  <c r="K71" i="1" s="1"/>
  <c r="D465" i="1"/>
  <c r="E177" i="9"/>
  <c r="F505" i="1"/>
  <c r="H505" i="1"/>
  <c r="F499" i="1"/>
  <c r="H499" i="1"/>
  <c r="E739" i="1"/>
  <c r="H12" i="9"/>
  <c r="E52" i="1"/>
  <c r="E67" i="1" s="1"/>
  <c r="E71" i="1" s="1"/>
  <c r="E21" i="9" s="1"/>
  <c r="X52" i="1"/>
  <c r="X67" i="1" s="1"/>
  <c r="X71" i="1" s="1"/>
  <c r="BH52" i="1"/>
  <c r="BH67" i="1" s="1"/>
  <c r="BH71" i="1" s="1"/>
  <c r="I52" i="1"/>
  <c r="I67" i="1" s="1"/>
  <c r="I71" i="1" s="1"/>
  <c r="BJ52" i="1"/>
  <c r="BJ67" i="1" s="1"/>
  <c r="BJ71" i="1" s="1"/>
  <c r="C617" i="1" s="1"/>
  <c r="BZ52" i="1"/>
  <c r="BZ67" i="1" s="1"/>
  <c r="BZ71" i="1" s="1"/>
  <c r="C52" i="1"/>
  <c r="AE52" i="1"/>
  <c r="AE67" i="1" s="1"/>
  <c r="AE71" i="1" s="1"/>
  <c r="BL52" i="1"/>
  <c r="BL67" i="1" s="1"/>
  <c r="BL71" i="1" s="1"/>
  <c r="E758" i="10"/>
  <c r="E774" i="10"/>
  <c r="E798" i="10"/>
  <c r="J779" i="10"/>
  <c r="J787" i="10"/>
  <c r="J803" i="10"/>
  <c r="J811" i="10"/>
  <c r="D27" i="7"/>
  <c r="B448" i="1"/>
  <c r="E768" i="10"/>
  <c r="E776" i="10"/>
  <c r="E784" i="10"/>
  <c r="E792" i="10"/>
  <c r="E800" i="10"/>
  <c r="E808" i="10"/>
  <c r="F544" i="1"/>
  <c r="H536" i="1"/>
  <c r="F536" i="1"/>
  <c r="F528" i="1"/>
  <c r="H528" i="1"/>
  <c r="F520" i="1"/>
  <c r="H520" i="1"/>
  <c r="Z815" i="10"/>
  <c r="J762" i="10"/>
  <c r="J778" i="10"/>
  <c r="J794" i="10"/>
  <c r="J810" i="10"/>
  <c r="J780" i="10"/>
  <c r="J784" i="10"/>
  <c r="J741" i="10"/>
  <c r="J749" i="10"/>
  <c r="J734" i="10"/>
  <c r="J742" i="10"/>
  <c r="J750" i="10"/>
  <c r="J757" i="10"/>
  <c r="J765" i="10"/>
  <c r="J773" i="10"/>
  <c r="J781" i="10"/>
  <c r="J789" i="10"/>
  <c r="J797" i="10"/>
  <c r="J805" i="10"/>
  <c r="I378" i="9"/>
  <c r="K612" i="1"/>
  <c r="C465" i="1"/>
  <c r="N816" i="1"/>
  <c r="E766" i="10"/>
  <c r="E790" i="10"/>
  <c r="C126" i="8"/>
  <c r="D391" i="1"/>
  <c r="F32" i="6"/>
  <c r="C478" i="1"/>
  <c r="J748" i="10"/>
  <c r="J763" i="10"/>
  <c r="J795" i="10"/>
  <c r="C102" i="8"/>
  <c r="C482" i="1"/>
  <c r="E760" i="10"/>
  <c r="E770" i="10"/>
  <c r="E786" i="10"/>
  <c r="E802" i="10"/>
  <c r="E810" i="10"/>
  <c r="F498" i="1"/>
  <c r="C476" i="1"/>
  <c r="F16" i="6"/>
  <c r="J766" i="10"/>
  <c r="J782" i="10"/>
  <c r="J798" i="10"/>
  <c r="J756" i="10"/>
  <c r="J788" i="10"/>
  <c r="J760" i="10"/>
  <c r="J792" i="10"/>
  <c r="J735" i="10"/>
  <c r="J743" i="10"/>
  <c r="J751" i="10"/>
  <c r="J736" i="10"/>
  <c r="J744" i="10"/>
  <c r="J752" i="10"/>
  <c r="J759" i="10"/>
  <c r="J767" i="10"/>
  <c r="J775" i="10"/>
  <c r="J783" i="10"/>
  <c r="J791" i="10"/>
  <c r="J799" i="10"/>
  <c r="J807" i="10"/>
  <c r="E782" i="10"/>
  <c r="E806" i="10"/>
  <c r="F516" i="1"/>
  <c r="J771" i="10"/>
  <c r="E762" i="10"/>
  <c r="E778" i="10"/>
  <c r="E794" i="10"/>
  <c r="E756" i="10"/>
  <c r="E764" i="10"/>
  <c r="E772" i="10"/>
  <c r="E780" i="10"/>
  <c r="E788" i="10"/>
  <c r="E796" i="10"/>
  <c r="E804" i="10"/>
  <c r="E811" i="10"/>
  <c r="F540" i="1"/>
  <c r="H540" i="1"/>
  <c r="F532" i="1"/>
  <c r="H532" i="1"/>
  <c r="F524" i="1"/>
  <c r="F550" i="1"/>
  <c r="E815" i="10"/>
  <c r="J770" i="10"/>
  <c r="J786" i="10"/>
  <c r="J802" i="10"/>
  <c r="J764" i="10"/>
  <c r="J796" i="10"/>
  <c r="J768" i="10"/>
  <c r="J800" i="10"/>
  <c r="J737" i="10"/>
  <c r="J745" i="10"/>
  <c r="J753" i="10"/>
  <c r="J738" i="10"/>
  <c r="J746" i="10"/>
  <c r="J754" i="10"/>
  <c r="J761" i="10"/>
  <c r="J769" i="10"/>
  <c r="J777" i="10"/>
  <c r="J785" i="10"/>
  <c r="J793" i="10"/>
  <c r="J801" i="10"/>
  <c r="E814" i="10" l="1"/>
  <c r="D277" i="1"/>
  <c r="B476" i="1"/>
  <c r="C33" i="8"/>
  <c r="F81" i="9"/>
  <c r="J751" i="1"/>
  <c r="H209" i="9"/>
  <c r="BQ71" i="1"/>
  <c r="F309" i="9" s="1"/>
  <c r="AK71" i="1"/>
  <c r="I149" i="9" s="1"/>
  <c r="J768" i="1"/>
  <c r="J789" i="1"/>
  <c r="I241" i="9"/>
  <c r="J787" i="1"/>
  <c r="F17" i="9"/>
  <c r="J782" i="1"/>
  <c r="G337" i="9"/>
  <c r="J805" i="1"/>
  <c r="BY71" i="1"/>
  <c r="C570" i="1" s="1"/>
  <c r="D337" i="9"/>
  <c r="H241" i="9"/>
  <c r="J801" i="1"/>
  <c r="AY71" i="1"/>
  <c r="C544" i="1" s="1"/>
  <c r="G544" i="1" s="1"/>
  <c r="G305" i="9"/>
  <c r="F305" i="9"/>
  <c r="H81" i="9"/>
  <c r="AA71" i="1"/>
  <c r="F117" i="9" s="1"/>
  <c r="BD71" i="1"/>
  <c r="C624" i="1" s="1"/>
  <c r="D177" i="9"/>
  <c r="J735" i="1"/>
  <c r="J788" i="1"/>
  <c r="F113" i="9"/>
  <c r="G209" i="9"/>
  <c r="C305" i="9"/>
  <c r="F49" i="9"/>
  <c r="F337" i="9"/>
  <c r="J798" i="1"/>
  <c r="BO71" i="1"/>
  <c r="C560" i="1" s="1"/>
  <c r="C555" i="1"/>
  <c r="J807" i="1"/>
  <c r="C619" i="1"/>
  <c r="C559" i="1"/>
  <c r="H17" i="9"/>
  <c r="V71" i="1"/>
  <c r="J780" i="1"/>
  <c r="J797" i="1"/>
  <c r="E145" i="9"/>
  <c r="J764" i="1"/>
  <c r="C688" i="1"/>
  <c r="G71" i="1"/>
  <c r="C672" i="1" s="1"/>
  <c r="AJ71" i="1"/>
  <c r="C701" i="1" s="1"/>
  <c r="J737" i="1"/>
  <c r="J770" i="1"/>
  <c r="C309" i="9"/>
  <c r="G17" i="9"/>
  <c r="C697" i="1"/>
  <c r="CB71" i="1"/>
  <c r="C622" i="1" s="1"/>
  <c r="J739" i="1"/>
  <c r="C557" i="1"/>
  <c r="H277" i="9"/>
  <c r="C554" i="1"/>
  <c r="C634" i="1"/>
  <c r="J811" i="1"/>
  <c r="J765" i="1"/>
  <c r="BM71" i="1"/>
  <c r="C638" i="1" s="1"/>
  <c r="C49" i="9"/>
  <c r="J741" i="1"/>
  <c r="F277" i="9"/>
  <c r="I85" i="9"/>
  <c r="I273" i="9"/>
  <c r="J767" i="1"/>
  <c r="P71" i="1"/>
  <c r="C509" i="1" s="1"/>
  <c r="G509" i="1" s="1"/>
  <c r="J747" i="1"/>
  <c r="AH71" i="1"/>
  <c r="C527" i="1" s="1"/>
  <c r="G527" i="1" s="1"/>
  <c r="M71" i="1"/>
  <c r="C678" i="1" s="1"/>
  <c r="J799" i="1"/>
  <c r="E305" i="9"/>
  <c r="C630" i="1"/>
  <c r="C675" i="1"/>
  <c r="C53" i="9"/>
  <c r="C644" i="1"/>
  <c r="C676" i="1"/>
  <c r="D53" i="9"/>
  <c r="C504" i="1"/>
  <c r="G504" i="1" s="1"/>
  <c r="C524" i="1"/>
  <c r="C696" i="1"/>
  <c r="C149" i="9"/>
  <c r="I21" i="9"/>
  <c r="C502" i="1"/>
  <c r="G502" i="1" s="1"/>
  <c r="C674" i="1"/>
  <c r="C510" i="1"/>
  <c r="G510" i="1" s="1"/>
  <c r="C85" i="9"/>
  <c r="C682" i="1"/>
  <c r="C566" i="1"/>
  <c r="C341" i="9"/>
  <c r="C641" i="1"/>
  <c r="C501" i="1"/>
  <c r="G501" i="1" s="1"/>
  <c r="H21" i="9"/>
  <c r="C673" i="1"/>
  <c r="E213" i="9"/>
  <c r="C540" i="1"/>
  <c r="G540" i="1" s="1"/>
  <c r="C712" i="1"/>
  <c r="C518" i="1"/>
  <c r="G518" i="1" s="1"/>
  <c r="D117" i="9"/>
  <c r="C690" i="1"/>
  <c r="F181" i="9"/>
  <c r="C706" i="1"/>
  <c r="C534" i="1"/>
  <c r="G534" i="1" s="1"/>
  <c r="C117" i="9"/>
  <c r="C689" i="1"/>
  <c r="C517" i="1"/>
  <c r="G517" i="1" s="1"/>
  <c r="C539" i="1"/>
  <c r="G539" i="1" s="1"/>
  <c r="D213" i="9"/>
  <c r="C711" i="1"/>
  <c r="C679" i="1"/>
  <c r="C507" i="1"/>
  <c r="G507" i="1" s="1"/>
  <c r="G53" i="9"/>
  <c r="C541" i="1"/>
  <c r="C713" i="1"/>
  <c r="J763" i="1"/>
  <c r="J759" i="1"/>
  <c r="J803" i="1"/>
  <c r="I305" i="9"/>
  <c r="C525" i="1"/>
  <c r="G525" i="1" s="1"/>
  <c r="D145" i="9"/>
  <c r="F341" i="9"/>
  <c r="E277" i="9"/>
  <c r="AB71" i="1"/>
  <c r="C693" i="1" s="1"/>
  <c r="D245" i="9"/>
  <c r="C637" i="1"/>
  <c r="H516" i="1"/>
  <c r="C542" i="1"/>
  <c r="C629" i="1"/>
  <c r="F213" i="9"/>
  <c r="C498" i="1"/>
  <c r="G498" i="1" s="1"/>
  <c r="C643" i="1"/>
  <c r="E53" i="9"/>
  <c r="C543" i="1"/>
  <c r="C523" i="1"/>
  <c r="G523" i="1" s="1"/>
  <c r="C568" i="1"/>
  <c r="C642" i="1"/>
  <c r="C669" i="1"/>
  <c r="C537" i="1"/>
  <c r="G537" i="1" s="1"/>
  <c r="C695" i="1"/>
  <c r="C707" i="1"/>
  <c r="C497" i="1"/>
  <c r="G497" i="1" s="1"/>
  <c r="C691" i="1"/>
  <c r="C535" i="1"/>
  <c r="G535" i="1" s="1"/>
  <c r="C545" i="1"/>
  <c r="G545" i="1" s="1"/>
  <c r="E117" i="9"/>
  <c r="C631" i="1"/>
  <c r="C505" i="1"/>
  <c r="G505" i="1" s="1"/>
  <c r="G309" i="9"/>
  <c r="C705" i="1"/>
  <c r="C531" i="1"/>
  <c r="G531" i="1" s="1"/>
  <c r="C574" i="1"/>
  <c r="I181" i="9"/>
  <c r="C181" i="9"/>
  <c r="C626" i="1"/>
  <c r="H213" i="9"/>
  <c r="C620" i="1"/>
  <c r="E181" i="9"/>
  <c r="E309" i="9"/>
  <c r="C561" i="1"/>
  <c r="C547" i="1"/>
  <c r="C680" i="1"/>
  <c r="G149" i="9"/>
  <c r="C632" i="1"/>
  <c r="H53" i="9"/>
  <c r="I245" i="9"/>
  <c r="C567" i="1"/>
  <c r="C708" i="1"/>
  <c r="C628" i="1"/>
  <c r="C647" i="1"/>
  <c r="C683" i="1"/>
  <c r="D85" i="9"/>
  <c r="C511" i="1"/>
  <c r="H181" i="9"/>
  <c r="C639" i="1"/>
  <c r="C564" i="1"/>
  <c r="H309" i="9"/>
  <c r="C700" i="1"/>
  <c r="C694" i="1"/>
  <c r="C572" i="1"/>
  <c r="C277" i="9"/>
  <c r="C552" i="1"/>
  <c r="C618" i="1"/>
  <c r="C522" i="1"/>
  <c r="G522" i="1" s="1"/>
  <c r="C710" i="1"/>
  <c r="C213" i="9"/>
  <c r="C538" i="1"/>
  <c r="G538" i="1" s="1"/>
  <c r="G85" i="9"/>
  <c r="C686" i="1"/>
  <c r="C514" i="1"/>
  <c r="G514" i="1" s="1"/>
  <c r="C670" i="1"/>
  <c r="E149" i="9"/>
  <c r="C614" i="1"/>
  <c r="C550" i="1"/>
  <c r="H245" i="9"/>
  <c r="C636" i="1"/>
  <c r="C553" i="1"/>
  <c r="D277" i="9"/>
  <c r="C698" i="1"/>
  <c r="C640" i="1"/>
  <c r="C565" i="1"/>
  <c r="I309" i="9"/>
  <c r="E734" i="1"/>
  <c r="E815" i="1" s="1"/>
  <c r="CE62" i="1"/>
  <c r="C12" i="9"/>
  <c r="F21" i="9"/>
  <c r="C671" i="1"/>
  <c r="C499" i="1"/>
  <c r="G499" i="1" s="1"/>
  <c r="C145" i="9"/>
  <c r="J762" i="1"/>
  <c r="J740" i="1"/>
  <c r="I17" i="9"/>
  <c r="J806" i="1"/>
  <c r="E337" i="9"/>
  <c r="J790" i="1"/>
  <c r="C273" i="9"/>
  <c r="J810" i="1"/>
  <c r="I337" i="9"/>
  <c r="J774" i="1"/>
  <c r="H177" i="9"/>
  <c r="F177" i="9"/>
  <c r="J772" i="1"/>
  <c r="C177" i="9"/>
  <c r="J769" i="1"/>
  <c r="E241" i="9"/>
  <c r="J785" i="1"/>
  <c r="D113" i="9"/>
  <c r="J756" i="1"/>
  <c r="F241" i="9"/>
  <c r="J786" i="1"/>
  <c r="F517" i="1"/>
  <c r="E85" i="9"/>
  <c r="C512" i="1"/>
  <c r="G512" i="1" s="1"/>
  <c r="C684" i="1"/>
  <c r="C67" i="1"/>
  <c r="C71" i="1" s="1"/>
  <c r="CE52" i="1"/>
  <c r="D273" i="9"/>
  <c r="J791" i="1"/>
  <c r="J746" i="1"/>
  <c r="H49" i="9"/>
  <c r="G277" i="9"/>
  <c r="C556" i="1"/>
  <c r="C635" i="1"/>
  <c r="D209" i="9"/>
  <c r="J777" i="1"/>
  <c r="J745" i="1"/>
  <c r="G49" i="9"/>
  <c r="C209" i="9"/>
  <c r="J776" i="1"/>
  <c r="J802" i="1"/>
  <c r="H305" i="9"/>
  <c r="F209" i="9"/>
  <c r="J779" i="1"/>
  <c r="J757" i="1"/>
  <c r="E113" i="9"/>
  <c r="G81" i="9"/>
  <c r="J752" i="1"/>
  <c r="F85" i="9"/>
  <c r="C513" i="1"/>
  <c r="G513" i="1" s="1"/>
  <c r="C685" i="1"/>
  <c r="H337" i="9"/>
  <c r="J809" i="1"/>
  <c r="J755" i="1"/>
  <c r="C113" i="9"/>
  <c r="J742" i="1"/>
  <c r="D49" i="9"/>
  <c r="G273" i="9"/>
  <c r="J794" i="1"/>
  <c r="J761" i="1"/>
  <c r="I113" i="9"/>
  <c r="J783" i="1"/>
  <c r="C241" i="9"/>
  <c r="J754" i="1"/>
  <c r="I81" i="9"/>
  <c r="J760" i="1"/>
  <c r="H113" i="9"/>
  <c r="D241" i="9"/>
  <c r="J784" i="1"/>
  <c r="D81" i="9"/>
  <c r="J749" i="1"/>
  <c r="E209" i="9"/>
  <c r="J778" i="1"/>
  <c r="J795" i="1"/>
  <c r="H273" i="9"/>
  <c r="J793" i="1"/>
  <c r="F273" i="9"/>
  <c r="J736" i="1"/>
  <c r="E17" i="9"/>
  <c r="J792" i="1"/>
  <c r="E273" i="9"/>
  <c r="J748" i="1"/>
  <c r="C81" i="9"/>
  <c r="C633" i="1"/>
  <c r="F245" i="9"/>
  <c r="C548" i="1"/>
  <c r="J804" i="1"/>
  <c r="C337" i="9"/>
  <c r="J775" i="1"/>
  <c r="I177" i="9"/>
  <c r="G145" i="9"/>
  <c r="J766" i="1"/>
  <c r="J812" i="1"/>
  <c r="D369" i="9"/>
  <c r="J743" i="1"/>
  <c r="E49" i="9"/>
  <c r="E81" i="9"/>
  <c r="J750" i="1"/>
  <c r="J773" i="1"/>
  <c r="G177" i="9"/>
  <c r="C571" i="1"/>
  <c r="C646" i="1"/>
  <c r="H341" i="9"/>
  <c r="C532" i="1"/>
  <c r="G532" i="1" s="1"/>
  <c r="C704" i="1"/>
  <c r="D181" i="9"/>
  <c r="F515" i="1"/>
  <c r="H515" i="1"/>
  <c r="F522" i="1"/>
  <c r="F510" i="1"/>
  <c r="H510" i="1"/>
  <c r="F513" i="1"/>
  <c r="H513" i="1"/>
  <c r="C142" i="8"/>
  <c r="D393" i="1"/>
  <c r="Z772" i="10"/>
  <c r="Z756" i="10"/>
  <c r="Z766" i="10"/>
  <c r="Z749" i="10"/>
  <c r="Z758" i="10"/>
  <c r="Z774" i="10"/>
  <c r="Z744" i="10"/>
  <c r="Z770" i="10"/>
  <c r="Z775" i="10"/>
  <c r="Z753" i="10"/>
  <c r="Z764" i="10"/>
  <c r="Z778" i="10"/>
  <c r="Z751" i="10"/>
  <c r="Z741" i="10"/>
  <c r="Z771" i="10"/>
  <c r="Z747" i="10"/>
  <c r="Z761" i="10"/>
  <c r="Z742" i="10"/>
  <c r="Z757" i="10"/>
  <c r="Z762" i="10"/>
  <c r="Z768" i="10"/>
  <c r="Z765" i="10"/>
  <c r="Z748" i="10"/>
  <c r="Z743" i="10"/>
  <c r="Z773" i="10"/>
  <c r="Z734" i="10"/>
  <c r="Z752" i="10"/>
  <c r="Z745" i="10"/>
  <c r="Z763" i="10"/>
  <c r="Z759" i="10"/>
  <c r="Z736" i="10"/>
  <c r="Z739" i="10"/>
  <c r="Z767" i="10"/>
  <c r="Z769" i="10"/>
  <c r="Z754" i="10"/>
  <c r="Z735" i="10"/>
  <c r="Z750" i="10"/>
  <c r="Z746" i="10"/>
  <c r="Z738" i="10"/>
  <c r="Z776" i="10"/>
  <c r="Z740" i="10"/>
  <c r="Z760" i="10"/>
  <c r="Z737" i="10"/>
  <c r="Z777" i="10"/>
  <c r="Z755" i="10"/>
  <c r="F538" i="1"/>
  <c r="H538" i="1"/>
  <c r="F496" i="1"/>
  <c r="H496" i="1"/>
  <c r="F534" i="1"/>
  <c r="H534" i="1"/>
  <c r="H502" i="1"/>
  <c r="F502" i="1"/>
  <c r="H504" i="1"/>
  <c r="F504" i="1"/>
  <c r="H530" i="1"/>
  <c r="F530" i="1"/>
  <c r="F512" i="1"/>
  <c r="H512" i="1"/>
  <c r="F526" i="1"/>
  <c r="H526" i="1"/>
  <c r="F503" i="1"/>
  <c r="H503" i="1"/>
  <c r="H508" i="1"/>
  <c r="F508" i="1"/>
  <c r="F514" i="1"/>
  <c r="F507" i="1"/>
  <c r="F518" i="1"/>
  <c r="H546" i="1"/>
  <c r="F546" i="1"/>
  <c r="F506" i="1"/>
  <c r="H500" i="1"/>
  <c r="F500" i="1"/>
  <c r="F509" i="1"/>
  <c r="C35" i="8" l="1"/>
  <c r="D292" i="1"/>
  <c r="C623" i="1"/>
  <c r="C530" i="1"/>
  <c r="G530" i="1" s="1"/>
  <c r="C562" i="1"/>
  <c r="C702" i="1"/>
  <c r="C692" i="1"/>
  <c r="H544" i="1"/>
  <c r="C645" i="1"/>
  <c r="C625" i="1"/>
  <c r="H514" i="1"/>
  <c r="C520" i="1"/>
  <c r="G520" i="1" s="1"/>
  <c r="G341" i="9"/>
  <c r="I213" i="9"/>
  <c r="C549" i="1"/>
  <c r="C627" i="1"/>
  <c r="C373" i="9"/>
  <c r="G245" i="9"/>
  <c r="C500" i="1"/>
  <c r="G500" i="1" s="1"/>
  <c r="F149" i="9"/>
  <c r="G21" i="9"/>
  <c r="C573" i="1"/>
  <c r="D309" i="9"/>
  <c r="H518" i="1"/>
  <c r="H149" i="9"/>
  <c r="G117" i="9"/>
  <c r="H85" i="9"/>
  <c r="C515" i="1"/>
  <c r="G515" i="1" s="1"/>
  <c r="C687" i="1"/>
  <c r="I53" i="9"/>
  <c r="C529" i="1"/>
  <c r="G529" i="1" s="1"/>
  <c r="C681" i="1"/>
  <c r="H507" i="1"/>
  <c r="H517" i="1"/>
  <c r="C521" i="1"/>
  <c r="G521" i="1" s="1"/>
  <c r="C558" i="1"/>
  <c r="C699" i="1"/>
  <c r="I277" i="9"/>
  <c r="F53" i="9"/>
  <c r="C506" i="1"/>
  <c r="G524" i="1"/>
  <c r="H524" i="1"/>
  <c r="H498" i="1"/>
  <c r="H522" i="1"/>
  <c r="H509" i="1"/>
  <c r="G511" i="1"/>
  <c r="H511" i="1"/>
  <c r="I364" i="9"/>
  <c r="E816" i="1"/>
  <c r="C428" i="1"/>
  <c r="C496" i="1"/>
  <c r="G496" i="1" s="1"/>
  <c r="C21" i="9"/>
  <c r="C668" i="1"/>
  <c r="G550" i="1"/>
  <c r="H550" i="1" s="1"/>
  <c r="D615" i="1"/>
  <c r="J734" i="1"/>
  <c r="J815" i="1" s="1"/>
  <c r="CE67" i="1"/>
  <c r="CE71" i="1" s="1"/>
  <c r="C17" i="9"/>
  <c r="J733" i="10"/>
  <c r="J814" i="10" s="1"/>
  <c r="H545" i="1"/>
  <c r="F545" i="1"/>
  <c r="H525" i="1"/>
  <c r="F525" i="1"/>
  <c r="F529" i="1"/>
  <c r="C146" i="8"/>
  <c r="D396" i="1"/>
  <c r="C151" i="8" s="1"/>
  <c r="F521" i="1"/>
  <c r="H535" i="1"/>
  <c r="F535" i="1"/>
  <c r="H533" i="1"/>
  <c r="F533" i="1"/>
  <c r="Z733" i="10"/>
  <c r="Z814" i="10" s="1"/>
  <c r="H527" i="1"/>
  <c r="F527" i="1"/>
  <c r="F539" i="1"/>
  <c r="H539" i="1"/>
  <c r="F519" i="1"/>
  <c r="H519" i="1"/>
  <c r="F523" i="1"/>
  <c r="H523" i="1"/>
  <c r="F537" i="1"/>
  <c r="H537" i="1"/>
  <c r="F531" i="1"/>
  <c r="H531" i="1"/>
  <c r="C50" i="8" l="1"/>
  <c r="D341" i="1"/>
  <c r="C481" i="1" s="1"/>
  <c r="C648" i="1"/>
  <c r="M716" i="1" s="1"/>
  <c r="Y816" i="1" s="1"/>
  <c r="C715" i="1"/>
  <c r="H529" i="1"/>
  <c r="H521" i="1"/>
  <c r="G506" i="1"/>
  <c r="H506" i="1"/>
  <c r="C716" i="1"/>
  <c r="I373" i="9"/>
  <c r="D629" i="1"/>
  <c r="D671" i="1"/>
  <c r="D620" i="1"/>
  <c r="D634" i="1"/>
  <c r="D669" i="1"/>
  <c r="D638" i="1"/>
  <c r="D691" i="1"/>
  <c r="D703" i="1"/>
  <c r="D673" i="1"/>
  <c r="D670" i="1"/>
  <c r="D677" i="1"/>
  <c r="D627" i="1"/>
  <c r="D640" i="1"/>
  <c r="D621" i="1"/>
  <c r="D689" i="1"/>
  <c r="D712" i="1"/>
  <c r="D701" i="1"/>
  <c r="D678" i="1"/>
  <c r="D696" i="1"/>
  <c r="D642" i="1"/>
  <c r="D697" i="1"/>
  <c r="D709" i="1"/>
  <c r="D707" i="1"/>
  <c r="D702" i="1"/>
  <c r="D694" i="1"/>
  <c r="D616" i="1"/>
  <c r="D672" i="1"/>
  <c r="D710" i="1"/>
  <c r="D626" i="1"/>
  <c r="D668" i="1"/>
  <c r="D641" i="1"/>
  <c r="D680" i="1"/>
  <c r="D633" i="1"/>
  <c r="D643" i="1"/>
  <c r="D646" i="1"/>
  <c r="D619" i="1"/>
  <c r="D708" i="1"/>
  <c r="D695" i="1"/>
  <c r="D688" i="1"/>
  <c r="D683" i="1"/>
  <c r="D679" i="1"/>
  <c r="D624" i="1"/>
  <c r="D693" i="1"/>
  <c r="D625" i="1"/>
  <c r="D618" i="1"/>
  <c r="D681" i="1"/>
  <c r="D632" i="1"/>
  <c r="D716" i="1"/>
  <c r="D690" i="1"/>
  <c r="D637" i="1"/>
  <c r="D647" i="1"/>
  <c r="D687" i="1"/>
  <c r="D644" i="1"/>
  <c r="D692" i="1"/>
  <c r="D645" i="1"/>
  <c r="D622" i="1"/>
  <c r="D704" i="1"/>
  <c r="D700" i="1"/>
  <c r="D639" i="1"/>
  <c r="D623" i="1"/>
  <c r="D628" i="1"/>
  <c r="D686" i="1"/>
  <c r="D705" i="1"/>
  <c r="D699" i="1"/>
  <c r="D711" i="1"/>
  <c r="D675" i="1"/>
  <c r="D631" i="1"/>
  <c r="D630" i="1"/>
  <c r="D706" i="1"/>
  <c r="D682" i="1"/>
  <c r="D676" i="1"/>
  <c r="D684" i="1"/>
  <c r="D617" i="1"/>
  <c r="D674" i="1"/>
  <c r="D685" i="1"/>
  <c r="D636" i="1"/>
  <c r="D713" i="1"/>
  <c r="D698" i="1"/>
  <c r="D635" i="1"/>
  <c r="C433" i="1"/>
  <c r="C441" i="1" s="1"/>
  <c r="J816" i="1"/>
  <c r="I369" i="9"/>
  <c r="J815" i="10"/>
  <c r="E623" i="1" l="1"/>
  <c r="E612" i="1"/>
  <c r="E646" i="1" s="1"/>
  <c r="D715" i="1"/>
  <c r="E716" i="1" l="1"/>
  <c r="E709" i="1"/>
  <c r="E673" i="1"/>
  <c r="E644" i="1"/>
  <c r="E625" i="1"/>
  <c r="E639" i="1"/>
  <c r="E634" i="1"/>
  <c r="E640" i="1"/>
  <c r="E670" i="1"/>
  <c r="E697" i="1"/>
  <c r="E627" i="1"/>
  <c r="E637" i="1"/>
  <c r="E712" i="1"/>
  <c r="E696" i="1"/>
  <c r="E626" i="1"/>
  <c r="E671" i="1"/>
  <c r="E683" i="1"/>
  <c r="E702" i="1"/>
  <c r="E684" i="1"/>
  <c r="E647" i="1"/>
  <c r="E685" i="1"/>
  <c r="E692" i="1"/>
  <c r="E631" i="1"/>
  <c r="E645" i="1"/>
  <c r="E680" i="1"/>
  <c r="E682" i="1"/>
  <c r="E676" i="1"/>
  <c r="E679" i="1"/>
  <c r="E690" i="1"/>
  <c r="E701" i="1"/>
  <c r="E635" i="1"/>
  <c r="E710" i="1"/>
  <c r="E681" i="1"/>
  <c r="E705" i="1"/>
  <c r="E691" i="1"/>
  <c r="E675" i="1"/>
  <c r="E632" i="1"/>
  <c r="E677" i="1"/>
  <c r="E633" i="1"/>
  <c r="E628" i="1"/>
  <c r="E704" i="1"/>
  <c r="E689" i="1"/>
  <c r="E672" i="1"/>
  <c r="E708" i="1"/>
  <c r="E674" i="1"/>
  <c r="E668" i="1"/>
  <c r="E695" i="1"/>
  <c r="E630" i="1"/>
  <c r="E638" i="1"/>
  <c r="E699" i="1"/>
  <c r="E693" i="1"/>
  <c r="E713" i="1"/>
  <c r="E688" i="1"/>
  <c r="E694" i="1"/>
  <c r="E706" i="1"/>
  <c r="E700" i="1"/>
  <c r="E629" i="1"/>
  <c r="E707" i="1"/>
  <c r="E678" i="1"/>
  <c r="E686" i="1"/>
  <c r="E669" i="1"/>
  <c r="E641" i="1"/>
  <c r="E687" i="1"/>
  <c r="E703" i="1"/>
  <c r="E643" i="1"/>
  <c r="E624" i="1"/>
  <c r="E636" i="1"/>
  <c r="E711" i="1"/>
  <c r="E642" i="1"/>
  <c r="E698" i="1"/>
  <c r="E715" i="1" l="1"/>
  <c r="F624" i="1"/>
  <c r="F632" i="1" l="1"/>
  <c r="F641" i="1"/>
  <c r="F693" i="1"/>
  <c r="F629" i="1"/>
  <c r="F642" i="1"/>
  <c r="F626" i="1"/>
  <c r="F672" i="1"/>
  <c r="F637" i="1"/>
  <c r="F644" i="1"/>
  <c r="F678" i="1"/>
  <c r="F694" i="1"/>
  <c r="F677" i="1"/>
  <c r="F639" i="1"/>
  <c r="F635" i="1"/>
  <c r="F673" i="1"/>
  <c r="F705" i="1"/>
  <c r="F685" i="1"/>
  <c r="F716" i="1"/>
  <c r="F689" i="1"/>
  <c r="F675" i="1"/>
  <c r="F711" i="1"/>
  <c r="F634" i="1"/>
  <c r="F676" i="1"/>
  <c r="F704" i="1"/>
  <c r="F627" i="1"/>
  <c r="F700" i="1"/>
  <c r="F674" i="1"/>
  <c r="F713" i="1"/>
  <c r="F709" i="1"/>
  <c r="F683" i="1"/>
  <c r="F625" i="1"/>
  <c r="F643" i="1"/>
  <c r="F681" i="1"/>
  <c r="F680" i="1"/>
  <c r="F703" i="1"/>
  <c r="F631" i="1"/>
  <c r="F696" i="1"/>
  <c r="F646" i="1"/>
  <c r="F695" i="1"/>
  <c r="F691" i="1"/>
  <c r="F638" i="1"/>
  <c r="F670" i="1"/>
  <c r="F697" i="1"/>
  <c r="F628" i="1"/>
  <c r="F687" i="1"/>
  <c r="F640" i="1"/>
  <c r="F645" i="1"/>
  <c r="F706" i="1"/>
  <c r="F636" i="1"/>
  <c r="F710" i="1"/>
  <c r="F684" i="1"/>
  <c r="F668" i="1"/>
  <c r="F707" i="1"/>
  <c r="F688" i="1"/>
  <c r="F630" i="1"/>
  <c r="F633" i="1"/>
  <c r="F647" i="1"/>
  <c r="F671" i="1"/>
  <c r="F708" i="1"/>
  <c r="F682" i="1"/>
  <c r="F692" i="1"/>
  <c r="F701" i="1"/>
  <c r="F686" i="1"/>
  <c r="F698" i="1"/>
  <c r="F702" i="1"/>
  <c r="F699" i="1"/>
  <c r="F679" i="1"/>
  <c r="F712" i="1"/>
  <c r="F690" i="1"/>
  <c r="F669" i="1"/>
  <c r="F715" i="1" l="1"/>
  <c r="G625" i="1"/>
  <c r="G647" i="1" l="1"/>
  <c r="G641" i="1"/>
  <c r="G636" i="1"/>
  <c r="G704" i="1"/>
  <c r="G690" i="1"/>
  <c r="G638" i="1"/>
  <c r="G699" i="1"/>
  <c r="G673" i="1"/>
  <c r="G668" i="1"/>
  <c r="G706" i="1"/>
  <c r="G705" i="1"/>
  <c r="G716" i="1"/>
  <c r="G645" i="1"/>
  <c r="G703" i="1"/>
  <c r="G694" i="1"/>
  <c r="G643" i="1"/>
  <c r="G646" i="1"/>
  <c r="G691" i="1"/>
  <c r="G676" i="1"/>
  <c r="G631" i="1"/>
  <c r="G640" i="1"/>
  <c r="G679" i="1"/>
  <c r="G677" i="1"/>
  <c r="G669" i="1"/>
  <c r="G674" i="1"/>
  <c r="G713" i="1"/>
  <c r="G670" i="1"/>
  <c r="G707" i="1"/>
  <c r="G697" i="1"/>
  <c r="G626" i="1"/>
  <c r="G627" i="1"/>
  <c r="G672" i="1"/>
  <c r="G708" i="1"/>
  <c r="G634" i="1"/>
  <c r="G692" i="1"/>
  <c r="G696" i="1"/>
  <c r="G633" i="1"/>
  <c r="G630" i="1"/>
  <c r="G628" i="1"/>
  <c r="H628" i="1" s="1"/>
  <c r="G681" i="1"/>
  <c r="G689" i="1"/>
  <c r="G700" i="1"/>
  <c r="G688" i="1"/>
  <c r="G701" i="1"/>
  <c r="G684" i="1"/>
  <c r="G644" i="1"/>
  <c r="G680" i="1"/>
  <c r="G632" i="1"/>
  <c r="G675" i="1"/>
  <c r="G711" i="1"/>
  <c r="G712" i="1"/>
  <c r="G683" i="1"/>
  <c r="G637" i="1"/>
  <c r="G642" i="1"/>
  <c r="G710" i="1"/>
  <c r="G678" i="1"/>
  <c r="G698" i="1"/>
  <c r="G635" i="1"/>
  <c r="G693" i="1"/>
  <c r="G709" i="1"/>
  <c r="G687" i="1"/>
  <c r="G639" i="1"/>
  <c r="G685" i="1"/>
  <c r="G682" i="1"/>
  <c r="G629" i="1"/>
  <c r="G702" i="1"/>
  <c r="G671" i="1"/>
  <c r="G695" i="1"/>
  <c r="G686" i="1"/>
  <c r="G715" i="1" l="1"/>
  <c r="H683" i="1"/>
  <c r="H640" i="1"/>
  <c r="H668" i="1"/>
  <c r="H700" i="1"/>
  <c r="H630" i="1"/>
  <c r="H678" i="1"/>
  <c r="H709" i="1"/>
  <c r="H695" i="1"/>
  <c r="H690" i="1"/>
  <c r="H684" i="1"/>
  <c r="H641" i="1"/>
  <c r="H631" i="1"/>
  <c r="H702" i="1"/>
  <c r="H639" i="1"/>
  <c r="H689" i="1"/>
  <c r="H685" i="1"/>
  <c r="H707" i="1"/>
  <c r="H712" i="1"/>
  <c r="H708" i="1"/>
  <c r="H632" i="1"/>
  <c r="H716" i="1"/>
  <c r="H669" i="1"/>
  <c r="H643" i="1"/>
  <c r="H635" i="1"/>
  <c r="H629" i="1"/>
  <c r="H701" i="1"/>
  <c r="H696" i="1"/>
  <c r="H691" i="1"/>
  <c r="H674" i="1"/>
  <c r="H694" i="1"/>
  <c r="H672" i="1"/>
  <c r="H638" i="1"/>
  <c r="H647" i="1"/>
  <c r="H680" i="1"/>
  <c r="H679" i="1"/>
  <c r="H676" i="1"/>
  <c r="H644" i="1"/>
  <c r="H705" i="1"/>
  <c r="H713" i="1"/>
  <c r="H688" i="1"/>
  <c r="H634" i="1"/>
  <c r="H636" i="1"/>
  <c r="H670" i="1"/>
  <c r="H675" i="1"/>
  <c r="H646" i="1"/>
  <c r="H686" i="1"/>
  <c r="H704" i="1"/>
  <c r="H699" i="1"/>
  <c r="H710" i="1"/>
  <c r="H697" i="1"/>
  <c r="H682" i="1"/>
  <c r="H633" i="1"/>
  <c r="H693" i="1"/>
  <c r="H645" i="1"/>
  <c r="H637" i="1"/>
  <c r="H671" i="1"/>
  <c r="H711" i="1"/>
  <c r="H706" i="1"/>
  <c r="H698" i="1"/>
  <c r="H677" i="1"/>
  <c r="H673" i="1"/>
  <c r="H687" i="1"/>
  <c r="H692" i="1"/>
  <c r="H681" i="1"/>
  <c r="H642" i="1"/>
  <c r="H703" i="1"/>
  <c r="H715" i="1" l="1"/>
  <c r="I629" i="1"/>
  <c r="I646" i="1" l="1"/>
  <c r="I704" i="1"/>
  <c r="I708" i="1"/>
  <c r="I693" i="1"/>
  <c r="I673" i="1"/>
  <c r="I689" i="1"/>
  <c r="I634" i="1"/>
  <c r="I630" i="1"/>
  <c r="I676" i="1"/>
  <c r="I633" i="1"/>
  <c r="I643" i="1"/>
  <c r="I695" i="1"/>
  <c r="I644" i="1"/>
  <c r="I635" i="1"/>
  <c r="I679" i="1"/>
  <c r="I698" i="1"/>
  <c r="I691" i="1"/>
  <c r="I700" i="1"/>
  <c r="I716" i="1"/>
  <c r="I683" i="1"/>
  <c r="I681" i="1"/>
  <c r="I702" i="1"/>
  <c r="I674" i="1"/>
  <c r="I711" i="1"/>
  <c r="I709" i="1"/>
  <c r="I647" i="1"/>
  <c r="I707" i="1"/>
  <c r="I671" i="1"/>
  <c r="I687" i="1"/>
  <c r="I703" i="1"/>
  <c r="I631" i="1"/>
  <c r="I686" i="1"/>
  <c r="I675" i="1"/>
  <c r="I677" i="1"/>
  <c r="I641" i="1"/>
  <c r="I642" i="1"/>
  <c r="I637" i="1"/>
  <c r="I710" i="1"/>
  <c r="I668" i="1"/>
  <c r="I639" i="1"/>
  <c r="I685" i="1"/>
  <c r="I692" i="1"/>
  <c r="I701" i="1"/>
  <c r="I697" i="1"/>
  <c r="I670" i="1"/>
  <c r="I705" i="1"/>
  <c r="I640" i="1"/>
  <c r="I678" i="1"/>
  <c r="I680" i="1"/>
  <c r="I632" i="1"/>
  <c r="I688" i="1"/>
  <c r="I636" i="1"/>
  <c r="I645" i="1"/>
  <c r="I669" i="1"/>
  <c r="I672" i="1"/>
  <c r="I706" i="1"/>
  <c r="I682" i="1"/>
  <c r="I638" i="1"/>
  <c r="I690" i="1"/>
  <c r="I712" i="1"/>
  <c r="I694" i="1"/>
  <c r="I713" i="1"/>
  <c r="I696" i="1"/>
  <c r="I684" i="1"/>
  <c r="I699" i="1"/>
  <c r="I715" i="1" l="1"/>
  <c r="J630" i="1"/>
  <c r="J707" i="1" l="1"/>
  <c r="J633" i="1"/>
  <c r="J674" i="1"/>
  <c r="J695" i="1"/>
  <c r="J700" i="1"/>
  <c r="J681" i="1"/>
  <c r="J704" i="1"/>
  <c r="J683" i="1"/>
  <c r="J705" i="1"/>
  <c r="J678" i="1"/>
  <c r="J639" i="1"/>
  <c r="J677" i="1"/>
  <c r="J675" i="1"/>
  <c r="J684" i="1"/>
  <c r="J703" i="1"/>
  <c r="J636" i="1"/>
  <c r="J643" i="1"/>
  <c r="J646" i="1"/>
  <c r="J685" i="1"/>
  <c r="J690" i="1"/>
  <c r="J634" i="1"/>
  <c r="J631" i="1"/>
  <c r="J676" i="1"/>
  <c r="J710" i="1"/>
  <c r="J699" i="1"/>
  <c r="J712" i="1"/>
  <c r="J686" i="1"/>
  <c r="J632" i="1"/>
  <c r="J669" i="1"/>
  <c r="J635" i="1"/>
  <c r="J638" i="1"/>
  <c r="J711" i="1"/>
  <c r="J642" i="1"/>
  <c r="J668" i="1"/>
  <c r="J709" i="1"/>
  <c r="J692" i="1"/>
  <c r="J680" i="1"/>
  <c r="J679" i="1"/>
  <c r="J694" i="1"/>
  <c r="J693" i="1"/>
  <c r="J644" i="1"/>
  <c r="K644" i="1" s="1"/>
  <c r="J670" i="1"/>
  <c r="J637" i="1"/>
  <c r="J702" i="1"/>
  <c r="J647" i="1"/>
  <c r="L647" i="1" s="1"/>
  <c r="J696" i="1"/>
  <c r="J697" i="1"/>
  <c r="J698" i="1"/>
  <c r="J688" i="1"/>
  <c r="J713" i="1"/>
  <c r="J706" i="1"/>
  <c r="J641" i="1"/>
  <c r="J691" i="1"/>
  <c r="J671" i="1"/>
  <c r="J708" i="1"/>
  <c r="J672" i="1"/>
  <c r="J673" i="1"/>
  <c r="J687" i="1"/>
  <c r="J640" i="1"/>
  <c r="J645" i="1"/>
  <c r="J689" i="1"/>
  <c r="J701" i="1"/>
  <c r="J716" i="1"/>
  <c r="J682" i="1"/>
  <c r="J715" i="1" l="1"/>
  <c r="L704" i="1"/>
  <c r="M704" i="1" s="1"/>
  <c r="L668" i="1"/>
  <c r="L685" i="1"/>
  <c r="M685" i="1" s="1"/>
  <c r="L706" i="1"/>
  <c r="M706" i="1" s="1"/>
  <c r="L712" i="1"/>
  <c r="M712" i="1" s="1"/>
  <c r="L703" i="1"/>
  <c r="M703" i="1" s="1"/>
  <c r="L708" i="1"/>
  <c r="M708" i="1" s="1"/>
  <c r="L683" i="1"/>
  <c r="M683" i="1" s="1"/>
  <c r="L691" i="1"/>
  <c r="M691" i="1" s="1"/>
  <c r="L697" i="1"/>
  <c r="M697" i="1" s="1"/>
  <c r="L716" i="1"/>
  <c r="L707" i="1"/>
  <c r="M707" i="1" s="1"/>
  <c r="L696" i="1"/>
  <c r="M696" i="1" s="1"/>
  <c r="L669" i="1"/>
  <c r="M669" i="1" s="1"/>
  <c r="L670" i="1"/>
  <c r="M670" i="1" s="1"/>
  <c r="L710" i="1"/>
  <c r="M710" i="1" s="1"/>
  <c r="L701" i="1"/>
  <c r="M701" i="1" s="1"/>
  <c r="L674" i="1"/>
  <c r="M674" i="1" s="1"/>
  <c r="L698" i="1"/>
  <c r="M698" i="1" s="1"/>
  <c r="L689" i="1"/>
  <c r="M689" i="1" s="1"/>
  <c r="L693" i="1"/>
  <c r="M693" i="1" s="1"/>
  <c r="L700" i="1"/>
  <c r="M700" i="1" s="1"/>
  <c r="L676" i="1"/>
  <c r="M676" i="1" s="1"/>
  <c r="L672" i="1"/>
  <c r="M672" i="1" s="1"/>
  <c r="L695" i="1"/>
  <c r="M695" i="1" s="1"/>
  <c r="L677" i="1"/>
  <c r="M677" i="1" s="1"/>
  <c r="L682" i="1"/>
  <c r="M682" i="1" s="1"/>
  <c r="L692" i="1"/>
  <c r="M692" i="1" s="1"/>
  <c r="L680" i="1"/>
  <c r="M680" i="1" s="1"/>
  <c r="L690" i="1"/>
  <c r="M690" i="1" s="1"/>
  <c r="L702" i="1"/>
  <c r="M702" i="1" s="1"/>
  <c r="L686" i="1"/>
  <c r="M686" i="1" s="1"/>
  <c r="L688" i="1"/>
  <c r="M688" i="1" s="1"/>
  <c r="L679" i="1"/>
  <c r="M679" i="1" s="1"/>
  <c r="L675" i="1"/>
  <c r="M675" i="1" s="1"/>
  <c r="L687" i="1"/>
  <c r="M687" i="1" s="1"/>
  <c r="L713" i="1"/>
  <c r="M713" i="1" s="1"/>
  <c r="L678" i="1"/>
  <c r="M678" i="1" s="1"/>
  <c r="L684" i="1"/>
  <c r="M684" i="1" s="1"/>
  <c r="L673" i="1"/>
  <c r="M673" i="1" s="1"/>
  <c r="L671" i="1"/>
  <c r="M671" i="1" s="1"/>
  <c r="L709" i="1"/>
  <c r="M709" i="1" s="1"/>
  <c r="L705" i="1"/>
  <c r="M705" i="1" s="1"/>
  <c r="L699" i="1"/>
  <c r="M699" i="1" s="1"/>
  <c r="L711" i="1"/>
  <c r="M711" i="1" s="1"/>
  <c r="L694" i="1"/>
  <c r="M694" i="1" s="1"/>
  <c r="L681" i="1"/>
  <c r="M681" i="1" s="1"/>
  <c r="K716" i="1"/>
  <c r="K671" i="1"/>
  <c r="K703" i="1"/>
  <c r="K677" i="1"/>
  <c r="K709" i="1"/>
  <c r="K702" i="1"/>
  <c r="K675" i="1"/>
  <c r="K698" i="1"/>
  <c r="K684" i="1"/>
  <c r="K695" i="1"/>
  <c r="K697" i="1"/>
  <c r="K705" i="1"/>
  <c r="K712" i="1"/>
  <c r="K708" i="1"/>
  <c r="K700" i="1"/>
  <c r="K691" i="1"/>
  <c r="K679" i="1"/>
  <c r="K689" i="1"/>
  <c r="K669" i="1"/>
  <c r="K711" i="1"/>
  <c r="K678" i="1"/>
  <c r="K707" i="1"/>
  <c r="K680" i="1"/>
  <c r="K670" i="1"/>
  <c r="K704" i="1"/>
  <c r="K685" i="1"/>
  <c r="K699" i="1"/>
  <c r="K683" i="1"/>
  <c r="K668" i="1"/>
  <c r="K715" i="1" s="1"/>
  <c r="K686" i="1"/>
  <c r="K687" i="1"/>
  <c r="K690" i="1"/>
  <c r="K692" i="1"/>
  <c r="K681" i="1"/>
  <c r="K694" i="1"/>
  <c r="K696" i="1"/>
  <c r="K674" i="1"/>
  <c r="K693" i="1"/>
  <c r="K673" i="1"/>
  <c r="K701" i="1"/>
  <c r="K713" i="1"/>
  <c r="K672" i="1"/>
  <c r="K676" i="1"/>
  <c r="K710" i="1"/>
  <c r="K682" i="1"/>
  <c r="K688" i="1"/>
  <c r="K706" i="1"/>
  <c r="I55" i="9" l="1"/>
  <c r="Y747" i="1"/>
  <c r="Y750" i="1"/>
  <c r="E87" i="9"/>
  <c r="Y768" i="1"/>
  <c r="I151" i="9"/>
  <c r="Y742" i="1"/>
  <c r="D55" i="9"/>
  <c r="Y736" i="1"/>
  <c r="E23" i="9"/>
  <c r="Y774" i="1"/>
  <c r="H183" i="9"/>
  <c r="Y775" i="1"/>
  <c r="I183" i="9"/>
  <c r="Y745" i="1"/>
  <c r="G55" i="9"/>
  <c r="E55" i="9"/>
  <c r="Y743" i="1"/>
  <c r="I23" i="9"/>
  <c r="Y740" i="1"/>
  <c r="Y769" i="1"/>
  <c r="C183" i="9"/>
  <c r="Y777" i="1"/>
  <c r="D215" i="9"/>
  <c r="Y737" i="1"/>
  <c r="F23" i="9"/>
  <c r="F215" i="9"/>
  <c r="Y779" i="1"/>
  <c r="Y754" i="1"/>
  <c r="I87" i="9"/>
  <c r="Y746" i="1"/>
  <c r="H55" i="9"/>
  <c r="I119" i="9"/>
  <c r="Y761" i="1"/>
  <c r="Y759" i="1"/>
  <c r="G119" i="9"/>
  <c r="Y767" i="1"/>
  <c r="H151" i="9"/>
  <c r="Y762" i="1"/>
  <c r="C151" i="9"/>
  <c r="E119" i="9"/>
  <c r="Y757" i="1"/>
  <c r="E215" i="9"/>
  <c r="Y778" i="1"/>
  <c r="D183" i="9"/>
  <c r="Y770" i="1"/>
  <c r="Y771" i="1"/>
  <c r="E183" i="9"/>
  <c r="Y741" i="1"/>
  <c r="C55" i="9"/>
  <c r="Y748" i="1"/>
  <c r="C87" i="9"/>
  <c r="E151" i="9"/>
  <c r="Y764" i="1"/>
  <c r="Y751" i="1"/>
  <c r="F87" i="9"/>
  <c r="Y760" i="1"/>
  <c r="H119" i="9"/>
  <c r="F55" i="9"/>
  <c r="Y744" i="1"/>
  <c r="Y756" i="1"/>
  <c r="D119" i="9"/>
  <c r="Y766" i="1"/>
  <c r="G151" i="9"/>
  <c r="D23" i="9"/>
  <c r="Y735" i="1"/>
  <c r="D151" i="9"/>
  <c r="Y763" i="1"/>
  <c r="L715" i="1"/>
  <c r="M668" i="1"/>
  <c r="Y765" i="1"/>
  <c r="F151" i="9"/>
  <c r="Y739" i="1"/>
  <c r="H23" i="9"/>
  <c r="Y753" i="1"/>
  <c r="H87" i="9"/>
  <c r="G87" i="9"/>
  <c r="Y752" i="1"/>
  <c r="F119" i="9"/>
  <c r="Y758" i="1"/>
  <c r="Y738" i="1"/>
  <c r="G23" i="9"/>
  <c r="C119" i="9"/>
  <c r="Y755" i="1"/>
  <c r="Y776" i="1"/>
  <c r="C215" i="9"/>
  <c r="Y773" i="1"/>
  <c r="G183" i="9"/>
  <c r="Y749" i="1"/>
  <c r="D87" i="9"/>
  <c r="F183" i="9"/>
  <c r="Y772" i="1"/>
  <c r="C23" i="9" l="1"/>
  <c r="M715" i="1"/>
  <c r="Y734" i="1"/>
  <c r="Y815" i="1" s="1"/>
</calcChain>
</file>

<file path=xl/sharedStrings.xml><?xml version="1.0" encoding="utf-8"?>
<sst xmlns="http://schemas.openxmlformats.org/spreadsheetml/2006/main" count="4937" uniqueCount="1280">
  <si>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</si>
  <si>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</si>
  <si>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</si>
  <si>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</si>
  <si>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</si>
  <si>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</si>
  <si>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</si>
  <si>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</si>
  <si>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</si>
  <si>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</si>
  <si>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</si>
  <si>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</si>
  <si>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</si>
  <si>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</si>
  <si>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</si>
  <si>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</si>
  <si>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</si>
  <si>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</si>
  <si>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</si>
  <si>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</si>
  <si>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</si>
  <si>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</si>
  <si>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</si>
  <si>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</si>
  <si>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</si>
  <si>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</si>
  <si>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</si>
  <si>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</si>
  <si>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</si>
  <si>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</si>
  <si>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</si>
  <si>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</si>
  <si>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</si>
  <si>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</si>
  <si>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</si>
  <si>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</si>
  <si>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</si>
  <si>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</si>
  <si>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</si>
  <si>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</si>
  <si>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</si>
  <si>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</si>
  <si>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</si>
  <si>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</si>
  <si>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</si>
  <si>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</si>
  <si>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</si>
  <si>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</si>
  <si>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</si>
  <si>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</si>
  <si>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</si>
  <si>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</si>
  <si>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</si>
  <si>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</si>
  <si>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</si>
  <si>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</si>
  <si>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</si>
  <si>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</si>
  <si>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</si>
  <si>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</si>
  <si>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</si>
  <si>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</si>
  <si>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</si>
  <si>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</si>
  <si>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</si>
  <si>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</si>
  <si>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</si>
  <si>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</si>
  <si>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</si>
  <si>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</si>
  <si>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</si>
  <si>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</si>
  <si>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</si>
  <si>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</si>
  <si>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</si>
  <si>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</si>
  <si>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</si>
  <si>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</si>
  <si>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</si>
  <si>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</si>
  <si>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</si>
  <si>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</si>
  <si>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</si>
  <si>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</si>
  <si>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</si>
  <si>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</si>
  <si>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</si>
  <si>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</si>
  <si>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</si>
  <si>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</si>
  <si>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</si>
  <si>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</si>
  <si>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</si>
  <si>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</si>
  <si>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</si>
  <si>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</si>
  <si>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</si>
  <si>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</si>
  <si>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</si>
  <si>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</si>
  <si>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</si>
  <si>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</si>
  <si>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</si>
  <si>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</si>
  <si>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</si>
  <si>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</si>
  <si>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</si>
  <si>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</si>
  <si>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</si>
  <si>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</si>
  <si>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</si>
  <si>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</si>
  <si>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</si>
  <si>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</si>
  <si>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</si>
  <si>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</si>
  <si>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</si>
  <si>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</si>
  <si>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</si>
  <si>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</si>
  <si>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</si>
  <si>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</si>
  <si>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</si>
  <si>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</si>
  <si>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</si>
  <si>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</si>
  <si>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</si>
  <si>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</si>
  <si>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</si>
  <si>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</si>
  <si>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</si>
  <si>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</si>
  <si>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</si>
  <si>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</si>
  <si>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</si>
  <si>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</si>
  <si>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</si>
  <si>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</si>
  <si>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</si>
  <si>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</si>
  <si>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</si>
  <si>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</si>
  <si>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</si>
  <si>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</si>
  <si>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</si>
  <si>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</si>
  <si>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</si>
  <si>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</si>
  <si>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</si>
  <si>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</si>
  <si>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</si>
  <si>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</si>
  <si>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</si>
  <si>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</si>
  <si>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</si>
  <si>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</si>
  <si>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</si>
  <si>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</si>
  <si>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</si>
  <si>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</si>
  <si>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</si>
  <si>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</si>
  <si>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</si>
  <si>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</si>
  <si>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</si>
  <si>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</si>
  <si>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</si>
  <si>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</si>
  <si>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</si>
  <si>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</si>
  <si>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</si>
  <si>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</si>
  <si>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</si>
  <si>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</si>
  <si>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</si>
  <si>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</si>
  <si>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</si>
  <si>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</si>
  <si>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</si>
  <si>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</si>
  <si>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</si>
  <si>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</si>
  <si>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</si>
  <si>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</si>
  <si>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</si>
  <si>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</si>
  <si>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</si>
  <si>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</si>
  <si>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</si>
  <si>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</si>
  <si>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</si>
  <si>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</si>
  <si>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</si>
  <si>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</si>
  <si>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</si>
  <si>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</si>
  <si>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</si>
  <si>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</si>
  <si>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</si>
  <si>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</si>
  <si>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</si>
  <si>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</si>
  <si>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</si>
  <si>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</si>
  <si>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</si>
  <si>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</si>
  <si>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</si>
  <si>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</si>
  <si>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</si>
  <si>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</si>
  <si>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</si>
  <si>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</si>
  <si>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</si>
  <si>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</si>
  <si>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</si>
  <si>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</si>
  <si>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</si>
  <si>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</si>
  <si>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</si>
  <si>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</si>
  <si>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</si>
  <si>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</si>
  <si>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</si>
  <si>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</si>
  <si>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</si>
  <si>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</si>
  <si>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</si>
  <si>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</si>
  <si>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</si>
  <si>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</si>
  <si>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</si>
  <si>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</si>
  <si>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</si>
  <si>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</si>
  <si>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</si>
  <si>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</si>
  <si>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</si>
  <si>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</si>
  <si>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</si>
  <si>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</si>
  <si>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</si>
  <si>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</si>
  <si>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</si>
  <si>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</si>
  <si>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</si>
  <si>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</si>
  <si>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</si>
  <si>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</si>
  <si>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</si>
  <si>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</si>
  <si>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</si>
  <si>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</si>
  <si>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</si>
  <si>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</si>
  <si>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</si>
  <si>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</si>
  <si>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</si>
  <si>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</si>
  <si>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</si>
  <si>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</si>
  <si>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</si>
  <si>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</si>
  <si>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</si>
  <si>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</si>
  <si>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</si>
  <si>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</si>
  <si>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</si>
  <si>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</si>
  <si>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</si>
  <si>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</si>
  <si>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</si>
  <si>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</si>
  <si>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</si>
  <si>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</si>
  <si>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</si>
  <si>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</si>
  <si>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</si>
  <si>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</si>
  <si>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</si>
  <si>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</si>
  <si>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</si>
  <si>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</si>
  <si>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</si>
  <si>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</si>
  <si>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</si>
  <si>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</si>
  <si>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</si>
  <si>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</si>
  <si>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</si>
  <si>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</si>
  <si>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</si>
  <si>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</si>
  <si>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</si>
  <si>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</si>
  <si>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</si>
  <si>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</si>
  <si>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</si>
  <si>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</si>
  <si>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</si>
  <si>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</si>
  <si>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</si>
  <si>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</si>
  <si>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</si>
  <si>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</si>
  <si>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</si>
  <si>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</si>
  <si>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</si>
  <si>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</si>
  <si>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</si>
  <si>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</si>
  <si>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</si>
  <si>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</si>
  <si>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</si>
  <si>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</si>
  <si>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</si>
  <si>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</si>
  <si>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</si>
  <si>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</si>
  <si>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</si>
  <si>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</si>
  <si>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</si>
  <si>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</si>
  <si>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</si>
  <si>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</si>
  <si>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</si>
  <si>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</si>
  <si>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</si>
  <si>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</si>
  <si>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</si>
  <si>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</si>
  <si>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</si>
  <si>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</si>
  <si>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</si>
  <si>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</si>
  <si>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</si>
  <si>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</si>
  <si>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</si>
  <si>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</si>
  <si>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</si>
  <si>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</si>
  <si>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</si>
  <si>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</si>
  <si>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</si>
  <si>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</si>
  <si>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</si>
  <si>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</si>
  <si>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</si>
  <si>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</si>
  <si>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</si>
  <si>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</si>
  <si>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</si>
  <si>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</si>
  <si>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</si>
  <si>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</si>
  <si>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</si>
  <si>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</si>
  <si>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</si>
  <si>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</si>
  <si>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</si>
  <si>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</si>
  <si>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</si>
  <si>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</si>
  <si>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</si>
  <si>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</si>
  <si>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</si>
  <si>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</si>
  <si>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</si>
  <si>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</si>
  <si>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</si>
  <si>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</si>
  <si>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</si>
  <si>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</si>
  <si>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</si>
  <si>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</si>
  <si>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</si>
  <si>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</si>
  <si>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</si>
  <si>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</si>
  <si>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</si>
  <si>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</si>
  <si>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</si>
  <si>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</si>
  <si>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</si>
  <si>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</si>
  <si>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</si>
  <si>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</si>
  <si>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</si>
  <si>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</si>
  <si>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</si>
  <si>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</si>
  <si>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</si>
  <si>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</si>
  <si>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</si>
  <si>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</si>
  <si>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</si>
  <si>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</si>
  <si>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</si>
  <si>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</si>
  <si>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</si>
  <si>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</si>
  <si>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</si>
  <si>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</si>
  <si>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</si>
  <si>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</si>
  <si>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</si>
  <si>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</si>
  <si>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</si>
  <si>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</si>
  <si>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</si>
  <si>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</si>
  <si>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</si>
  <si>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</si>
  <si>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</si>
  <si>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</si>
  <si>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</si>
  <si>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</si>
  <si>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</si>
  <si>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</si>
  <si>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</si>
  <si>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</si>
  <si>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</si>
  <si>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</si>
  <si>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</si>
  <si>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</si>
  <si>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</si>
  <si>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</si>
  <si>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</si>
  <si>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</si>
  <si>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</si>
  <si>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</si>
  <si>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</si>
  <si>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</si>
  <si>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</si>
  <si>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</si>
  <si>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</si>
  <si>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</si>
  <si>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</si>
  <si>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</si>
  <si>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</si>
  <si>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</si>
  <si>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</si>
  <si>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</si>
  <si>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</si>
  <si>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</si>
  <si>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</si>
  <si>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</si>
  <si>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</si>
  <si>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</si>
  <si>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</si>
  <si>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</si>
  <si>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</si>
  <si>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</si>
  <si>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</si>
  <si>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</si>
  <si>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</si>
  <si>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</si>
  <si>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</si>
  <si>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</si>
  <si>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</si>
  <si>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</si>
  <si>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</si>
  <si>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</si>
  <si>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</si>
  <si>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</si>
  <si>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</si>
  <si>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</si>
  <si>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</si>
  <si>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</si>
  <si>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</si>
  <si>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</si>
  <si>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</si>
  <si>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</si>
  <si>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</si>
  <si>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</si>
  <si>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</si>
  <si>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</si>
  <si>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</si>
  <si>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</si>
  <si>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</si>
  <si>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</si>
  <si>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</si>
  <si>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</si>
  <si>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</si>
  <si>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</si>
  <si>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</si>
  <si>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</si>
  <si>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</si>
  <si>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</si>
  <si>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</si>
  <si>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</si>
  <si>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</si>
  <si>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</si>
  <si>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</si>
  <si>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</si>
  <si>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</si>
  <si>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</si>
  <si>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</si>
  <si>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</si>
  <si>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</si>
  <si>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</si>
  <si>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</si>
  <si>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</si>
  <si>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</si>
  <si>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</si>
  <si>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</si>
  <si>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</si>
  <si>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</si>
  <si>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</si>
  <si>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</si>
  <si>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</si>
  <si>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</si>
  <si>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</si>
  <si>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</si>
  <si>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</si>
  <si>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</si>
  <si>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</si>
  <si>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</si>
  <si>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</si>
  <si>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</si>
  <si>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</si>
  <si>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</si>
  <si>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</si>
  <si>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</si>
  <si>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</si>
  <si>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</si>
  <si>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</si>
  <si>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</si>
  <si>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</si>
  <si>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</si>
  <si>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</si>
  <si>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</si>
  <si>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</si>
  <si>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</si>
  <si>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</si>
  <si>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</si>
  <si>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</si>
  <si>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</si>
  <si>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</si>
  <si>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</si>
  <si>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</si>
  <si>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</si>
  <si>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</si>
  <si>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</si>
  <si>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</si>
  <si>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</si>
  <si>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</si>
  <si>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</si>
  <si>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</si>
  <si>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</si>
  <si>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</si>
  <si>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</si>
  <si>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</si>
  <si>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</si>
  <si>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</si>
  <si>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</si>
  <si>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</si>
  <si>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</si>
  <si>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</si>
  <si>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</si>
  <si>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</si>
  <si>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</si>
  <si>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</si>
  <si>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</si>
  <si>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</si>
  <si>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</si>
  <si>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</si>
  <si>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</si>
  <si>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</si>
  <si>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</si>
  <si>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</si>
  <si>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</si>
  <si>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</si>
  <si>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</si>
  <si>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</si>
  <si>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</si>
  <si>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</si>
  <si>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</si>
  <si>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</si>
  <si>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</si>
  <si>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</si>
  <si>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</si>
  <si>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</si>
  <si>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</si>
  <si>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</si>
  <si>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</si>
  <si>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</si>
  <si>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</si>
  <si>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</si>
  <si>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</si>
  <si>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</si>
  <si>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</si>
  <si>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</si>
  <si>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</si>
  <si>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</si>
  <si>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</si>
  <si>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</si>
  <si>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</si>
  <si>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</si>
  <si>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</si>
  <si>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</si>
  <si>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</si>
  <si>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</si>
  <si>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</si>
  <si>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</si>
  <si>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</si>
  <si>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</si>
  <si>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</si>
  <si>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</si>
  <si>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</si>
  <si>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</si>
  <si>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</si>
  <si>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</si>
  <si>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</si>
  <si>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</si>
  <si>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</si>
  <si>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</si>
  <si>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</si>
  <si>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</si>
  <si>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</si>
  <si>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</si>
  <si>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</si>
  <si>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</si>
  <si>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</si>
  <si>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</si>
  <si>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</si>
  <si>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</si>
  <si>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</si>
  <si>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</si>
  <si>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</si>
  <si>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</si>
  <si>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</si>
  <si>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</si>
  <si>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</si>
  <si>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</si>
  <si>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</si>
  <si>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</si>
  <si>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</si>
  <si>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</si>
  <si>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</si>
  <si>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</si>
  <si>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</si>
  <si>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</si>
  <si>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</si>
  <si>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</si>
  <si>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</si>
  <si>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</si>
  <si>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</si>
  <si>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</si>
  <si>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</si>
  <si>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</si>
  <si>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</si>
  <si>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</si>
  <si>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</si>
  <si>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</si>
  <si>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</si>
  <si>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</si>
  <si>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</si>
  <si>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</si>
  <si>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</si>
  <si>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</si>
  <si>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</si>
  <si>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</si>
  <si>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</si>
  <si>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</si>
  <si>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</si>
  <si>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</si>
  <si>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</si>
  <si>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</si>
  <si>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</si>
  <si>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</si>
  <si>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</si>
  <si>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</si>
  <si>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</si>
  <si>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</si>
  <si>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</si>
  <si>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</si>
  <si>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</si>
  <si>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</si>
  <si>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</si>
  <si>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</si>
  <si>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</si>
  <si>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</si>
  <si>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</si>
  <si>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</si>
  <si>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</si>
  <si>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</si>
  <si>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</si>
  <si>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</si>
  <si>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</si>
  <si>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</si>
  <si>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</si>
  <si>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</si>
  <si>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</si>
  <si>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</si>
  <si>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</si>
  <si>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</si>
  <si>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</si>
  <si>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</si>
  <si>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</si>
  <si>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</si>
  <si>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</si>
  <si>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</si>
  <si>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</si>
  <si>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</si>
  <si>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</si>
  <si>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</si>
  <si>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</si>
  <si>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</si>
  <si>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</si>
  <si>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</si>
  <si>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</si>
  <si>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</si>
  <si>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</si>
  <si>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</si>
  <si>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</si>
  <si>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</si>
  <si>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</si>
  <si>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</si>
  <si>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</si>
  <si>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</si>
  <si>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</si>
  <si>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</si>
  <si>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</si>
  <si>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</si>
  <si>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</si>
  <si>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</si>
  <si>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</si>
  <si>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</si>
  <si>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</si>
  <si>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</si>
  <si>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</si>
  <si>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</si>
  <si>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</si>
  <si>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</si>
  <si>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</si>
  <si>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</si>
  <si>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</si>
  <si>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</si>
  <si>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</si>
  <si>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</si>
  <si>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</si>
  <si>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</si>
  <si>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</si>
  <si>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</si>
  <si>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</si>
  <si>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</si>
  <si>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</si>
  <si>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</si>
  <si>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</si>
  <si>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</si>
  <si>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</si>
  <si>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</si>
  <si>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</si>
  <si>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</si>
  <si>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</si>
  <si>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</si>
  <si>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</si>
  <si>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</si>
  <si>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</si>
  <si>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</si>
  <si>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</si>
  <si>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</si>
  <si>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</si>
  <si>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</si>
  <si>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</si>
  <si>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</si>
  <si>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</si>
  <si>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</si>
  <si>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</si>
  <si>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</si>
  <si>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</si>
  <si>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</si>
  <si>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</si>
  <si>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</si>
  <si>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</si>
  <si>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</si>
  <si>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</si>
  <si>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</si>
  <si>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</si>
  <si>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</si>
  <si>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</si>
  <si>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</si>
  <si>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</si>
  <si>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</si>
  <si>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</si>
  <si>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</si>
  <si>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</si>
  <si>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</si>
  <si>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</si>
  <si>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</si>
  <si>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</si>
  <si>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</si>
  <si>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</si>
  <si>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</si>
  <si>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</si>
  <si>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</si>
  <si>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</si>
  <si>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</si>
  <si>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</si>
  <si>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</si>
  <si>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</si>
  <si>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</si>
  <si>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</si>
  <si>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</si>
  <si>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</si>
  <si>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</si>
  <si>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</si>
  <si>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</si>
  <si>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</si>
  <si>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</si>
  <si>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</si>
  <si>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</si>
  <si>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</si>
  <si>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</si>
  <si>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</si>
  <si>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</si>
  <si>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</si>
  <si>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</si>
  <si>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</si>
  <si>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</si>
  <si>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</si>
  <si>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</si>
  <si>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</si>
  <si>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</si>
  <si>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</si>
  <si>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</si>
  <si>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</si>
  <si>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</si>
  <si>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</si>
  <si>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</si>
  <si>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</si>
  <si>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</si>
  <si>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</si>
  <si>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</si>
  <si>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</si>
  <si>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</si>
  <si>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</si>
  <si>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</si>
  <si>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</si>
  <si>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</si>
  <si>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</si>
  <si>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</si>
  <si>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</si>
  <si>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</si>
  <si>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</si>
  <si>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</si>
  <si>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</si>
  <si>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</si>
  <si>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</si>
  <si>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</si>
  <si>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</si>
  <si>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</si>
  <si>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</si>
  <si>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</si>
  <si>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</si>
  <si>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</si>
  <si>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</si>
  <si>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</si>
  <si>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</si>
  <si>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</si>
  <si>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</si>
  <si>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</si>
  <si>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</si>
  <si>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</si>
  <si>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</si>
  <si>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</si>
  <si>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</si>
  <si>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</si>
  <si>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</si>
  <si>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</si>
  <si>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</si>
  <si>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</si>
  <si>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</si>
  <si>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</si>
  <si>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</si>
  <si>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</si>
  <si>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</si>
  <si>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</si>
  <si>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</si>
  <si>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</si>
  <si>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</si>
  <si>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</si>
  <si>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</si>
  <si>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</si>
  <si>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</si>
  <si>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</si>
  <si>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</si>
  <si>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</si>
  <si>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</si>
  <si>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</si>
  <si>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</si>
  <si>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</si>
  <si>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</si>
  <si>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</si>
  <si>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</si>
  <si>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</si>
  <si>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</si>
  <si>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</si>
  <si>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</si>
  <si>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</si>
  <si>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</si>
  <si>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</si>
  <si>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</si>
  <si>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</si>
  <si>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</si>
  <si>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</si>
  <si>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</si>
  <si>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</si>
  <si>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</si>
  <si>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</si>
  <si>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</si>
  <si>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</si>
  <si>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</si>
  <si>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</si>
  <si>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</si>
  <si>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</si>
  <si>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</si>
  <si>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</si>
  <si>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</si>
  <si>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</si>
  <si>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</si>
  <si>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</si>
  <si>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</si>
  <si>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</si>
  <si>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</si>
  <si>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</si>
  <si>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</si>
  <si>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</si>
  <si>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</si>
  <si>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</si>
  <si>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</si>
  <si>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</si>
  <si>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</si>
  <si>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</si>
  <si>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</si>
  <si>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</si>
  <si>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</si>
  <si>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</si>
  <si>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</si>
  <si>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</si>
  <si>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</si>
  <si>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</si>
  <si>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</si>
  <si>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</si>
  <si>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</si>
  <si>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</si>
  <si>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</si>
  <si>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</si>
  <si>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</si>
  <si>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</si>
  <si>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</si>
  <si>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</si>
  <si>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</si>
  <si>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</si>
  <si>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</si>
  <si>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</si>
  <si>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</si>
  <si>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</si>
  <si>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</si>
  <si>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</si>
  <si>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</si>
  <si>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</si>
  <si>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</si>
  <si>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</si>
  <si>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</si>
  <si>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</si>
  <si>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</si>
  <si>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</si>
  <si>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</si>
  <si>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</si>
  <si>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</si>
  <si>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</si>
  <si>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</si>
  <si>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</si>
  <si>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</si>
  <si>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</si>
  <si>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</si>
  <si>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</si>
  <si>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</si>
  <si>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</si>
  <si>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</si>
  <si>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</si>
  <si>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</si>
  <si>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</si>
  <si>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</si>
  <si>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</si>
  <si>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</si>
  <si>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</si>
  <si>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</si>
  <si>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</si>
  <si>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</si>
  <si>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</si>
  <si>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</si>
  <si>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</si>
  <si>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</si>
  <si>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</si>
  <si>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</si>
  <si>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</si>
  <si>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</si>
  <si>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</si>
  <si>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</si>
  <si>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</si>
  <si>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</si>
  <si>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</si>
  <si>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</si>
  <si>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</si>
  <si>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</si>
  <si>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</si>
  <si>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</si>
  <si>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</si>
  <si>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</si>
  <si>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</si>
  <si>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</si>
  <si>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</si>
  <si>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</si>
  <si>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</si>
  <si>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</si>
  <si>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</si>
  <si>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</si>
  <si>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</si>
  <si>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</si>
  <si>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</si>
  <si>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</si>
  <si>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</si>
  <si>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</si>
  <si>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</si>
  <si>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</si>
  <si>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</si>
  <si>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</si>
  <si>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</si>
  <si>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</si>
  <si>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</si>
  <si>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</si>
  <si>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</si>
  <si>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</si>
  <si>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</si>
  <si>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</si>
  <si>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</si>
  <si>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</si>
  <si>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</si>
  <si>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</si>
  <si>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</si>
  <si>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</si>
  <si>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</si>
  <si>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</si>
  <si>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</si>
  <si>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</si>
  <si>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</si>
  <si>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</si>
  <si>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</si>
  <si>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</si>
  <si>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</si>
  <si>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</si>
  <si>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</si>
  <si>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</si>
  <si>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</si>
  <si>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</si>
  <si>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</si>
  <si>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</si>
  <si>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</si>
  <si>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</si>
  <si>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</si>
  <si>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</si>
  <si>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</si>
  <si>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</si>
  <si>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</si>
  <si>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</si>
  <si>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</si>
  <si>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</si>
  <si>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</si>
  <si>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</si>
  <si>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</si>
  <si>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</si>
  <si>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</si>
  <si>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</si>
  <si>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</si>
  <si>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</si>
  <si>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</si>
  <si>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</si>
  <si>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</si>
  <si>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</si>
  <si>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</si>
  <si>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</si>
  <si>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</si>
  <si>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</si>
  <si>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</si>
  <si>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</si>
  <si>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</si>
  <si>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</si>
  <si>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</si>
  <si>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</si>
  <si>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</si>
  <si>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</si>
  <si>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</si>
  <si>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</si>
  <si>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</si>
  <si>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</si>
  <si>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</si>
  <si>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</si>
  <si>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</si>
  <si>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</si>
  <si>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</si>
  <si>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</si>
  <si>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</si>
  <si>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</si>
  <si>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</si>
  <si>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</si>
  <si>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</si>
  <si>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</si>
  <si>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</si>
  <si>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</si>
  <si>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</si>
  <si>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</si>
  <si>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</si>
  <si>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</si>
  <si>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</si>
  <si>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</si>
  <si>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</si>
  <si>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</si>
  <si>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</si>
  <si>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</si>
  <si>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</si>
  <si>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</si>
  <si>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</si>
  <si>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</si>
  <si>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</si>
  <si>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</si>
  <si>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</si>
  <si>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</si>
  <si>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</si>
  <si>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</si>
  <si>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</si>
  <si>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</si>
  <si>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</si>
  <si>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</si>
  <si>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</si>
  <si>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</si>
  <si>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</si>
  <si>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</si>
  <si>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</si>
  <si>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</si>
  <si>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</si>
  <si>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</si>
  <si>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</si>
  <si>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</si>
  <si>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</si>
  <si>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</si>
  <si>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</si>
  <si>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</si>
  <si>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</si>
  <si>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</si>
  <si>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</si>
  <si>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</si>
  <si>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</si>
  <si>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</si>
  <si>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</si>
  <si>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</si>
  <si>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</si>
  <si>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</si>
  <si>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</si>
  <si>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</si>
  <si>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</si>
  <si>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</si>
  <si>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</si>
  <si>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</si>
  <si>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</si>
  <si>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</si>
  <si>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</si>
  <si>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</si>
  <si>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</si>
  <si>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</si>
  <si>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</si>
  <si>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</si>
  <si>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</si>
  <si>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</si>
  <si>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</si>
  <si>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</si>
  <si>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</si>
  <si>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</si>
  <si>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</si>
  <si>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</si>
  <si>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</si>
  <si>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</si>
  <si>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</si>
  <si>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</si>
  <si>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</si>
  <si>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</si>
  <si>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</si>
  <si>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</si>
  <si>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</si>
  <si>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</si>
  <si>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</si>
  <si>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</si>
  <si>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</si>
  <si>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</si>
  <si>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</si>
  <si>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</si>
  <si>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</si>
  <si>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</si>
  <si>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</si>
  <si>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</si>
  <si>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</si>
  <si>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</si>
  <si>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</si>
  <si>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</si>
  <si>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</si>
  <si>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</si>
  <si>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</si>
  <si>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</si>
  <si>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</si>
  <si>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</si>
  <si>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</si>
  <si>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</si>
  <si>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</si>
  <si>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</si>
  <si>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</si>
  <si>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</si>
  <si>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</si>
  <si>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</si>
  <si>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</si>
  <si>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</si>
  <si>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</si>
  <si>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</si>
  <si>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</si>
  <si>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</si>
  <si>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</si>
  <si>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</si>
  <si>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</si>
  <si>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</si>
  <si>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</si>
  <si>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</si>
  <si>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</si>
  <si>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</si>
  <si>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</si>
  <si>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</si>
  <si>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</si>
  <si>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</si>
  <si>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</si>
  <si>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</si>
  <si>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</si>
  <si>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</si>
  <si>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</si>
  <si>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</si>
  <si>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</si>
  <si>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</si>
  <si>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</si>
  <si>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</si>
  <si>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</si>
  <si>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</si>
  <si>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</si>
  <si>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</si>
  <si>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</si>
  <si>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</si>
  <si>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</si>
  <si>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</si>
  <si>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</si>
  <si>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</si>
  <si>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</si>
  <si>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The operating expenses, the units of measure and the operating expenses per unit of measure are stated on line 484 thru line 568 in columns</t>
  </si>
  <si>
    <t>YUNABD</t>
  </si>
  <si>
    <t>Office of Community Health Systems</t>
  </si>
  <si>
    <t>P.O. Box 47853</t>
  </si>
  <si>
    <t>Olympia, Washington 98504-7853</t>
  </si>
  <si>
    <t>DOH FORM 689-182 (Rev 12/05/2017)</t>
  </si>
  <si>
    <r>
      <t xml:space="preserve">To submit your report by electronic mail, please send to: </t>
    </r>
    <r>
      <rPr>
        <sz val="11"/>
        <color theme="3"/>
        <rFont val="Arial"/>
        <family val="2"/>
      </rPr>
      <t>hos@doh.wa.gov</t>
    </r>
  </si>
  <si>
    <r>
      <t xml:space="preserve">If you have any questions or concerns please call Carrie Baranowski at 360-236-4210 or send an e-mail to </t>
    </r>
    <r>
      <rPr>
        <sz val="11"/>
        <color theme="3"/>
        <rFont val="Arial"/>
        <family val="2"/>
      </rPr>
      <t>hos@doh.wa.gov</t>
    </r>
    <r>
      <rPr>
        <sz val="11"/>
        <rFont val="Arial"/>
        <family val="2"/>
      </rPr>
      <t>.</t>
    </r>
  </si>
  <si>
    <r>
      <t xml:space="preserve">If you have any questions or concerns please call Communty Health Systems at 360-236-4210 or send an e-mail to: </t>
    </r>
    <r>
      <rPr>
        <sz val="11"/>
        <color theme="3"/>
        <rFont val="Arial"/>
        <family val="2"/>
      </rPr>
      <t>hos@doh.wa.gov</t>
    </r>
  </si>
  <si>
    <t>12/31/2019</t>
  </si>
  <si>
    <t>008</t>
  </si>
  <si>
    <t>Klickitat County Public Hospital District #1</t>
  </si>
  <si>
    <t>310 S Roosevelt</t>
  </si>
  <si>
    <t>310 S Roosebelt</t>
  </si>
  <si>
    <t>Goldendale</t>
  </si>
  <si>
    <t>Klickitat</t>
  </si>
  <si>
    <t>Leslie Hiebert</t>
  </si>
  <si>
    <t>Jim Heilsberg</t>
  </si>
  <si>
    <t>509.773.4022</t>
  </si>
  <si>
    <t>509.773.4714</t>
  </si>
  <si>
    <t>12/31/2020</t>
  </si>
  <si>
    <t xml:space="preserve">Lori Groves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</si>
</sst>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6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1"/>
      <color theme="3"/>
      <name val="Arial"/>
      <family val="2"/>
    </font>
    <font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344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11" fillId="0" borderId="0" xfId="2" applyNumberFormat="1" applyAlignme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3" fillId="2" borderId="0" xfId="0" applyFont="1" applyFill="1" applyProtection="1"/>
    <xf numFmtId="37" fontId="3" fillId="2" borderId="0" xfId="0" quotePrefix="1" applyFont="1" applyFill="1" applyAlignment="1" applyProtection="1">
      <alignment horizontal="center"/>
    </xf>
    <xf numFmtId="37" fontId="3" fillId="2" borderId="0" xfId="0" quotePrefix="1" applyFont="1" applyFill="1" applyAlignment="1" applyProtection="1"/>
    <xf numFmtId="4" fontId="3" fillId="2" borderId="0" xfId="0" applyNumberFormat="1" applyFont="1" applyFill="1" applyProtection="1"/>
    <xf numFmtId="39" fontId="3" fillId="2" borderId="0" xfId="0" applyNumberFormat="1" applyFont="1" applyFill="1" applyProtection="1"/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9" fillId="0" borderId="0" xfId="2" applyNumberFormat="1" applyFont="1" applyAlignment="1" applyProtection="1">
      <alignment horizontal="left"/>
    </xf>
    <xf numFmtId="37" fontId="3" fillId="8" borderId="0" xfId="0" quotePrefix="1" applyFont="1" applyFill="1" applyAlignment="1" applyProtection="1">
      <alignment horizontal="left"/>
    </xf>
    <xf numFmtId="37" fontId="3" fillId="0" borderId="0" xfId="2" applyNumberFormat="1" applyFont="1" applyAlignment="1" applyProtection="1"/>
    <xf numFmtId="37" fontId="15" fillId="0" borderId="0" xfId="0" quotePrefix="1" applyFont="1" applyAlignment="1" applyProtection="1">
      <alignment horizontal="left"/>
    </xf>
    <xf numFmtId="37" fontId="15" fillId="0" borderId="0" xfId="2" applyNumberFormat="1" applyFont="1" applyAlignment="1" applyProtection="1"/>
    <xf numFmtId="37" fontId="3" fillId="3" borderId="0" xfId="0" applyFont="1" applyFill="1"/>
    <xf numFmtId="38" fontId="3" fillId="3" borderId="0" xfId="0" applyNumberFormat="1" applyFont="1" applyFill="1" applyAlignment="1">
      <alignment horizontal="center"/>
    </xf>
    <xf numFmtId="37" fontId="3" fillId="3" borderId="0" xfId="0" applyFont="1" applyFill="1" applyAlignment="1">
      <alignment horizontal="center"/>
    </xf>
    <xf numFmtId="37" fontId="3" fillId="3" borderId="0" xfId="0" quotePrefix="1" applyFont="1" applyFill="1" applyAlignment="1">
      <alignment horizontal="center"/>
    </xf>
    <xf numFmtId="37" fontId="9" fillId="0" borderId="1" xfId="0" applyFont="1" applyBorder="1" applyProtection="1">
      <protection locked="0"/>
    </xf>
    <xf numFmtId="37" fontId="9" fillId="0" borderId="1" xfId="0" quotePrefix="1" applyFont="1" applyBorder="1" applyProtection="1">
      <protection locked="0"/>
    </xf>
    <xf numFmtId="37" fontId="3" fillId="3" borderId="0" xfId="0" quotePrefix="1" applyFont="1" applyFill="1"/>
    <xf numFmtId="37" fontId="3" fillId="3" borderId="0" xfId="0" quotePrefix="1" applyFont="1" applyFill="1" applyAlignment="1">
      <alignment horizontal="left"/>
    </xf>
    <xf numFmtId="38" fontId="3" fillId="3" borderId="0" xfId="0" applyNumberFormat="1" applyFont="1" applyFill="1"/>
    <xf numFmtId="166" fontId="3" fillId="3" borderId="0" xfId="0" applyNumberFormat="1" applyFont="1" applyFill="1" applyAlignment="1">
      <alignment horizontal="center"/>
    </xf>
    <xf numFmtId="37" fontId="3" fillId="3" borderId="0" xfId="0" quotePrefix="1" applyFont="1" applyFill="1" applyAlignment="1">
      <alignment horizontal="fill"/>
    </xf>
    <xf numFmtId="39" fontId="3" fillId="3" borderId="0" xfId="0" quotePrefix="1" applyNumberFormat="1" applyFont="1" applyFill="1" applyAlignment="1">
      <alignment horizontal="left"/>
    </xf>
    <xf numFmtId="4" fontId="3" fillId="3" borderId="0" xfId="0" applyNumberFormat="1" applyFont="1" applyFill="1"/>
    <xf numFmtId="37" fontId="9" fillId="4" borderId="1" xfId="0" quotePrefix="1" applyFont="1" applyFill="1" applyBorder="1" applyProtection="1">
      <protection locked="0"/>
    </xf>
    <xf numFmtId="39" fontId="3" fillId="3" borderId="0" xfId="0" quotePrefix="1" applyNumberFormat="1" applyFont="1" applyFill="1" applyAlignment="1">
      <alignment horizontal="fill"/>
    </xf>
    <xf numFmtId="39" fontId="3" fillId="3" borderId="0" xfId="0" applyNumberFormat="1" applyFont="1" applyFill="1"/>
    <xf numFmtId="37" fontId="3" fillId="3" borderId="0" xfId="0" applyFont="1" applyFill="1" applyAlignment="1">
      <alignment horizontal="centerContinuous"/>
    </xf>
    <xf numFmtId="37" fontId="3" fillId="3" borderId="0" xfId="0" applyFont="1" applyFill="1" applyAlignment="1">
      <alignment horizontal="right"/>
    </xf>
    <xf numFmtId="49" fontId="9" fillId="4" borderId="1" xfId="0" quotePrefix="1" applyNumberFormat="1" applyFont="1" applyFill="1" applyBorder="1" applyProtection="1">
      <protection locked="0"/>
    </xf>
    <xf numFmtId="37" fontId="10" fillId="3" borderId="0" xfId="0" applyFont="1" applyFill="1"/>
    <xf numFmtId="38" fontId="9" fillId="4" borderId="1" xfId="0" quotePrefix="1" applyNumberFormat="1" applyFont="1" applyFill="1" applyBorder="1" applyProtection="1">
      <protection locked="0"/>
    </xf>
    <xf numFmtId="37" fontId="9" fillId="3" borderId="0" xfId="0" applyFont="1" applyFill="1" applyAlignment="1">
      <alignment horizontal="centerContinuous"/>
    </xf>
    <xf numFmtId="38" fontId="3" fillId="3" borderId="0" xfId="0" applyNumberFormat="1" applyFont="1" applyFill="1" applyAlignment="1">
      <alignment horizontal="right"/>
    </xf>
    <xf numFmtId="37" fontId="3" fillId="3" borderId="0" xfId="0" quotePrefix="1" applyFont="1" applyFill="1" applyAlignment="1">
      <alignment horizontal="centerContinuous"/>
    </xf>
    <xf numFmtId="37" fontId="9" fillId="3" borderId="0" xfId="0" quotePrefix="1" applyFont="1" applyFill="1" applyAlignment="1">
      <alignment horizontal="left"/>
    </xf>
    <xf numFmtId="37" fontId="9" fillId="3" borderId="0" xfId="0" applyFont="1" applyFill="1" applyAlignment="1">
      <alignment horizontal="center"/>
    </xf>
    <xf numFmtId="38" fontId="9" fillId="3" borderId="0" xfId="0" applyNumberFormat="1" applyFont="1" applyFill="1" applyAlignment="1">
      <alignment horizontal="center"/>
    </xf>
    <xf numFmtId="37" fontId="3" fillId="0" borderId="0" xfId="0" quotePrefix="1" applyFont="1" applyAlignment="1">
      <alignment horizontal="left"/>
    </xf>
    <xf numFmtId="38" fontId="9" fillId="3" borderId="0" xfId="0" applyNumberFormat="1" applyFont="1" applyFill="1"/>
    <xf numFmtId="37" fontId="9" fillId="3" borderId="0" xfId="0" applyFont="1" applyFill="1"/>
    <xf numFmtId="37" fontId="3" fillId="3" borderId="0" xfId="0" applyFont="1" applyFill="1" applyAlignment="1">
      <alignment horizontal="left"/>
    </xf>
    <xf numFmtId="39" fontId="3" fillId="0" borderId="0" xfId="0" applyNumberFormat="1" applyFont="1"/>
    <xf numFmtId="37" fontId="3" fillId="0" borderId="0" xfId="0" applyFont="1" applyAlignment="1">
      <alignment horizontal="center"/>
    </xf>
    <xf numFmtId="3" fontId="3" fillId="0" borderId="0" xfId="0" applyNumberFormat="1" applyFont="1"/>
    <xf numFmtId="37" fontId="3" fillId="0" borderId="0" xfId="0" quotePrefix="1" applyFont="1" applyAlignment="1">
      <alignment horizontal="fill"/>
    </xf>
    <xf numFmtId="37" fontId="3" fillId="0" borderId="0" xfId="0" applyFont="1" applyAlignment="1">
      <alignment horizontal="left"/>
    </xf>
    <xf numFmtId="1" fontId="3" fillId="0" borderId="0" xfId="0" applyNumberFormat="1" applyFont="1" applyAlignment="1">
      <alignment horizontal="center"/>
    </xf>
    <xf numFmtId="37" fontId="3" fillId="0" borderId="0" xfId="0" quotePrefix="1" applyFont="1" applyAlignment="1">
      <alignment horizontal="center"/>
    </xf>
    <xf numFmtId="37" fontId="3" fillId="0" borderId="0" xfId="0" quotePrefix="1" applyFont="1"/>
    <xf numFmtId="2" fontId="3" fillId="0" borderId="0" xfId="0" applyNumberFormat="1" applyFont="1"/>
    <xf numFmtId="10" fontId="3" fillId="0" borderId="0" xfId="0" applyNumberFormat="1" applyFont="1"/>
    <xf numFmtId="164" fontId="3" fillId="0" borderId="0" xfId="0" applyNumberFormat="1" applyFont="1"/>
    <xf numFmtId="37" fontId="3" fillId="8" borderId="0" xfId="0" applyFont="1" applyFill="1"/>
    <xf numFmtId="37" fontId="9" fillId="0" borderId="0" xfId="0" applyFont="1"/>
    <xf numFmtId="164" fontId="3" fillId="0" borderId="0" xfId="0" applyNumberFormat="1" applyFont="1" applyAlignment="1">
      <alignment horizontal="left"/>
    </xf>
    <xf numFmtId="37" fontId="9" fillId="3" borderId="0" xfId="0" applyFont="1" applyFill="1" applyAlignment="1" applyProtection="1">
      <alignment horizontal="center" vertical="center"/>
    </xf>
    <xf numFmtId="37" fontId="9" fillId="3" borderId="0" xfId="0" applyFont="1" applyFill="1" applyAlignment="1">
      <alignment horizontal="center" vertic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SQA/CHS/CHSShare/Charity%20Care%20and%20Hospital%20Financial/YearEnd/YearEnd_2019/YE008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Transmittal"/>
      <sheetName val="INFO_PG1"/>
      <sheetName val="INFO_PG2"/>
      <sheetName val="SS2_3_5_6"/>
      <sheetName val="SS4"/>
      <sheetName val="SS8"/>
      <sheetName val="FS"/>
      <sheetName val="CC's"/>
      <sheetName val="Prior Ye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9">
          <cell r="C59"/>
          <cell r="D59"/>
          <cell r="E59">
            <v>397</v>
          </cell>
          <cell r="F59"/>
          <cell r="G59"/>
          <cell r="H59"/>
          <cell r="I59"/>
          <cell r="J59"/>
          <cell r="K59"/>
          <cell r="L59"/>
          <cell r="M59">
            <v>850</v>
          </cell>
          <cell r="N59">
            <v>898</v>
          </cell>
          <cell r="O59"/>
          <cell r="P59">
            <v>2609</v>
          </cell>
          <cell r="Q59"/>
          <cell r="R59"/>
          <cell r="U59">
            <v>55930</v>
          </cell>
          <cell r="V59"/>
          <cell r="W59">
            <v>464</v>
          </cell>
          <cell r="X59">
            <v>1524</v>
          </cell>
          <cell r="Y59">
            <v>6564</v>
          </cell>
          <cell r="Z59"/>
          <cell r="AA59"/>
          <cell r="AC59">
            <v>581</v>
          </cell>
          <cell r="AD59"/>
          <cell r="AE59">
            <v>11209</v>
          </cell>
          <cell r="AF59"/>
          <cell r="AG59">
            <v>5441</v>
          </cell>
          <cell r="AH59"/>
          <cell r="AI59"/>
          <cell r="AJ59">
            <v>20821</v>
          </cell>
          <cell r="AK59">
            <v>1044</v>
          </cell>
          <cell r="AL59"/>
          <cell r="AM59"/>
          <cell r="AN59"/>
          <cell r="AO59"/>
          <cell r="AP59"/>
          <cell r="AQ59"/>
          <cell r="AR59">
            <v>1708</v>
          </cell>
          <cell r="AS59"/>
          <cell r="AT59"/>
          <cell r="AU59"/>
          <cell r="AY59">
            <v>37547</v>
          </cell>
          <cell r="AZ59"/>
          <cell r="BA59"/>
          <cell r="BE59">
            <v>85625</v>
          </cell>
        </row>
        <row r="71">
          <cell r="C71">
            <v>0</v>
          </cell>
          <cell r="D71">
            <v>0</v>
          </cell>
          <cell r="E71">
            <v>3165876.1799999997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444706.59</v>
          </cell>
          <cell r="N71">
            <v>190231.18</v>
          </cell>
          <cell r="O71">
            <v>0</v>
          </cell>
          <cell r="P71">
            <v>1856864.65</v>
          </cell>
          <cell r="Q71">
            <v>0</v>
          </cell>
          <cell r="R71">
            <v>330323.83000000007</v>
          </cell>
          <cell r="S71">
            <v>0</v>
          </cell>
          <cell r="T71">
            <v>0</v>
          </cell>
          <cell r="U71">
            <v>1446825.3</v>
          </cell>
          <cell r="V71">
            <v>0</v>
          </cell>
          <cell r="W71">
            <v>296925.83</v>
          </cell>
          <cell r="X71">
            <v>272720.7</v>
          </cell>
          <cell r="Y71">
            <v>1164612.3700000001</v>
          </cell>
          <cell r="Z71">
            <v>0</v>
          </cell>
          <cell r="AA71">
            <v>0</v>
          </cell>
          <cell r="AB71">
            <v>340013.29999999993</v>
          </cell>
          <cell r="AC71">
            <v>82223.47</v>
          </cell>
          <cell r="AD71">
            <v>0</v>
          </cell>
          <cell r="AE71">
            <v>615792.84000000008</v>
          </cell>
          <cell r="AF71">
            <v>0</v>
          </cell>
          <cell r="AG71">
            <v>2216759.4700000002</v>
          </cell>
          <cell r="AH71">
            <v>0</v>
          </cell>
          <cell r="AI71">
            <v>0</v>
          </cell>
          <cell r="AJ71">
            <v>3687797.81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396494.71999999991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112010.22</v>
          </cell>
          <cell r="AX71">
            <v>0</v>
          </cell>
          <cell r="AY71">
            <v>510501.49000000005</v>
          </cell>
          <cell r="AZ71">
            <v>0</v>
          </cell>
          <cell r="BA71">
            <v>0</v>
          </cell>
          <cell r="BB71">
            <v>0</v>
          </cell>
          <cell r="BC71">
            <v>15549.59</v>
          </cell>
          <cell r="BD71">
            <v>73580.73</v>
          </cell>
          <cell r="BE71">
            <v>915808.49</v>
          </cell>
          <cell r="BF71">
            <v>549918.71999999997</v>
          </cell>
          <cell r="BG71">
            <v>0</v>
          </cell>
          <cell r="BH71">
            <v>898886.87</v>
          </cell>
          <cell r="BI71">
            <v>0</v>
          </cell>
          <cell r="BJ71">
            <v>285806.14</v>
          </cell>
          <cell r="BK71">
            <v>863509.39999999991</v>
          </cell>
          <cell r="BL71">
            <v>226386.27999999997</v>
          </cell>
          <cell r="BM71">
            <v>0</v>
          </cell>
          <cell r="BN71">
            <v>3275217.6300000008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270377.97000000003</v>
          </cell>
          <cell r="BW71">
            <v>0</v>
          </cell>
          <cell r="BX71">
            <v>0</v>
          </cell>
          <cell r="BY71">
            <v>332250.62</v>
          </cell>
          <cell r="BZ71">
            <v>0</v>
          </cell>
          <cell r="CA71">
            <v>0</v>
          </cell>
          <cell r="CB71">
            <v>0</v>
          </cell>
          <cell r="CC71">
            <v>65743.929999999993</v>
          </cell>
          <cell r="CD71">
            <v>0</v>
          </cell>
        </row>
        <row r="82">
          <cell r="C82" t="str">
            <v>12/31/2018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B487" transitionEvaluation="1" transitionEntry="1" codeName="Sheet1">
    <pageSetUpPr autoPageBreaks="0" fitToPage="1"/>
  </sheetPr>
  <dimension ref="A1:CF817"/>
  <sheetViews>
    <sheetView showGridLines="0" tabSelected="1" topLeftCell="A487" zoomScale="75" zoomScaleNormal="75" workbookViewId="0">
      <pane xSplit="1" topLeftCell="B1" activePane="topRight" state="frozen"/>
      <selection activeCell="A13" sqref="A13"/>
      <selection pane="topRight" activeCell="E496" sqref="E496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35">
      <c r="A1" s="233" t="s">
        <v>1231</v>
      </c>
      <c r="B1" s="234"/>
      <c r="C1" s="234"/>
      <c r="D1" s="234"/>
      <c r="E1" s="234"/>
      <c r="F1" s="234"/>
    </row>
    <row r="2" spans="1:6" ht="12.75" customHeight="1" x14ac:dyDescent="0.35">
      <c r="A2" s="234" t="s">
        <v>1232</v>
      </c>
      <c r="B2" s="234"/>
      <c r="C2" s="235"/>
      <c r="D2" s="234"/>
      <c r="E2" s="234"/>
      <c r="F2" s="234"/>
    </row>
    <row r="3" spans="1:6" ht="12.75" customHeight="1" x14ac:dyDescent="0.35">
      <c r="A3" s="199"/>
      <c r="C3" s="236"/>
    </row>
    <row r="4" spans="1:6" ht="12.75" customHeight="1" x14ac:dyDescent="0.35">
      <c r="C4" s="236"/>
    </row>
    <row r="5" spans="1:6" ht="12.75" customHeight="1" x14ac:dyDescent="0.35">
      <c r="A5" s="199" t="s">
        <v>1257</v>
      </c>
      <c r="C5" s="236"/>
    </row>
    <row r="6" spans="1:6" ht="12.75" customHeight="1" x14ac:dyDescent="0.35">
      <c r="A6" s="199" t="s">
        <v>0</v>
      </c>
      <c r="C6" s="236"/>
    </row>
    <row r="7" spans="1:6" ht="12.75" customHeight="1" x14ac:dyDescent="0.35">
      <c r="A7" s="199" t="s">
        <v>1</v>
      </c>
      <c r="C7" s="236"/>
    </row>
    <row r="8" spans="1:6" ht="12.75" customHeight="1" x14ac:dyDescent="0.35">
      <c r="C8" s="236"/>
    </row>
    <row r="9" spans="1:6" ht="12.75" customHeight="1" x14ac:dyDescent="0.35">
      <c r="C9" s="236"/>
    </row>
    <row r="10" spans="1:6" ht="12.75" customHeight="1" x14ac:dyDescent="0.35">
      <c r="A10" s="198" t="s">
        <v>1228</v>
      </c>
      <c r="C10" s="236"/>
    </row>
    <row r="11" spans="1:6" ht="12.75" customHeight="1" x14ac:dyDescent="0.35">
      <c r="A11" s="198" t="s">
        <v>1230</v>
      </c>
      <c r="C11" s="236"/>
    </row>
    <row r="12" spans="1:6" ht="12.75" customHeight="1" x14ac:dyDescent="0.35">
      <c r="C12" s="236"/>
    </row>
    <row r="13" spans="1:6" ht="12.75" customHeight="1" x14ac:dyDescent="0.35">
      <c r="C13" s="236"/>
    </row>
    <row r="14" spans="1:6" ht="12.75" customHeight="1" x14ac:dyDescent="0.35">
      <c r="A14" s="199" t="s">
        <v>2</v>
      </c>
      <c r="C14" s="236"/>
    </row>
    <row r="15" spans="1:6" ht="12.75" customHeight="1" x14ac:dyDescent="0.35">
      <c r="A15" s="295"/>
      <c r="C15" s="236"/>
    </row>
    <row r="16" spans="1:6" ht="12.75" customHeight="1" x14ac:dyDescent="0.35">
      <c r="A16" s="296" t="s">
        <v>1266</v>
      </c>
      <c r="C16" s="236"/>
      <c r="F16" s="289"/>
    </row>
    <row r="17" spans="1:6" ht="12.75" customHeight="1" x14ac:dyDescent="0.35">
      <c r="A17" s="296" t="s">
        <v>1264</v>
      </c>
      <c r="C17" s="289"/>
    </row>
    <row r="18" spans="1:6" ht="12.75" customHeight="1" x14ac:dyDescent="0.35">
      <c r="A18" s="228"/>
      <c r="C18" s="236"/>
    </row>
    <row r="19" spans="1:6" ht="12.75" customHeight="1" x14ac:dyDescent="0.35">
      <c r="C19" s="236"/>
    </row>
    <row r="20" spans="1:6" ht="12.75" customHeight="1" x14ac:dyDescent="0.35">
      <c r="A20" s="274" t="s">
        <v>1233</v>
      </c>
      <c r="B20" s="274"/>
      <c r="C20" s="290"/>
      <c r="D20" s="274"/>
      <c r="E20" s="274"/>
      <c r="F20" s="274"/>
    </row>
    <row r="21" spans="1:6" ht="22.5" customHeight="1" x14ac:dyDescent="0.35">
      <c r="A21" s="199"/>
      <c r="C21" s="236"/>
    </row>
    <row r="22" spans="1:6" ht="12.65" customHeight="1" x14ac:dyDescent="0.35">
      <c r="A22" s="238" t="s">
        <v>1253</v>
      </c>
      <c r="B22" s="239"/>
      <c r="C22" s="240"/>
      <c r="D22" s="238"/>
      <c r="E22" s="238"/>
    </row>
    <row r="23" spans="1:6" ht="12.65" customHeight="1" x14ac:dyDescent="0.35">
      <c r="B23" s="199"/>
      <c r="C23" s="236"/>
    </row>
    <row r="24" spans="1:6" ht="12.65" customHeight="1" x14ac:dyDescent="0.35">
      <c r="A24" s="241" t="s">
        <v>3</v>
      </c>
      <c r="C24" s="236"/>
    </row>
    <row r="25" spans="1:6" ht="12.65" customHeight="1" x14ac:dyDescent="0.35">
      <c r="A25" s="198" t="s">
        <v>1234</v>
      </c>
      <c r="C25" s="236"/>
    </row>
    <row r="26" spans="1:6" ht="12.65" customHeight="1" x14ac:dyDescent="0.35">
      <c r="A26" s="199" t="s">
        <v>4</v>
      </c>
      <c r="C26" s="236"/>
    </row>
    <row r="27" spans="1:6" ht="12.65" customHeight="1" x14ac:dyDescent="0.35">
      <c r="A27" s="198" t="s">
        <v>1235</v>
      </c>
      <c r="C27" s="236"/>
    </row>
    <row r="28" spans="1:6" ht="12.65" customHeight="1" x14ac:dyDescent="0.35">
      <c r="A28" s="199" t="s">
        <v>5</v>
      </c>
      <c r="C28" s="236"/>
    </row>
    <row r="29" spans="1:6" ht="12.65" customHeight="1" x14ac:dyDescent="0.35">
      <c r="A29" s="198"/>
      <c r="C29" s="236"/>
    </row>
    <row r="30" spans="1:6" ht="12.65" customHeight="1" x14ac:dyDescent="0.35">
      <c r="A30" s="180" t="s">
        <v>6</v>
      </c>
      <c r="C30" s="236"/>
    </row>
    <row r="31" spans="1:6" ht="12.65" customHeight="1" x14ac:dyDescent="0.35">
      <c r="A31" s="199" t="s">
        <v>7</v>
      </c>
      <c r="C31" s="236"/>
    </row>
    <row r="32" spans="1:6" ht="12.65" customHeight="1" x14ac:dyDescent="0.35">
      <c r="A32" s="199" t="s">
        <v>8</v>
      </c>
      <c r="C32" s="236"/>
    </row>
    <row r="33" spans="1:83" ht="12.65" customHeight="1" x14ac:dyDescent="0.35">
      <c r="A33" s="198" t="s">
        <v>1236</v>
      </c>
      <c r="C33" s="236"/>
    </row>
    <row r="34" spans="1:83" ht="12.65" customHeight="1" x14ac:dyDescent="0.35">
      <c r="A34" s="199" t="s">
        <v>9</v>
      </c>
      <c r="C34" s="236"/>
    </row>
    <row r="35" spans="1:83" ht="12.65" customHeight="1" x14ac:dyDescent="0.35">
      <c r="A35" s="199"/>
      <c r="C35" s="236"/>
    </row>
    <row r="36" spans="1:83" ht="12.65" customHeight="1" x14ac:dyDescent="0.35">
      <c r="A36" s="198" t="s">
        <v>1237</v>
      </c>
      <c r="C36" s="236"/>
    </row>
    <row r="37" spans="1:83" ht="12.65" customHeight="1" x14ac:dyDescent="0.35">
      <c r="A37" s="199" t="s">
        <v>1229</v>
      </c>
      <c r="C37" s="236"/>
    </row>
    <row r="38" spans="1:83" ht="12" customHeight="1" x14ac:dyDescent="0.35">
      <c r="A38" s="198"/>
      <c r="C38" s="236"/>
    </row>
    <row r="39" spans="1:83" ht="12.65" customHeight="1" x14ac:dyDescent="0.35">
      <c r="A39" s="199"/>
      <c r="C39" s="236"/>
    </row>
    <row r="40" spans="1:83" ht="12" customHeight="1" x14ac:dyDescent="0.35">
      <c r="A40" s="199"/>
      <c r="C40" s="236"/>
    </row>
    <row r="41" spans="1:83" ht="12" customHeight="1" x14ac:dyDescent="0.35">
      <c r="A41" s="199"/>
      <c r="C41" s="242"/>
      <c r="D41" s="243"/>
      <c r="E41" s="242"/>
      <c r="F41" s="242"/>
      <c r="G41" s="242"/>
      <c r="H41" s="242"/>
      <c r="I41" s="242"/>
      <c r="J41" s="242"/>
      <c r="K41" s="242"/>
      <c r="L41" s="242"/>
      <c r="M41" s="242"/>
      <c r="N41" s="242"/>
      <c r="O41" s="242"/>
      <c r="P41" s="242"/>
      <c r="Q41" s="242"/>
      <c r="R41" s="242"/>
      <c r="S41" s="242"/>
      <c r="T41" s="242"/>
      <c r="U41" s="242"/>
      <c r="V41" s="242"/>
      <c r="W41" s="242"/>
      <c r="X41" s="242"/>
      <c r="Y41" s="242"/>
      <c r="Z41" s="242"/>
      <c r="AA41" s="242"/>
      <c r="AB41" s="242"/>
      <c r="AC41" s="242"/>
      <c r="AD41" s="242"/>
      <c r="AE41" s="242"/>
      <c r="AF41" s="242"/>
      <c r="AG41" s="242"/>
      <c r="AH41" s="242"/>
      <c r="AI41" s="242"/>
      <c r="AJ41" s="242"/>
      <c r="AK41" s="242"/>
      <c r="AL41" s="242"/>
      <c r="AM41" s="242"/>
      <c r="AN41" s="242"/>
      <c r="AO41" s="242"/>
      <c r="AP41" s="242"/>
      <c r="AQ41" s="242"/>
      <c r="AR41" s="242"/>
      <c r="AS41" s="242"/>
      <c r="AT41" s="242"/>
      <c r="AU41" s="242"/>
      <c r="AV41" s="242"/>
      <c r="AW41" s="242"/>
      <c r="AX41" s="242"/>
      <c r="AY41" s="242"/>
      <c r="AZ41" s="242"/>
      <c r="BA41" s="242"/>
      <c r="BB41" s="242"/>
      <c r="BC41" s="242"/>
      <c r="BD41" s="242"/>
      <c r="BE41" s="242"/>
      <c r="BF41" s="242"/>
      <c r="BG41" s="242"/>
      <c r="BH41" s="242"/>
      <c r="BI41" s="242"/>
      <c r="BJ41" s="242"/>
      <c r="BK41" s="242"/>
      <c r="BL41" s="242"/>
      <c r="BM41" s="242"/>
      <c r="BN41" s="242"/>
      <c r="BO41" s="242"/>
      <c r="BP41" s="242"/>
      <c r="BQ41" s="242"/>
      <c r="BR41" s="242"/>
      <c r="BS41" s="242"/>
      <c r="BT41" s="242"/>
      <c r="BU41" s="242"/>
      <c r="BV41" s="242"/>
      <c r="BW41" s="242"/>
      <c r="BX41" s="242"/>
      <c r="BY41" s="242"/>
      <c r="BZ41" s="242"/>
      <c r="CA41" s="242"/>
      <c r="CB41" s="242"/>
      <c r="CC41" s="242"/>
    </row>
    <row r="42" spans="1:83" ht="12" customHeight="1" x14ac:dyDescent="0.35">
      <c r="A42" s="199"/>
      <c r="C42" s="242"/>
      <c r="D42" s="243"/>
      <c r="E42" s="242"/>
      <c r="F42" s="242"/>
      <c r="G42" s="242"/>
      <c r="H42" s="242"/>
      <c r="I42" s="242"/>
      <c r="J42" s="242"/>
      <c r="K42" s="242"/>
      <c r="L42" s="242"/>
      <c r="M42" s="242"/>
      <c r="N42" s="242"/>
      <c r="O42" s="242"/>
      <c r="P42" s="242"/>
      <c r="Q42" s="242"/>
      <c r="R42" s="242"/>
      <c r="S42" s="242"/>
      <c r="T42" s="242"/>
      <c r="U42" s="242"/>
      <c r="V42" s="242"/>
      <c r="W42" s="242"/>
      <c r="X42" s="242"/>
      <c r="Y42" s="242"/>
      <c r="Z42" s="242"/>
      <c r="AA42" s="242"/>
      <c r="AB42" s="242"/>
      <c r="AC42" s="242"/>
      <c r="AD42" s="242"/>
      <c r="AE42" s="242"/>
      <c r="AF42" s="242"/>
      <c r="AG42" s="242"/>
      <c r="AH42" s="242"/>
      <c r="AI42" s="242"/>
      <c r="AJ42" s="242"/>
      <c r="AK42" s="242"/>
      <c r="AL42" s="242"/>
      <c r="AM42" s="242"/>
      <c r="AN42" s="242"/>
      <c r="AO42" s="242"/>
      <c r="AP42" s="242"/>
      <c r="AQ42" s="242"/>
      <c r="AR42" s="242"/>
      <c r="AS42" s="242"/>
      <c r="AT42" s="242"/>
      <c r="AU42" s="242"/>
      <c r="AV42" s="242"/>
      <c r="AW42" s="242"/>
      <c r="AX42" s="242"/>
      <c r="AY42" s="242"/>
      <c r="AZ42" s="242"/>
      <c r="BA42" s="242"/>
      <c r="BB42" s="242"/>
      <c r="BC42" s="242"/>
      <c r="BD42" s="242"/>
      <c r="BE42" s="242"/>
      <c r="BF42" s="242"/>
      <c r="BG42" s="242"/>
      <c r="BH42" s="242"/>
      <c r="BI42" s="242"/>
      <c r="BJ42" s="242"/>
      <c r="BK42" s="242"/>
      <c r="BL42" s="242"/>
      <c r="BM42" s="242"/>
      <c r="BN42" s="242"/>
      <c r="BO42" s="242"/>
      <c r="BP42" s="242"/>
      <c r="BQ42" s="242"/>
      <c r="BR42" s="242"/>
      <c r="BS42" s="242"/>
      <c r="BT42" s="242"/>
      <c r="BU42" s="242"/>
      <c r="BV42" s="242"/>
      <c r="BW42" s="242"/>
      <c r="BX42" s="242"/>
      <c r="BY42" s="242"/>
      <c r="BZ42" s="242"/>
      <c r="CA42" s="242"/>
      <c r="CB42" s="242"/>
      <c r="CC42" s="242"/>
      <c r="CD42" s="244"/>
    </row>
    <row r="43" spans="1:83" ht="12" customHeight="1" x14ac:dyDescent="0.35">
      <c r="A43" s="199"/>
      <c r="C43" s="236"/>
      <c r="F43" s="181"/>
    </row>
    <row r="44" spans="1:83" ht="12" customHeight="1" x14ac:dyDescent="0.3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5">
      <c r="A45" s="175"/>
      <c r="B45" s="245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5">
      <c r="A47" s="175" t="s">
        <v>204</v>
      </c>
      <c r="B47" s="183"/>
      <c r="C47" s="184"/>
      <c r="D47" s="184"/>
      <c r="E47" s="184">
        <v>314238.49</v>
      </c>
      <c r="F47" s="184"/>
      <c r="G47" s="184"/>
      <c r="H47" s="184"/>
      <c r="I47" s="184"/>
      <c r="J47" s="184"/>
      <c r="K47" s="184"/>
      <c r="L47" s="184"/>
      <c r="M47" s="184">
        <v>58880.72</v>
      </c>
      <c r="N47" s="184">
        <v>53505.95</v>
      </c>
      <c r="O47" s="184"/>
      <c r="P47" s="184">
        <v>129221.06</v>
      </c>
      <c r="Q47" s="184"/>
      <c r="R47" s="184">
        <v>28175.41</v>
      </c>
      <c r="S47" s="184"/>
      <c r="T47" s="184"/>
      <c r="U47" s="184">
        <v>103634</v>
      </c>
      <c r="V47" s="184"/>
      <c r="W47" s="184"/>
      <c r="X47" s="184">
        <v>1766.9</v>
      </c>
      <c r="Y47" s="184">
        <v>138601</v>
      </c>
      <c r="Z47" s="184"/>
      <c r="AA47" s="184"/>
      <c r="AB47" s="184">
        <v>56945.120000000003</v>
      </c>
      <c r="AC47" s="184">
        <v>12738.08</v>
      </c>
      <c r="AD47" s="184"/>
      <c r="AE47" s="184">
        <v>176318.63</v>
      </c>
      <c r="AF47" s="184"/>
      <c r="AG47" s="184">
        <v>245183.93</v>
      </c>
      <c r="AH47" s="184"/>
      <c r="AI47" s="184"/>
      <c r="AJ47" s="184">
        <v>698603.34</v>
      </c>
      <c r="AK47" s="184"/>
      <c r="AL47" s="184"/>
      <c r="AM47" s="184"/>
      <c r="AN47" s="184"/>
      <c r="AO47" s="184"/>
      <c r="AP47" s="184"/>
      <c r="AQ47" s="184"/>
      <c r="AR47" s="184">
        <v>26259.81</v>
      </c>
      <c r="AS47" s="184"/>
      <c r="AT47" s="184"/>
      <c r="AU47" s="184"/>
      <c r="AV47" s="184"/>
      <c r="AW47" s="184">
        <v>11260.53</v>
      </c>
      <c r="AX47" s="184"/>
      <c r="AY47" s="184">
        <v>86371.88</v>
      </c>
      <c r="AZ47" s="184"/>
      <c r="BA47" s="184"/>
      <c r="BB47" s="184"/>
      <c r="BC47" s="184">
        <v>697.45</v>
      </c>
      <c r="BD47" s="184">
        <v>18001.78</v>
      </c>
      <c r="BE47" s="184">
        <v>103030.25</v>
      </c>
      <c r="BF47" s="184">
        <v>89980.61</v>
      </c>
      <c r="BG47" s="184"/>
      <c r="BH47" s="184">
        <v>100737.15</v>
      </c>
      <c r="BI47" s="184"/>
      <c r="BJ47" s="184">
        <v>43423.22</v>
      </c>
      <c r="BK47" s="184">
        <v>154125.26999999999</v>
      </c>
      <c r="BL47" s="184">
        <v>57824.37</v>
      </c>
      <c r="BM47" s="184"/>
      <c r="BN47" s="184">
        <f>34523.69+4319.46+109835.37-6119</f>
        <v>142559.51999999999</v>
      </c>
      <c r="BO47" s="184"/>
      <c r="BP47" s="184"/>
      <c r="BQ47" s="184"/>
      <c r="BR47" s="184"/>
      <c r="BS47" s="184"/>
      <c r="BT47" s="184"/>
      <c r="BU47" s="184"/>
      <c r="BV47" s="184">
        <v>104766.61</v>
      </c>
      <c r="BW47" s="184"/>
      <c r="BX47" s="184"/>
      <c r="BY47" s="184">
        <v>60553.96</v>
      </c>
      <c r="BZ47" s="184"/>
      <c r="CA47" s="184"/>
      <c r="CB47" s="184"/>
      <c r="CC47" s="184">
        <v>4335.49</v>
      </c>
      <c r="CD47" s="195"/>
      <c r="CE47" s="195">
        <f>SUM(C47:CC47)</f>
        <v>3021740.5300000003</v>
      </c>
    </row>
    <row r="48" spans="1:83" ht="12.65" customHeight="1" x14ac:dyDescent="0.35">
      <c r="A48" s="175" t="s">
        <v>205</v>
      </c>
      <c r="B48" s="183"/>
      <c r="C48" s="246">
        <f>ROUND(((B48/CE61)*C61),0)</f>
        <v>0</v>
      </c>
      <c r="D48" s="246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5" customHeight="1" x14ac:dyDescent="0.35">
      <c r="A49" s="175" t="s">
        <v>206</v>
      </c>
      <c r="B49" s="195">
        <f>B47+B48</f>
        <v>0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>
        <v>168906.53</v>
      </c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>
        <v>1119832.5</v>
      </c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1288739.03</v>
      </c>
    </row>
    <row r="52" spans="1:84" ht="12.65" customHeight="1" x14ac:dyDescent="0.35">
      <c r="A52" s="171" t="s">
        <v>208</v>
      </c>
      <c r="B52" s="184"/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</row>
    <row r="53" spans="1:84" ht="12.65" customHeight="1" x14ac:dyDescent="0.35">
      <c r="A53" s="175" t="s">
        <v>206</v>
      </c>
      <c r="B53" s="195">
        <f>B51+B52</f>
        <v>0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7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5" t="s">
        <v>220</v>
      </c>
      <c r="S58" s="248" t="s">
        <v>221</v>
      </c>
      <c r="T58" s="248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8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8" t="s">
        <v>221</v>
      </c>
      <c r="AW58" s="248" t="s">
        <v>221</v>
      </c>
      <c r="AX58" s="248" t="s">
        <v>221</v>
      </c>
      <c r="AY58" s="170" t="s">
        <v>231</v>
      </c>
      <c r="AZ58" s="170" t="s">
        <v>231</v>
      </c>
      <c r="BA58" s="248" t="s">
        <v>221</v>
      </c>
      <c r="BB58" s="248" t="s">
        <v>221</v>
      </c>
      <c r="BC58" s="248" t="s">
        <v>221</v>
      </c>
      <c r="BD58" s="248" t="s">
        <v>221</v>
      </c>
      <c r="BE58" s="170" t="s">
        <v>232</v>
      </c>
      <c r="BF58" s="248" t="s">
        <v>221</v>
      </c>
      <c r="BG58" s="248" t="s">
        <v>221</v>
      </c>
      <c r="BH58" s="248" t="s">
        <v>221</v>
      </c>
      <c r="BI58" s="248" t="s">
        <v>221</v>
      </c>
      <c r="BJ58" s="248" t="s">
        <v>221</v>
      </c>
      <c r="BK58" s="248" t="s">
        <v>221</v>
      </c>
      <c r="BL58" s="248" t="s">
        <v>221</v>
      </c>
      <c r="BM58" s="248" t="s">
        <v>221</v>
      </c>
      <c r="BN58" s="248" t="s">
        <v>221</v>
      </c>
      <c r="BO58" s="248" t="s">
        <v>221</v>
      </c>
      <c r="BP58" s="248" t="s">
        <v>221</v>
      </c>
      <c r="BQ58" s="248" t="s">
        <v>221</v>
      </c>
      <c r="BR58" s="248" t="s">
        <v>221</v>
      </c>
      <c r="BS58" s="248" t="s">
        <v>221</v>
      </c>
      <c r="BT58" s="248" t="s">
        <v>221</v>
      </c>
      <c r="BU58" s="248" t="s">
        <v>221</v>
      </c>
      <c r="BV58" s="248" t="s">
        <v>221</v>
      </c>
      <c r="BW58" s="248" t="s">
        <v>221</v>
      </c>
      <c r="BX58" s="248" t="s">
        <v>221</v>
      </c>
      <c r="BY58" s="248" t="s">
        <v>221</v>
      </c>
      <c r="BZ58" s="248" t="s">
        <v>221</v>
      </c>
      <c r="CA58" s="248" t="s">
        <v>221</v>
      </c>
      <c r="CB58" s="248" t="s">
        <v>221</v>
      </c>
      <c r="CC58" s="248" t="s">
        <v>221</v>
      </c>
      <c r="CD58" s="248" t="s">
        <v>221</v>
      </c>
      <c r="CE58" s="248" t="s">
        <v>221</v>
      </c>
    </row>
    <row r="59" spans="1:84" ht="12.65" customHeight="1" x14ac:dyDescent="0.35">
      <c r="A59" s="171" t="s">
        <v>233</v>
      </c>
      <c r="B59" s="175"/>
      <c r="C59" s="184"/>
      <c r="D59" s="184"/>
      <c r="E59" s="184">
        <v>526</v>
      </c>
      <c r="F59" s="184"/>
      <c r="G59" s="184"/>
      <c r="H59" s="184"/>
      <c r="I59" s="184"/>
      <c r="J59" s="184"/>
      <c r="K59" s="184"/>
      <c r="L59" s="184"/>
      <c r="M59" s="184">
        <v>3895</v>
      </c>
      <c r="N59" s="184">
        <v>2083</v>
      </c>
      <c r="O59" s="184"/>
      <c r="P59" s="185">
        <v>2452</v>
      </c>
      <c r="Q59" s="185"/>
      <c r="R59" s="185"/>
      <c r="S59" s="249"/>
      <c r="T59" s="249"/>
      <c r="U59" s="224">
        <v>59520</v>
      </c>
      <c r="V59" s="185"/>
      <c r="W59" s="185">
        <v>450</v>
      </c>
      <c r="X59" s="185">
        <v>1633</v>
      </c>
      <c r="Y59" s="185">
        <v>6483</v>
      </c>
      <c r="Z59" s="185"/>
      <c r="AA59" s="185"/>
      <c r="AB59" s="249"/>
      <c r="AC59" s="185">
        <v>669</v>
      </c>
      <c r="AD59" s="185"/>
      <c r="AE59" s="185">
        <v>15471</v>
      </c>
      <c r="AF59" s="185"/>
      <c r="AG59" s="185">
        <v>4014</v>
      </c>
      <c r="AH59" s="185"/>
      <c r="AI59" s="185"/>
      <c r="AJ59" s="185">
        <v>24137</v>
      </c>
      <c r="AK59" s="185"/>
      <c r="AL59" s="185"/>
      <c r="AM59" s="185"/>
      <c r="AN59" s="185"/>
      <c r="AO59" s="185"/>
      <c r="AP59" s="185"/>
      <c r="AQ59" s="185"/>
      <c r="AR59" s="185">
        <v>37</v>
      </c>
      <c r="AS59" s="185"/>
      <c r="AT59" s="185"/>
      <c r="AU59" s="185"/>
      <c r="AV59" s="249"/>
      <c r="AW59" s="249"/>
      <c r="AX59" s="249"/>
      <c r="AY59" s="185">
        <v>4581</v>
      </c>
      <c r="AZ59" s="185">
        <v>26627</v>
      </c>
      <c r="BA59" s="249"/>
      <c r="BB59" s="249"/>
      <c r="BC59" s="249"/>
      <c r="BD59" s="249"/>
      <c r="BE59" s="185">
        <v>85625</v>
      </c>
      <c r="BF59" s="249"/>
      <c r="BG59" s="249"/>
      <c r="BH59" s="249"/>
      <c r="BI59" s="249"/>
      <c r="BJ59" s="249"/>
      <c r="BK59" s="249"/>
      <c r="BL59" s="249"/>
      <c r="BM59" s="249"/>
      <c r="BN59" s="249"/>
      <c r="BO59" s="249"/>
      <c r="BP59" s="249"/>
      <c r="BQ59" s="249"/>
      <c r="BR59" s="249"/>
      <c r="BS59" s="249"/>
      <c r="BT59" s="249"/>
      <c r="BU59" s="249"/>
      <c r="BV59" s="249"/>
      <c r="BW59" s="249"/>
      <c r="BX59" s="249"/>
      <c r="BY59" s="249"/>
      <c r="BZ59" s="249"/>
      <c r="CA59" s="249"/>
      <c r="CB59" s="249"/>
      <c r="CC59" s="249"/>
      <c r="CD59" s="250"/>
      <c r="CE59" s="195"/>
    </row>
    <row r="60" spans="1:84" ht="12.65" customHeight="1" x14ac:dyDescent="0.35">
      <c r="A60" s="251" t="s">
        <v>234</v>
      </c>
      <c r="B60" s="175"/>
      <c r="C60" s="186"/>
      <c r="D60" s="187"/>
      <c r="E60" s="187">
        <v>18.690000000000001</v>
      </c>
      <c r="F60" s="223"/>
      <c r="G60" s="187"/>
      <c r="H60" s="187"/>
      <c r="I60" s="187"/>
      <c r="J60" s="223"/>
      <c r="K60" s="187"/>
      <c r="L60" s="187"/>
      <c r="M60" s="187">
        <v>6.1</v>
      </c>
      <c r="N60" s="187">
        <v>2.48</v>
      </c>
      <c r="O60" s="187"/>
      <c r="P60" s="221">
        <v>8.07</v>
      </c>
      <c r="Q60" s="221"/>
      <c r="R60" s="221">
        <v>0.9</v>
      </c>
      <c r="S60" s="221"/>
      <c r="T60" s="221"/>
      <c r="U60" s="221">
        <v>9.25</v>
      </c>
      <c r="V60" s="221"/>
      <c r="W60" s="221"/>
      <c r="X60" s="221">
        <v>1.49</v>
      </c>
      <c r="Y60" s="221">
        <v>7.49</v>
      </c>
      <c r="Z60" s="221"/>
      <c r="AA60" s="221"/>
      <c r="AB60" s="221">
        <v>4.7</v>
      </c>
      <c r="AC60" s="221">
        <v>0.78</v>
      </c>
      <c r="AD60" s="221"/>
      <c r="AE60" s="221">
        <v>9.98</v>
      </c>
      <c r="AF60" s="221"/>
      <c r="AG60" s="221">
        <v>12.89</v>
      </c>
      <c r="AH60" s="221"/>
      <c r="AI60" s="221"/>
      <c r="AJ60" s="221">
        <v>39.549999999999997</v>
      </c>
      <c r="AK60" s="221"/>
      <c r="AL60" s="221"/>
      <c r="AM60" s="221"/>
      <c r="AN60" s="221"/>
      <c r="AO60" s="221"/>
      <c r="AP60" s="221"/>
      <c r="AQ60" s="221"/>
      <c r="AR60" s="221">
        <v>1.24</v>
      </c>
      <c r="AS60" s="221"/>
      <c r="AT60" s="221"/>
      <c r="AU60" s="221"/>
      <c r="AV60" s="221"/>
      <c r="AW60" s="221">
        <v>0.76</v>
      </c>
      <c r="AX60" s="221"/>
      <c r="AY60" s="221">
        <v>8.1199999999999992</v>
      </c>
      <c r="AZ60" s="221"/>
      <c r="BA60" s="221"/>
      <c r="BB60" s="221"/>
      <c r="BC60" s="221">
        <v>0.28000000000000003</v>
      </c>
      <c r="BD60" s="221">
        <v>1</v>
      </c>
      <c r="BE60" s="221">
        <v>7.13</v>
      </c>
      <c r="BF60" s="221">
        <v>9.58</v>
      </c>
      <c r="BG60" s="221"/>
      <c r="BH60" s="221">
        <v>5.84</v>
      </c>
      <c r="BI60" s="221"/>
      <c r="BJ60" s="221">
        <v>2.37</v>
      </c>
      <c r="BK60" s="221">
        <v>10.42</v>
      </c>
      <c r="BL60" s="221">
        <v>5.12</v>
      </c>
      <c r="BM60" s="221"/>
      <c r="BN60" s="221">
        <v>9.77</v>
      </c>
      <c r="BO60" s="221"/>
      <c r="BP60" s="221"/>
      <c r="BQ60" s="221"/>
      <c r="BR60" s="221"/>
      <c r="BS60" s="221"/>
      <c r="BT60" s="221"/>
      <c r="BU60" s="221"/>
      <c r="BV60" s="221">
        <v>7.23</v>
      </c>
      <c r="BW60" s="221"/>
      <c r="BX60" s="221"/>
      <c r="BY60" s="221">
        <v>3.27</v>
      </c>
      <c r="BZ60" s="221"/>
      <c r="CA60" s="221"/>
      <c r="CB60" s="221"/>
      <c r="CC60" s="221">
        <v>0.98</v>
      </c>
      <c r="CD60" s="250" t="s">
        <v>221</v>
      </c>
      <c r="CE60" s="252">
        <f t="shared" ref="CE60:CE70" si="0">SUM(C60:CD60)</f>
        <v>195.48000000000002</v>
      </c>
    </row>
    <row r="61" spans="1:84" ht="12.65" customHeight="1" x14ac:dyDescent="0.35">
      <c r="A61" s="171" t="s">
        <v>235</v>
      </c>
      <c r="B61" s="175"/>
      <c r="C61" s="184"/>
      <c r="D61" s="184"/>
      <c r="E61" s="184">
        <v>1219968.73</v>
      </c>
      <c r="F61" s="185"/>
      <c r="G61" s="184"/>
      <c r="H61" s="184"/>
      <c r="I61" s="185"/>
      <c r="J61" s="185"/>
      <c r="K61" s="185"/>
      <c r="L61" s="185"/>
      <c r="M61" s="184">
        <v>406620.1</v>
      </c>
      <c r="N61" s="184">
        <v>250926.93</v>
      </c>
      <c r="O61" s="184"/>
      <c r="P61" s="185">
        <v>837320.06</v>
      </c>
      <c r="Q61" s="185"/>
      <c r="R61" s="185">
        <v>167746.41</v>
      </c>
      <c r="S61" s="185"/>
      <c r="T61" s="185"/>
      <c r="U61" s="185">
        <v>606242.61</v>
      </c>
      <c r="V61" s="185"/>
      <c r="W61" s="185"/>
      <c r="X61" s="185">
        <v>75155.55</v>
      </c>
      <c r="Y61" s="185">
        <v>603722.01</v>
      </c>
      <c r="Z61" s="185"/>
      <c r="AA61" s="185"/>
      <c r="AB61" s="185">
        <v>418728.27</v>
      </c>
      <c r="AC61" s="185">
        <v>64920.39</v>
      </c>
      <c r="AD61" s="185"/>
      <c r="AE61" s="185">
        <v>720947.95</v>
      </c>
      <c r="AF61" s="185"/>
      <c r="AG61" s="185">
        <v>1711108.53</v>
      </c>
      <c r="AH61" s="185"/>
      <c r="AI61" s="185"/>
      <c r="AJ61" s="185">
        <v>3190468.42</v>
      </c>
      <c r="AK61" s="185"/>
      <c r="AL61" s="185"/>
      <c r="AM61" s="185"/>
      <c r="AN61" s="185"/>
      <c r="AO61" s="185"/>
      <c r="AP61" s="185"/>
      <c r="AQ61" s="185"/>
      <c r="AR61" s="185">
        <v>87188.3</v>
      </c>
      <c r="AS61" s="185"/>
      <c r="AT61" s="185"/>
      <c r="AU61" s="185"/>
      <c r="AV61" s="185"/>
      <c r="AW61" s="185">
        <v>62557.25</v>
      </c>
      <c r="AX61" s="185"/>
      <c r="AY61" s="185">
        <v>303998.81</v>
      </c>
      <c r="AZ61" s="185"/>
      <c r="BA61" s="185"/>
      <c r="BB61" s="185"/>
      <c r="BC61" s="185">
        <v>9998.32</v>
      </c>
      <c r="BD61" s="185">
        <v>65281.29</v>
      </c>
      <c r="BE61" s="185">
        <v>430523.72</v>
      </c>
      <c r="BF61" s="185">
        <v>345082.56</v>
      </c>
      <c r="BG61" s="185"/>
      <c r="BH61" s="185">
        <v>424029.48</v>
      </c>
      <c r="BI61" s="185"/>
      <c r="BJ61" s="185">
        <v>243714.79</v>
      </c>
      <c r="BK61" s="185">
        <v>503106.51</v>
      </c>
      <c r="BL61" s="185">
        <v>174812.02</v>
      </c>
      <c r="BM61" s="185"/>
      <c r="BN61" s="185">
        <v>814050.9</v>
      </c>
      <c r="BO61" s="185"/>
      <c r="BP61" s="185"/>
      <c r="BQ61" s="185"/>
      <c r="BR61" s="185"/>
      <c r="BS61" s="185"/>
      <c r="BT61" s="185"/>
      <c r="BU61" s="185"/>
      <c r="BV61" s="185">
        <v>280227.64</v>
      </c>
      <c r="BW61" s="185"/>
      <c r="BX61" s="185"/>
      <c r="BY61" s="185">
        <v>233835.8</v>
      </c>
      <c r="BZ61" s="185"/>
      <c r="CA61" s="185"/>
      <c r="CB61" s="185"/>
      <c r="CC61" s="185">
        <v>41248.36</v>
      </c>
      <c r="CD61" s="250" t="s">
        <v>221</v>
      </c>
      <c r="CE61" s="195">
        <f t="shared" si="0"/>
        <v>14293531.710000003</v>
      </c>
      <c r="CF61" s="253"/>
    </row>
    <row r="62" spans="1:84" ht="12.65" customHeight="1" x14ac:dyDescent="0.3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314238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58881</v>
      </c>
      <c r="N62" s="195">
        <f t="shared" si="1"/>
        <v>53506</v>
      </c>
      <c r="O62" s="195">
        <f t="shared" si="1"/>
        <v>0</v>
      </c>
      <c r="P62" s="195">
        <f t="shared" si="1"/>
        <v>129221</v>
      </c>
      <c r="Q62" s="195">
        <f t="shared" si="1"/>
        <v>0</v>
      </c>
      <c r="R62" s="195">
        <f t="shared" si="1"/>
        <v>28175</v>
      </c>
      <c r="S62" s="195">
        <f t="shared" si="1"/>
        <v>0</v>
      </c>
      <c r="T62" s="195">
        <f t="shared" si="1"/>
        <v>0</v>
      </c>
      <c r="U62" s="195">
        <f t="shared" si="1"/>
        <v>103634</v>
      </c>
      <c r="V62" s="195">
        <f t="shared" si="1"/>
        <v>0</v>
      </c>
      <c r="W62" s="195">
        <f t="shared" si="1"/>
        <v>0</v>
      </c>
      <c r="X62" s="195">
        <f t="shared" si="1"/>
        <v>1767</v>
      </c>
      <c r="Y62" s="195">
        <f t="shared" si="1"/>
        <v>138601</v>
      </c>
      <c r="Z62" s="195">
        <f t="shared" si="1"/>
        <v>0</v>
      </c>
      <c r="AA62" s="195">
        <f t="shared" si="1"/>
        <v>0</v>
      </c>
      <c r="AB62" s="195">
        <f t="shared" si="1"/>
        <v>56945</v>
      </c>
      <c r="AC62" s="195">
        <f t="shared" si="1"/>
        <v>12738</v>
      </c>
      <c r="AD62" s="195">
        <f t="shared" si="1"/>
        <v>0</v>
      </c>
      <c r="AE62" s="195">
        <f t="shared" si="1"/>
        <v>176319</v>
      </c>
      <c r="AF62" s="195">
        <f t="shared" si="1"/>
        <v>0</v>
      </c>
      <c r="AG62" s="195">
        <f t="shared" si="1"/>
        <v>245184</v>
      </c>
      <c r="AH62" s="195">
        <f t="shared" si="1"/>
        <v>0</v>
      </c>
      <c r="AI62" s="195">
        <f t="shared" si="1"/>
        <v>0</v>
      </c>
      <c r="AJ62" s="195">
        <f t="shared" si="1"/>
        <v>698603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26260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11261</v>
      </c>
      <c r="AX62" s="195">
        <f t="shared" si="1"/>
        <v>0</v>
      </c>
      <c r="AY62" s="195">
        <f>ROUND(AY47+AY48,0)</f>
        <v>86372</v>
      </c>
      <c r="AZ62" s="195">
        <f>ROUND(AZ47+AZ48,0)</f>
        <v>0</v>
      </c>
      <c r="BA62" s="195">
        <f>ROUND(BA47+BA48,0)</f>
        <v>0</v>
      </c>
      <c r="BB62" s="195">
        <f t="shared" si="1"/>
        <v>0</v>
      </c>
      <c r="BC62" s="195">
        <f t="shared" si="1"/>
        <v>697</v>
      </c>
      <c r="BD62" s="195">
        <f t="shared" si="1"/>
        <v>18002</v>
      </c>
      <c r="BE62" s="195">
        <f t="shared" si="1"/>
        <v>103030</v>
      </c>
      <c r="BF62" s="195">
        <f t="shared" si="1"/>
        <v>89981</v>
      </c>
      <c r="BG62" s="195">
        <f t="shared" si="1"/>
        <v>0</v>
      </c>
      <c r="BH62" s="195">
        <f t="shared" si="1"/>
        <v>100737</v>
      </c>
      <c r="BI62" s="195">
        <f t="shared" si="1"/>
        <v>0</v>
      </c>
      <c r="BJ62" s="195">
        <f t="shared" si="1"/>
        <v>43423</v>
      </c>
      <c r="BK62" s="195">
        <f t="shared" si="1"/>
        <v>154125</v>
      </c>
      <c r="BL62" s="195">
        <f t="shared" si="1"/>
        <v>57824</v>
      </c>
      <c r="BM62" s="195">
        <f t="shared" si="1"/>
        <v>0</v>
      </c>
      <c r="BN62" s="195">
        <f t="shared" si="1"/>
        <v>142560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104767</v>
      </c>
      <c r="BW62" s="195">
        <f t="shared" si="2"/>
        <v>0</v>
      </c>
      <c r="BX62" s="195">
        <f t="shared" si="2"/>
        <v>0</v>
      </c>
      <c r="BY62" s="195">
        <f t="shared" si="2"/>
        <v>60554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4335</v>
      </c>
      <c r="CD62" s="250" t="s">
        <v>221</v>
      </c>
      <c r="CE62" s="195">
        <f t="shared" si="0"/>
        <v>3021740</v>
      </c>
      <c r="CF62" s="253"/>
    </row>
    <row r="63" spans="1:84" ht="12.65" customHeight="1" x14ac:dyDescent="0.35">
      <c r="A63" s="171" t="s">
        <v>236</v>
      </c>
      <c r="B63" s="175"/>
      <c r="C63" s="184"/>
      <c r="D63" s="184"/>
      <c r="E63" s="184">
        <v>1115546.6599999999</v>
      </c>
      <c r="F63" s="185"/>
      <c r="G63" s="184"/>
      <c r="H63" s="184"/>
      <c r="I63" s="185"/>
      <c r="J63" s="185"/>
      <c r="K63" s="185"/>
      <c r="L63" s="185"/>
      <c r="M63" s="184"/>
      <c r="N63" s="184"/>
      <c r="O63" s="184"/>
      <c r="P63" s="185">
        <v>382306.66</v>
      </c>
      <c r="Q63" s="185"/>
      <c r="R63" s="185">
        <v>81066.399999999994</v>
      </c>
      <c r="S63" s="185"/>
      <c r="T63" s="185"/>
      <c r="U63" s="185">
        <v>83034.3</v>
      </c>
      <c r="V63" s="185"/>
      <c r="W63" s="185">
        <v>48224.29</v>
      </c>
      <c r="X63" s="185">
        <v>122066.92</v>
      </c>
      <c r="Y63" s="185">
        <v>205388.76</v>
      </c>
      <c r="Z63" s="185"/>
      <c r="AA63" s="185"/>
      <c r="AB63" s="185">
        <v>40740.120000000003</v>
      </c>
      <c r="AC63" s="185"/>
      <c r="AD63" s="185"/>
      <c r="AE63" s="185">
        <v>104849.5</v>
      </c>
      <c r="AF63" s="185"/>
      <c r="AG63" s="185">
        <v>413563.23</v>
      </c>
      <c r="AH63" s="185"/>
      <c r="AI63" s="185"/>
      <c r="AJ63" s="185">
        <v>195034.59</v>
      </c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>
        <v>2447.1</v>
      </c>
      <c r="AX63" s="185"/>
      <c r="AY63" s="185">
        <v>11060</v>
      </c>
      <c r="AZ63" s="185"/>
      <c r="BA63" s="185"/>
      <c r="BB63" s="185"/>
      <c r="BC63" s="185"/>
      <c r="BD63" s="185"/>
      <c r="BE63" s="185">
        <v>457.95</v>
      </c>
      <c r="BF63" s="185"/>
      <c r="BG63" s="185"/>
      <c r="BH63" s="185"/>
      <c r="BI63" s="185"/>
      <c r="BJ63" s="185"/>
      <c r="BK63" s="185"/>
      <c r="BL63" s="185"/>
      <c r="BM63" s="185"/>
      <c r="BN63" s="185">
        <v>184979</v>
      </c>
      <c r="BO63" s="185"/>
      <c r="BP63" s="185"/>
      <c r="BQ63" s="185"/>
      <c r="BR63" s="185"/>
      <c r="BS63" s="185"/>
      <c r="BT63" s="185"/>
      <c r="BU63" s="185"/>
      <c r="BV63" s="185"/>
      <c r="BW63" s="185"/>
      <c r="BX63" s="185"/>
      <c r="BY63" s="185"/>
      <c r="BZ63" s="185"/>
      <c r="CA63" s="185"/>
      <c r="CB63" s="185"/>
      <c r="CC63" s="185"/>
      <c r="CD63" s="250" t="s">
        <v>221</v>
      </c>
      <c r="CE63" s="195">
        <f t="shared" si="0"/>
        <v>2990765.48</v>
      </c>
      <c r="CF63" s="253"/>
    </row>
    <row r="64" spans="1:84" ht="12.65" customHeight="1" x14ac:dyDescent="0.35">
      <c r="A64" s="171" t="s">
        <v>237</v>
      </c>
      <c r="B64" s="175"/>
      <c r="C64" s="184"/>
      <c r="D64" s="184"/>
      <c r="E64" s="185">
        <v>88910.48</v>
      </c>
      <c r="F64" s="185"/>
      <c r="G64" s="184"/>
      <c r="H64" s="184"/>
      <c r="I64" s="185"/>
      <c r="J64" s="185"/>
      <c r="K64" s="185"/>
      <c r="L64" s="185"/>
      <c r="M64" s="184">
        <v>53010.39</v>
      </c>
      <c r="N64" s="184">
        <v>155.86000000000001</v>
      </c>
      <c r="O64" s="184"/>
      <c r="P64" s="185">
        <v>130843.61</v>
      </c>
      <c r="Q64" s="185"/>
      <c r="R64" s="185">
        <v>10707.61</v>
      </c>
      <c r="S64" s="185"/>
      <c r="T64" s="185"/>
      <c r="U64" s="185">
        <f>2727+466386.47</f>
        <v>469113.47</v>
      </c>
      <c r="V64" s="185"/>
      <c r="W64" s="185"/>
      <c r="X64" s="185">
        <v>55896.27</v>
      </c>
      <c r="Y64" s="185">
        <v>20333.57</v>
      </c>
      <c r="Z64" s="185"/>
      <c r="AA64" s="185"/>
      <c r="AB64" s="185">
        <v>814661.35</v>
      </c>
      <c r="AC64" s="185">
        <v>2672.36</v>
      </c>
      <c r="AD64" s="185"/>
      <c r="AE64" s="185">
        <v>22476.32</v>
      </c>
      <c r="AF64" s="185"/>
      <c r="AG64" s="185">
        <v>51939.07</v>
      </c>
      <c r="AH64" s="185"/>
      <c r="AI64" s="185"/>
      <c r="AJ64" s="185">
        <v>190682.31</v>
      </c>
      <c r="AK64" s="185"/>
      <c r="AL64" s="185"/>
      <c r="AM64" s="185"/>
      <c r="AN64" s="185"/>
      <c r="AO64" s="185"/>
      <c r="AP64" s="185"/>
      <c r="AQ64" s="185"/>
      <c r="AR64" s="185">
        <v>6613.14</v>
      </c>
      <c r="AS64" s="185"/>
      <c r="AT64" s="185"/>
      <c r="AU64" s="185"/>
      <c r="AV64" s="185"/>
      <c r="AW64" s="185">
        <v>1364.59</v>
      </c>
      <c r="AX64" s="185"/>
      <c r="AY64" s="185">
        <v>180270.3</v>
      </c>
      <c r="AZ64" s="185"/>
      <c r="BA64" s="185"/>
      <c r="BB64" s="185"/>
      <c r="BC64" s="185">
        <v>1673.19</v>
      </c>
      <c r="BD64" s="185">
        <v>1913.19</v>
      </c>
      <c r="BE64" s="185">
        <v>33865.69</v>
      </c>
      <c r="BF64" s="185">
        <v>38983.69</v>
      </c>
      <c r="BG64" s="185"/>
      <c r="BH64" s="185">
        <v>24163.119999999999</v>
      </c>
      <c r="BI64" s="185"/>
      <c r="BJ64" s="185">
        <v>6244.43</v>
      </c>
      <c r="BK64" s="185">
        <v>8358.85</v>
      </c>
      <c r="BL64" s="185">
        <v>5539.24</v>
      </c>
      <c r="BM64" s="185"/>
      <c r="BN64" s="185">
        <v>409354.18</v>
      </c>
      <c r="BO64" s="185"/>
      <c r="BP64" s="185"/>
      <c r="BQ64" s="185"/>
      <c r="BR64" s="185"/>
      <c r="BS64" s="185"/>
      <c r="BT64" s="185"/>
      <c r="BU64" s="185"/>
      <c r="BV64" s="185">
        <v>2115.7600000000002</v>
      </c>
      <c r="BW64" s="185"/>
      <c r="BX64" s="185"/>
      <c r="BY64" s="185">
        <v>268.24</v>
      </c>
      <c r="BZ64" s="185"/>
      <c r="CA64" s="185"/>
      <c r="CB64" s="185"/>
      <c r="CC64" s="185">
        <v>-160.28</v>
      </c>
      <c r="CD64" s="250" t="s">
        <v>221</v>
      </c>
      <c r="CE64" s="195">
        <f t="shared" si="0"/>
        <v>2631970.0000000009</v>
      </c>
      <c r="CF64" s="253"/>
    </row>
    <row r="65" spans="1:84" ht="12.65" customHeight="1" x14ac:dyDescent="0.35">
      <c r="A65" s="171" t="s">
        <v>238</v>
      </c>
      <c r="B65" s="175"/>
      <c r="C65" s="184"/>
      <c r="D65" s="184"/>
      <c r="E65" s="184">
        <v>9208.65</v>
      </c>
      <c r="F65" s="184"/>
      <c r="G65" s="184"/>
      <c r="H65" s="184"/>
      <c r="I65" s="185"/>
      <c r="J65" s="184"/>
      <c r="K65" s="185"/>
      <c r="L65" s="185"/>
      <c r="M65" s="184">
        <v>491.36</v>
      </c>
      <c r="N65" s="184"/>
      <c r="O65" s="184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>
        <v>517.27</v>
      </c>
      <c r="AH65" s="185"/>
      <c r="AI65" s="185"/>
      <c r="AJ65" s="185">
        <v>44247.33</v>
      </c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>
        <v>212311.21</v>
      </c>
      <c r="BF65" s="185">
        <v>638.32000000000005</v>
      </c>
      <c r="BG65" s="185"/>
      <c r="BH65" s="185"/>
      <c r="BI65" s="185"/>
      <c r="BJ65" s="185"/>
      <c r="BK65" s="185"/>
      <c r="BL65" s="185"/>
      <c r="BM65" s="185"/>
      <c r="BN65" s="185"/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/>
      <c r="CD65" s="250" t="s">
        <v>221</v>
      </c>
      <c r="CE65" s="195">
        <f t="shared" si="0"/>
        <v>267414.14</v>
      </c>
      <c r="CF65" s="253"/>
    </row>
    <row r="66" spans="1:84" ht="12.65" customHeight="1" x14ac:dyDescent="0.35">
      <c r="A66" s="171" t="s">
        <v>239</v>
      </c>
      <c r="B66" s="175"/>
      <c r="C66" s="184"/>
      <c r="D66" s="184"/>
      <c r="E66" s="184">
        <v>35401.06</v>
      </c>
      <c r="F66" s="184"/>
      <c r="G66" s="184"/>
      <c r="H66" s="184"/>
      <c r="I66" s="184"/>
      <c r="J66" s="184"/>
      <c r="K66" s="185"/>
      <c r="L66" s="185"/>
      <c r="M66" s="184">
        <v>289.8</v>
      </c>
      <c r="N66" s="184"/>
      <c r="O66" s="185"/>
      <c r="P66" s="185">
        <v>20466.66</v>
      </c>
      <c r="Q66" s="185"/>
      <c r="R66" s="185">
        <v>3891.6</v>
      </c>
      <c r="S66" s="184"/>
      <c r="T66" s="184"/>
      <c r="U66" s="185">
        <v>324032.03999999998</v>
      </c>
      <c r="V66" s="185"/>
      <c r="W66" s="185">
        <v>1403.34</v>
      </c>
      <c r="X66" s="185">
        <v>68077.34</v>
      </c>
      <c r="Y66" s="185">
        <v>168049.08</v>
      </c>
      <c r="Z66" s="185"/>
      <c r="AA66" s="185"/>
      <c r="AB66" s="185">
        <v>331917.93</v>
      </c>
      <c r="AC66" s="185">
        <v>242.25</v>
      </c>
      <c r="AD66" s="185"/>
      <c r="AE66" s="185">
        <v>2794.28</v>
      </c>
      <c r="AF66" s="185"/>
      <c r="AG66" s="185">
        <v>10728.83</v>
      </c>
      <c r="AH66" s="185"/>
      <c r="AI66" s="185"/>
      <c r="AJ66" s="185">
        <v>138618.35</v>
      </c>
      <c r="AK66" s="185"/>
      <c r="AL66" s="185"/>
      <c r="AM66" s="185"/>
      <c r="AN66" s="185"/>
      <c r="AO66" s="185"/>
      <c r="AP66" s="185"/>
      <c r="AQ66" s="185"/>
      <c r="AR66" s="185">
        <v>3853.32</v>
      </c>
      <c r="AS66" s="185"/>
      <c r="AT66" s="185"/>
      <c r="AU66" s="185"/>
      <c r="AV66" s="185"/>
      <c r="AW66" s="185">
        <v>-24.44</v>
      </c>
      <c r="AX66" s="185"/>
      <c r="AY66" s="185"/>
      <c r="AZ66" s="185"/>
      <c r="BA66" s="185"/>
      <c r="BB66" s="185"/>
      <c r="BC66" s="185">
        <v>1251.71</v>
      </c>
      <c r="BD66" s="185"/>
      <c r="BE66" s="185">
        <v>70586.240000000005</v>
      </c>
      <c r="BF66" s="185">
        <v>130685.48</v>
      </c>
      <c r="BG66" s="185"/>
      <c r="BH66" s="185">
        <v>712323.52</v>
      </c>
      <c r="BI66" s="185"/>
      <c r="BJ66" s="185">
        <v>151253.06</v>
      </c>
      <c r="BK66" s="185">
        <v>289473.18</v>
      </c>
      <c r="BL66" s="185">
        <v>447.9</v>
      </c>
      <c r="BM66" s="185"/>
      <c r="BN66" s="185">
        <f>31086+181709.4</f>
        <v>212795.4</v>
      </c>
      <c r="BO66" s="185"/>
      <c r="BP66" s="185"/>
      <c r="BQ66" s="185"/>
      <c r="BR66" s="185"/>
      <c r="BS66" s="185"/>
      <c r="BT66" s="185"/>
      <c r="BU66" s="185"/>
      <c r="BV66" s="185">
        <v>15060.21</v>
      </c>
      <c r="BW66" s="185"/>
      <c r="BX66" s="185"/>
      <c r="BY66" s="185"/>
      <c r="BZ66" s="185"/>
      <c r="CA66" s="185"/>
      <c r="CB66" s="185"/>
      <c r="CC66" s="185"/>
      <c r="CD66" s="250" t="s">
        <v>221</v>
      </c>
      <c r="CE66" s="195">
        <f t="shared" si="0"/>
        <v>2693618.1399999997</v>
      </c>
      <c r="CF66" s="253"/>
    </row>
    <row r="67" spans="1:84" ht="12.65" customHeight="1" x14ac:dyDescent="0.3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0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0</v>
      </c>
      <c r="Q67" s="195">
        <f t="shared" si="3"/>
        <v>0</v>
      </c>
      <c r="R67" s="195">
        <f t="shared" si="3"/>
        <v>0</v>
      </c>
      <c r="S67" s="195">
        <f t="shared" si="3"/>
        <v>0</v>
      </c>
      <c r="T67" s="195">
        <f t="shared" si="3"/>
        <v>0</v>
      </c>
      <c r="U67" s="195">
        <f t="shared" si="3"/>
        <v>0</v>
      </c>
      <c r="V67" s="195">
        <f t="shared" si="3"/>
        <v>0</v>
      </c>
      <c r="W67" s="195">
        <f t="shared" si="3"/>
        <v>0</v>
      </c>
      <c r="X67" s="195">
        <f t="shared" si="3"/>
        <v>0</v>
      </c>
      <c r="Y67" s="195">
        <f t="shared" si="3"/>
        <v>0</v>
      </c>
      <c r="Z67" s="195">
        <f t="shared" si="3"/>
        <v>0</v>
      </c>
      <c r="AA67" s="195">
        <f t="shared" si="3"/>
        <v>0</v>
      </c>
      <c r="AB67" s="195">
        <f t="shared" si="3"/>
        <v>0</v>
      </c>
      <c r="AC67" s="195">
        <f t="shared" si="3"/>
        <v>0</v>
      </c>
      <c r="AD67" s="195">
        <f t="shared" si="3"/>
        <v>0</v>
      </c>
      <c r="AE67" s="195">
        <f t="shared" si="3"/>
        <v>0</v>
      </c>
      <c r="AF67" s="195">
        <f t="shared" si="3"/>
        <v>0</v>
      </c>
      <c r="AG67" s="195">
        <f t="shared" si="3"/>
        <v>0</v>
      </c>
      <c r="AH67" s="195">
        <f t="shared" si="3"/>
        <v>0</v>
      </c>
      <c r="AI67" s="195">
        <f t="shared" si="3"/>
        <v>0</v>
      </c>
      <c r="AJ67" s="195">
        <f t="shared" si="3"/>
        <v>168907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0</v>
      </c>
      <c r="AZ67" s="195">
        <f>ROUND(AZ51+AZ52,0)</f>
        <v>0</v>
      </c>
      <c r="BA67" s="195">
        <f>ROUND(BA51+BA52,0)</f>
        <v>0</v>
      </c>
      <c r="BB67" s="195">
        <f t="shared" si="3"/>
        <v>0</v>
      </c>
      <c r="BC67" s="195">
        <f t="shared" si="3"/>
        <v>0</v>
      </c>
      <c r="BD67" s="195">
        <f t="shared" si="3"/>
        <v>0</v>
      </c>
      <c r="BE67" s="195">
        <f t="shared" si="3"/>
        <v>0</v>
      </c>
      <c r="BF67" s="195">
        <f t="shared" si="3"/>
        <v>0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0</v>
      </c>
      <c r="BM67" s="195">
        <f t="shared" si="3"/>
        <v>0</v>
      </c>
      <c r="BN67" s="195">
        <f t="shared" si="3"/>
        <v>1119833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0</v>
      </c>
      <c r="BW67" s="195">
        <f t="shared" si="4"/>
        <v>0</v>
      </c>
      <c r="BX67" s="195">
        <f t="shared" si="4"/>
        <v>0</v>
      </c>
      <c r="BY67" s="195">
        <f t="shared" si="4"/>
        <v>0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0</v>
      </c>
      <c r="CD67" s="250" t="s">
        <v>221</v>
      </c>
      <c r="CE67" s="195">
        <f t="shared" si="0"/>
        <v>1288740</v>
      </c>
      <c r="CF67" s="253"/>
    </row>
    <row r="68" spans="1:84" ht="12.65" customHeight="1" x14ac:dyDescent="0.35">
      <c r="A68" s="171" t="s">
        <v>240</v>
      </c>
      <c r="B68" s="175"/>
      <c r="C68" s="184"/>
      <c r="D68" s="184"/>
      <c r="E68" s="184">
        <v>48800.15</v>
      </c>
      <c r="F68" s="184"/>
      <c r="G68" s="184"/>
      <c r="H68" s="184"/>
      <c r="I68" s="184"/>
      <c r="J68" s="184"/>
      <c r="K68" s="185"/>
      <c r="L68" s="185"/>
      <c r="M68" s="184">
        <v>13606.77</v>
      </c>
      <c r="N68" s="184"/>
      <c r="O68" s="184"/>
      <c r="P68" s="185">
        <v>7067.05</v>
      </c>
      <c r="Q68" s="185"/>
      <c r="R68" s="185"/>
      <c r="S68" s="185"/>
      <c r="T68" s="185"/>
      <c r="U68" s="185">
        <v>4685.07</v>
      </c>
      <c r="V68" s="185"/>
      <c r="W68" s="185">
        <v>238807.09</v>
      </c>
      <c r="X68" s="185">
        <v>35897.25</v>
      </c>
      <c r="Y68" s="185">
        <v>4297.5600000000004</v>
      </c>
      <c r="Z68" s="185"/>
      <c r="AA68" s="185"/>
      <c r="AB68" s="185">
        <v>7564.26</v>
      </c>
      <c r="AC68" s="185"/>
      <c r="AD68" s="185"/>
      <c r="AE68" s="185"/>
      <c r="AF68" s="185"/>
      <c r="AG68" s="185">
        <v>14616.79</v>
      </c>
      <c r="AH68" s="185"/>
      <c r="AI68" s="185"/>
      <c r="AJ68" s="185">
        <v>9707.67</v>
      </c>
      <c r="AK68" s="185"/>
      <c r="AL68" s="185"/>
      <c r="AM68" s="185"/>
      <c r="AN68" s="185"/>
      <c r="AO68" s="185"/>
      <c r="AP68" s="185"/>
      <c r="AQ68" s="185"/>
      <c r="AR68" s="185">
        <v>16.78</v>
      </c>
      <c r="AS68" s="185"/>
      <c r="AT68" s="185"/>
      <c r="AU68" s="185"/>
      <c r="AV68" s="185"/>
      <c r="AW68" s="185"/>
      <c r="AX68" s="185"/>
      <c r="AY68" s="185"/>
      <c r="AZ68" s="185"/>
      <c r="BA68" s="185"/>
      <c r="BB68" s="185"/>
      <c r="BC68" s="185"/>
      <c r="BD68" s="185"/>
      <c r="BE68" s="185">
        <v>1950.98</v>
      </c>
      <c r="BF68" s="185"/>
      <c r="BG68" s="185"/>
      <c r="BH68" s="185">
        <v>1234.1199999999999</v>
      </c>
      <c r="BI68" s="185"/>
      <c r="BJ68" s="185">
        <v>4339.3999999999996</v>
      </c>
      <c r="BK68" s="185">
        <v>3773.34</v>
      </c>
      <c r="BL68" s="185">
        <v>3772.32</v>
      </c>
      <c r="BM68" s="185"/>
      <c r="BN68" s="185">
        <v>11980.57</v>
      </c>
      <c r="BO68" s="185"/>
      <c r="BP68" s="185"/>
      <c r="BQ68" s="185"/>
      <c r="BR68" s="185"/>
      <c r="BS68" s="185"/>
      <c r="BT68" s="185"/>
      <c r="BU68" s="185"/>
      <c r="BV68" s="185">
        <v>4259.6000000000004</v>
      </c>
      <c r="BW68" s="185"/>
      <c r="BX68" s="185"/>
      <c r="BY68" s="185"/>
      <c r="BZ68" s="185"/>
      <c r="CA68" s="185"/>
      <c r="CB68" s="185"/>
      <c r="CC68" s="185"/>
      <c r="CD68" s="250" t="s">
        <v>221</v>
      </c>
      <c r="CE68" s="195">
        <f t="shared" si="0"/>
        <v>416376.77</v>
      </c>
      <c r="CF68" s="253"/>
    </row>
    <row r="69" spans="1:84" ht="12.65" customHeight="1" x14ac:dyDescent="0.35">
      <c r="A69" s="171" t="s">
        <v>241</v>
      </c>
      <c r="B69" s="175"/>
      <c r="C69" s="184"/>
      <c r="D69" s="184"/>
      <c r="E69" s="185">
        <v>13278.19</v>
      </c>
      <c r="F69" s="185"/>
      <c r="G69" s="184"/>
      <c r="H69" s="184"/>
      <c r="I69" s="185"/>
      <c r="J69" s="185"/>
      <c r="K69" s="185"/>
      <c r="L69" s="185"/>
      <c r="M69" s="184">
        <v>11468.62</v>
      </c>
      <c r="N69" s="184">
        <v>30970.73</v>
      </c>
      <c r="O69" s="184"/>
      <c r="P69" s="185">
        <v>65074.68</v>
      </c>
      <c r="Q69" s="185"/>
      <c r="R69" s="224">
        <v>1460</v>
      </c>
      <c r="S69" s="185"/>
      <c r="T69" s="184"/>
      <c r="U69" s="185">
        <v>5865.23</v>
      </c>
      <c r="V69" s="185"/>
      <c r="W69" s="184"/>
      <c r="X69" s="185">
        <v>7370.75</v>
      </c>
      <c r="Y69" s="185">
        <v>4170.42</v>
      </c>
      <c r="Z69" s="185"/>
      <c r="AA69" s="185"/>
      <c r="AB69" s="185">
        <v>10307.040000000001</v>
      </c>
      <c r="AC69" s="185"/>
      <c r="AD69" s="185"/>
      <c r="AE69" s="185">
        <v>15940.92</v>
      </c>
      <c r="AF69" s="185"/>
      <c r="AG69" s="185">
        <v>30608.6</v>
      </c>
      <c r="AH69" s="185"/>
      <c r="AI69" s="185"/>
      <c r="AJ69" s="185">
        <v>120718.07</v>
      </c>
      <c r="AK69" s="185"/>
      <c r="AL69" s="185"/>
      <c r="AM69" s="185"/>
      <c r="AN69" s="185"/>
      <c r="AO69" s="184"/>
      <c r="AP69" s="185"/>
      <c r="AQ69" s="184"/>
      <c r="AR69" s="184">
        <v>4095.2</v>
      </c>
      <c r="AS69" s="184"/>
      <c r="AT69" s="184"/>
      <c r="AU69" s="185"/>
      <c r="AV69" s="185"/>
      <c r="AW69" s="185"/>
      <c r="AX69" s="185"/>
      <c r="AY69" s="185">
        <v>1446.57</v>
      </c>
      <c r="AZ69" s="185"/>
      <c r="BA69" s="185"/>
      <c r="BB69" s="185"/>
      <c r="BC69" s="185"/>
      <c r="BD69" s="185"/>
      <c r="BE69" s="185">
        <v>58876.58</v>
      </c>
      <c r="BF69" s="185">
        <v>1215.7</v>
      </c>
      <c r="BG69" s="185"/>
      <c r="BH69" s="224">
        <v>873.44</v>
      </c>
      <c r="BI69" s="185"/>
      <c r="BJ69" s="185">
        <v>202.73</v>
      </c>
      <c r="BK69" s="185">
        <v>58970.05</v>
      </c>
      <c r="BL69" s="185">
        <v>-518.15</v>
      </c>
      <c r="BM69" s="185"/>
      <c r="BN69" s="185">
        <f>213600.22+512517.93+5562</f>
        <v>731680.15</v>
      </c>
      <c r="BO69" s="185"/>
      <c r="BP69" s="185"/>
      <c r="BQ69" s="185"/>
      <c r="BR69" s="185"/>
      <c r="BS69" s="185"/>
      <c r="BT69" s="185"/>
      <c r="BU69" s="185"/>
      <c r="BV69" s="185">
        <v>662.88</v>
      </c>
      <c r="BW69" s="185"/>
      <c r="BX69" s="185"/>
      <c r="BY69" s="185"/>
      <c r="BZ69" s="185"/>
      <c r="CA69" s="185"/>
      <c r="CB69" s="185"/>
      <c r="CC69" s="185"/>
      <c r="CD69" s="188"/>
      <c r="CE69" s="195">
        <f t="shared" si="0"/>
        <v>1174738.3999999999</v>
      </c>
      <c r="CF69" s="253"/>
    </row>
    <row r="70" spans="1:84" ht="12.65" customHeight="1" x14ac:dyDescent="0.3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/>
      <c r="CE70" s="195">
        <f t="shared" si="0"/>
        <v>0</v>
      </c>
      <c r="CF70" s="253"/>
    </row>
    <row r="71" spans="1:84" ht="12.65" customHeight="1" x14ac:dyDescent="0.3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2845351.9199999995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544368.03999999992</v>
      </c>
      <c r="N71" s="195">
        <f t="shared" si="5"/>
        <v>335559.51999999996</v>
      </c>
      <c r="O71" s="195">
        <f t="shared" si="5"/>
        <v>0</v>
      </c>
      <c r="P71" s="195">
        <f t="shared" si="5"/>
        <v>1572299.72</v>
      </c>
      <c r="Q71" s="195">
        <f t="shared" si="5"/>
        <v>0</v>
      </c>
      <c r="R71" s="195">
        <f t="shared" si="5"/>
        <v>293047.01999999996</v>
      </c>
      <c r="S71" s="195">
        <f t="shared" si="5"/>
        <v>0</v>
      </c>
      <c r="T71" s="195">
        <f t="shared" si="5"/>
        <v>0</v>
      </c>
      <c r="U71" s="195">
        <f t="shared" si="5"/>
        <v>1596606.72</v>
      </c>
      <c r="V71" s="195">
        <f t="shared" si="5"/>
        <v>0</v>
      </c>
      <c r="W71" s="195">
        <f t="shared" si="5"/>
        <v>288434.71999999997</v>
      </c>
      <c r="X71" s="195">
        <f t="shared" si="5"/>
        <v>366231.07999999996</v>
      </c>
      <c r="Y71" s="195">
        <f t="shared" si="5"/>
        <v>1144562.3999999999</v>
      </c>
      <c r="Z71" s="195">
        <f t="shared" si="5"/>
        <v>0</v>
      </c>
      <c r="AA71" s="195">
        <f t="shared" si="5"/>
        <v>0</v>
      </c>
      <c r="AB71" s="195">
        <f t="shared" si="5"/>
        <v>1680863.97</v>
      </c>
      <c r="AC71" s="195">
        <f t="shared" si="5"/>
        <v>80573</v>
      </c>
      <c r="AD71" s="195">
        <f t="shared" si="5"/>
        <v>0</v>
      </c>
      <c r="AE71" s="195">
        <f t="shared" si="5"/>
        <v>1043327.97</v>
      </c>
      <c r="AF71" s="195">
        <f t="shared" si="5"/>
        <v>0</v>
      </c>
      <c r="AG71" s="195">
        <f t="shared" si="5"/>
        <v>2478266.3199999998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4756986.7399999993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128026.74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77605.5</v>
      </c>
      <c r="AX71" s="195">
        <f t="shared" si="6"/>
        <v>0</v>
      </c>
      <c r="AY71" s="195">
        <f t="shared" si="6"/>
        <v>583147.67999999993</v>
      </c>
      <c r="AZ71" s="195">
        <f t="shared" si="6"/>
        <v>0</v>
      </c>
      <c r="BA71" s="195">
        <f t="shared" si="6"/>
        <v>0</v>
      </c>
      <c r="BB71" s="195">
        <f t="shared" si="6"/>
        <v>0</v>
      </c>
      <c r="BC71" s="195">
        <f t="shared" si="6"/>
        <v>13620.220000000001</v>
      </c>
      <c r="BD71" s="195">
        <f t="shared" si="6"/>
        <v>85196.48000000001</v>
      </c>
      <c r="BE71" s="195">
        <f t="shared" si="6"/>
        <v>911602.36999999976</v>
      </c>
      <c r="BF71" s="195">
        <f t="shared" si="6"/>
        <v>606586.75</v>
      </c>
      <c r="BG71" s="195">
        <f t="shared" si="6"/>
        <v>0</v>
      </c>
      <c r="BH71" s="195">
        <f t="shared" si="6"/>
        <v>1263360.6800000002</v>
      </c>
      <c r="BI71" s="195">
        <f t="shared" si="6"/>
        <v>0</v>
      </c>
      <c r="BJ71" s="195">
        <f t="shared" si="6"/>
        <v>449177.41000000003</v>
      </c>
      <c r="BK71" s="195">
        <f t="shared" si="6"/>
        <v>1017806.93</v>
      </c>
      <c r="BL71" s="195">
        <f t="shared" si="6"/>
        <v>241877.33</v>
      </c>
      <c r="BM71" s="195">
        <f t="shared" si="6"/>
        <v>0</v>
      </c>
      <c r="BN71" s="195">
        <f t="shared" si="6"/>
        <v>3627233.1999999993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0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407093.09</v>
      </c>
      <c r="BW71" s="195">
        <f t="shared" si="7"/>
        <v>0</v>
      </c>
      <c r="BX71" s="195">
        <f t="shared" si="7"/>
        <v>0</v>
      </c>
      <c r="BY71" s="195">
        <f t="shared" si="7"/>
        <v>294658.03999999998</v>
      </c>
      <c r="BZ71" s="195">
        <f t="shared" si="7"/>
        <v>0</v>
      </c>
      <c r="CA71" s="195">
        <f t="shared" si="7"/>
        <v>0</v>
      </c>
      <c r="CB71" s="195">
        <f t="shared" si="7"/>
        <v>0</v>
      </c>
      <c r="CC71" s="195">
        <f t="shared" si="7"/>
        <v>45423.08</v>
      </c>
      <c r="CD71" s="246">
        <f>CD69-CD70</f>
        <v>0</v>
      </c>
      <c r="CE71" s="195">
        <f>SUM(CE61:CE69)-CE70</f>
        <v>28778894.640000001</v>
      </c>
      <c r="CF71" s="253"/>
    </row>
    <row r="72" spans="1:84" ht="12.65" customHeight="1" x14ac:dyDescent="0.35">
      <c r="A72" s="171" t="s">
        <v>244</v>
      </c>
      <c r="B72" s="175"/>
      <c r="C72" s="250" t="s">
        <v>221</v>
      </c>
      <c r="D72" s="250" t="s">
        <v>221</v>
      </c>
      <c r="E72" s="250" t="s">
        <v>221</v>
      </c>
      <c r="F72" s="250" t="s">
        <v>221</v>
      </c>
      <c r="G72" s="250" t="s">
        <v>221</v>
      </c>
      <c r="H72" s="250" t="s">
        <v>221</v>
      </c>
      <c r="I72" s="250" t="s">
        <v>221</v>
      </c>
      <c r="J72" s="250" t="s">
        <v>221</v>
      </c>
      <c r="K72" s="254" t="s">
        <v>221</v>
      </c>
      <c r="L72" s="250" t="s">
        <v>221</v>
      </c>
      <c r="M72" s="250" t="s">
        <v>221</v>
      </c>
      <c r="N72" s="250" t="s">
        <v>221</v>
      </c>
      <c r="O72" s="250" t="s">
        <v>221</v>
      </c>
      <c r="P72" s="250" t="s">
        <v>221</v>
      </c>
      <c r="Q72" s="250" t="s">
        <v>221</v>
      </c>
      <c r="R72" s="250" t="s">
        <v>221</v>
      </c>
      <c r="S72" s="250" t="s">
        <v>221</v>
      </c>
      <c r="T72" s="250" t="s">
        <v>221</v>
      </c>
      <c r="U72" s="250" t="s">
        <v>221</v>
      </c>
      <c r="V72" s="250" t="s">
        <v>221</v>
      </c>
      <c r="W72" s="250" t="s">
        <v>221</v>
      </c>
      <c r="X72" s="250" t="s">
        <v>221</v>
      </c>
      <c r="Y72" s="250" t="s">
        <v>221</v>
      </c>
      <c r="Z72" s="250" t="s">
        <v>221</v>
      </c>
      <c r="AA72" s="250" t="s">
        <v>221</v>
      </c>
      <c r="AB72" s="250" t="s">
        <v>221</v>
      </c>
      <c r="AC72" s="250" t="s">
        <v>221</v>
      </c>
      <c r="AD72" s="250" t="s">
        <v>221</v>
      </c>
      <c r="AE72" s="250" t="s">
        <v>221</v>
      </c>
      <c r="AF72" s="250" t="s">
        <v>221</v>
      </c>
      <c r="AG72" s="250" t="s">
        <v>221</v>
      </c>
      <c r="AH72" s="250" t="s">
        <v>221</v>
      </c>
      <c r="AI72" s="250" t="s">
        <v>221</v>
      </c>
      <c r="AJ72" s="250" t="s">
        <v>221</v>
      </c>
      <c r="AK72" s="250" t="s">
        <v>221</v>
      </c>
      <c r="AL72" s="250" t="s">
        <v>221</v>
      </c>
      <c r="AM72" s="250" t="s">
        <v>221</v>
      </c>
      <c r="AN72" s="250" t="s">
        <v>221</v>
      </c>
      <c r="AO72" s="250" t="s">
        <v>221</v>
      </c>
      <c r="AP72" s="250" t="s">
        <v>221</v>
      </c>
      <c r="AQ72" s="250" t="s">
        <v>221</v>
      </c>
      <c r="AR72" s="250" t="s">
        <v>221</v>
      </c>
      <c r="AS72" s="250" t="s">
        <v>221</v>
      </c>
      <c r="AT72" s="250" t="s">
        <v>221</v>
      </c>
      <c r="AU72" s="250" t="s">
        <v>221</v>
      </c>
      <c r="AV72" s="250" t="s">
        <v>221</v>
      </c>
      <c r="AW72" s="250" t="s">
        <v>221</v>
      </c>
      <c r="AX72" s="250" t="s">
        <v>221</v>
      </c>
      <c r="AY72" s="250" t="s">
        <v>221</v>
      </c>
      <c r="AZ72" s="250" t="s">
        <v>221</v>
      </c>
      <c r="BA72" s="250" t="s">
        <v>221</v>
      </c>
      <c r="BB72" s="250" t="s">
        <v>221</v>
      </c>
      <c r="BC72" s="250" t="s">
        <v>221</v>
      </c>
      <c r="BD72" s="250" t="s">
        <v>221</v>
      </c>
      <c r="BE72" s="250" t="s">
        <v>221</v>
      </c>
      <c r="BF72" s="250" t="s">
        <v>221</v>
      </c>
      <c r="BG72" s="250" t="s">
        <v>221</v>
      </c>
      <c r="BH72" s="250" t="s">
        <v>221</v>
      </c>
      <c r="BI72" s="250" t="s">
        <v>221</v>
      </c>
      <c r="BJ72" s="250" t="s">
        <v>221</v>
      </c>
      <c r="BK72" s="250" t="s">
        <v>221</v>
      </c>
      <c r="BL72" s="250" t="s">
        <v>221</v>
      </c>
      <c r="BM72" s="250" t="s">
        <v>221</v>
      </c>
      <c r="BN72" s="250" t="s">
        <v>221</v>
      </c>
      <c r="BO72" s="250" t="s">
        <v>221</v>
      </c>
      <c r="BP72" s="250" t="s">
        <v>221</v>
      </c>
      <c r="BQ72" s="250" t="s">
        <v>221</v>
      </c>
      <c r="BR72" s="250" t="s">
        <v>221</v>
      </c>
      <c r="BS72" s="250" t="s">
        <v>221</v>
      </c>
      <c r="BT72" s="250" t="s">
        <v>221</v>
      </c>
      <c r="BU72" s="250" t="s">
        <v>221</v>
      </c>
      <c r="BV72" s="250" t="s">
        <v>221</v>
      </c>
      <c r="BW72" s="250" t="s">
        <v>221</v>
      </c>
      <c r="BX72" s="250" t="s">
        <v>221</v>
      </c>
      <c r="BY72" s="250" t="s">
        <v>221</v>
      </c>
      <c r="BZ72" s="250" t="s">
        <v>221</v>
      </c>
      <c r="CA72" s="250" t="s">
        <v>221</v>
      </c>
      <c r="CB72" s="250" t="s">
        <v>221</v>
      </c>
      <c r="CC72" s="250" t="s">
        <v>221</v>
      </c>
      <c r="CD72" s="250" t="s">
        <v>221</v>
      </c>
      <c r="CE72" s="188"/>
      <c r="CF72" s="253"/>
    </row>
    <row r="73" spans="1:84" ht="12.65" customHeight="1" x14ac:dyDescent="0.35">
      <c r="A73" s="171" t="s">
        <v>245</v>
      </c>
      <c r="B73" s="175"/>
      <c r="C73" s="184"/>
      <c r="D73" s="184"/>
      <c r="E73" s="185">
        <v>1646018.8</v>
      </c>
      <c r="F73" s="185"/>
      <c r="G73" s="184"/>
      <c r="H73" s="184"/>
      <c r="I73" s="185"/>
      <c r="J73" s="185"/>
      <c r="K73" s="185"/>
      <c r="L73" s="185"/>
      <c r="M73" s="184"/>
      <c r="N73" s="184"/>
      <c r="O73" s="184"/>
      <c r="P73" s="185">
        <v>106701</v>
      </c>
      <c r="Q73" s="185"/>
      <c r="R73" s="185">
        <v>15534</v>
      </c>
      <c r="S73" s="185"/>
      <c r="T73" s="185"/>
      <c r="U73" s="185">
        <v>255054.95</v>
      </c>
      <c r="V73" s="185"/>
      <c r="W73" s="185">
        <v>52037</v>
      </c>
      <c r="X73" s="185">
        <v>122893</v>
      </c>
      <c r="Y73" s="185">
        <v>157545</v>
      </c>
      <c r="Z73" s="185"/>
      <c r="AA73" s="185"/>
      <c r="AB73" s="185">
        <v>784009.18</v>
      </c>
      <c r="AC73" s="185">
        <v>24523</v>
      </c>
      <c r="AD73" s="185"/>
      <c r="AE73" s="185">
        <v>99287</v>
      </c>
      <c r="AF73" s="185"/>
      <c r="AG73" s="185">
        <v>80945</v>
      </c>
      <c r="AH73" s="185"/>
      <c r="AI73" s="185"/>
      <c r="AJ73" s="185"/>
      <c r="AK73" s="185">
        <v>78039</v>
      </c>
      <c r="AL73" s="185"/>
      <c r="AM73" s="185"/>
      <c r="AN73" s="185"/>
      <c r="AO73" s="185"/>
      <c r="AP73" s="185"/>
      <c r="AQ73" s="185"/>
      <c r="AR73" s="185"/>
      <c r="AS73" s="185"/>
      <c r="AT73" s="185"/>
      <c r="AU73" s="185"/>
      <c r="AV73" s="185"/>
      <c r="AW73" s="250" t="s">
        <v>221</v>
      </c>
      <c r="AX73" s="250" t="s">
        <v>221</v>
      </c>
      <c r="AY73" s="250" t="s">
        <v>221</v>
      </c>
      <c r="AZ73" s="250" t="s">
        <v>221</v>
      </c>
      <c r="BA73" s="250" t="s">
        <v>221</v>
      </c>
      <c r="BB73" s="250" t="s">
        <v>221</v>
      </c>
      <c r="BC73" s="250" t="s">
        <v>221</v>
      </c>
      <c r="BD73" s="250" t="s">
        <v>221</v>
      </c>
      <c r="BE73" s="250" t="s">
        <v>221</v>
      </c>
      <c r="BF73" s="250" t="s">
        <v>221</v>
      </c>
      <c r="BG73" s="250" t="s">
        <v>221</v>
      </c>
      <c r="BH73" s="250" t="s">
        <v>221</v>
      </c>
      <c r="BI73" s="250" t="s">
        <v>221</v>
      </c>
      <c r="BJ73" s="250" t="s">
        <v>221</v>
      </c>
      <c r="BK73" s="250" t="s">
        <v>221</v>
      </c>
      <c r="BL73" s="250" t="s">
        <v>221</v>
      </c>
      <c r="BM73" s="250" t="s">
        <v>221</v>
      </c>
      <c r="BN73" s="250" t="s">
        <v>221</v>
      </c>
      <c r="BO73" s="250" t="s">
        <v>221</v>
      </c>
      <c r="BP73" s="250" t="s">
        <v>221</v>
      </c>
      <c r="BQ73" s="250" t="s">
        <v>221</v>
      </c>
      <c r="BR73" s="250" t="s">
        <v>221</v>
      </c>
      <c r="BS73" s="250" t="s">
        <v>221</v>
      </c>
      <c r="BT73" s="250" t="s">
        <v>221</v>
      </c>
      <c r="BU73" s="250" t="s">
        <v>221</v>
      </c>
      <c r="BV73" s="250" t="s">
        <v>221</v>
      </c>
      <c r="BW73" s="250" t="s">
        <v>221</v>
      </c>
      <c r="BX73" s="250" t="s">
        <v>221</v>
      </c>
      <c r="BY73" s="250" t="s">
        <v>221</v>
      </c>
      <c r="BZ73" s="250" t="s">
        <v>221</v>
      </c>
      <c r="CA73" s="250" t="s">
        <v>221</v>
      </c>
      <c r="CB73" s="250" t="s">
        <v>221</v>
      </c>
      <c r="CC73" s="250" t="s">
        <v>221</v>
      </c>
      <c r="CD73" s="250" t="s">
        <v>221</v>
      </c>
      <c r="CE73" s="195">
        <f t="shared" ref="CE73:CE80" si="8">SUM(C73:CD73)</f>
        <v>3422586.93</v>
      </c>
      <c r="CF73" s="253"/>
    </row>
    <row r="74" spans="1:84" ht="12.65" customHeight="1" x14ac:dyDescent="0.35">
      <c r="A74" s="171" t="s">
        <v>246</v>
      </c>
      <c r="B74" s="175"/>
      <c r="C74" s="184"/>
      <c r="D74" s="184"/>
      <c r="E74" s="185">
        <v>761938.95</v>
      </c>
      <c r="F74" s="185"/>
      <c r="G74" s="184"/>
      <c r="H74" s="184"/>
      <c r="I74" s="184"/>
      <c r="J74" s="185"/>
      <c r="K74" s="185"/>
      <c r="L74" s="185"/>
      <c r="M74" s="184">
        <v>1131690</v>
      </c>
      <c r="N74" s="184">
        <v>664497</v>
      </c>
      <c r="O74" s="184"/>
      <c r="P74" s="185">
        <v>3112058</v>
      </c>
      <c r="Q74" s="185"/>
      <c r="R74" s="185">
        <v>256227.64</v>
      </c>
      <c r="S74" s="185"/>
      <c r="T74" s="185"/>
      <c r="U74" s="185">
        <v>5791655.5899999999</v>
      </c>
      <c r="V74" s="185"/>
      <c r="W74" s="185">
        <v>1588175</v>
      </c>
      <c r="X74" s="185">
        <v>4736133</v>
      </c>
      <c r="Y74" s="185">
        <v>4480369.53</v>
      </c>
      <c r="Z74" s="185"/>
      <c r="AA74" s="185"/>
      <c r="AB74" s="185">
        <v>3197315.65</v>
      </c>
      <c r="AC74" s="185">
        <v>95201</v>
      </c>
      <c r="AD74" s="185"/>
      <c r="AE74" s="185">
        <v>1721293.11</v>
      </c>
      <c r="AF74" s="185"/>
      <c r="AG74" s="185">
        <v>9373799</v>
      </c>
      <c r="AH74" s="185"/>
      <c r="AI74" s="185"/>
      <c r="AJ74" s="185">
        <v>5949446</v>
      </c>
      <c r="AK74" s="185">
        <v>168094.19</v>
      </c>
      <c r="AL74" s="185"/>
      <c r="AM74" s="185"/>
      <c r="AN74" s="185"/>
      <c r="AO74" s="185"/>
      <c r="AP74" s="185"/>
      <c r="AQ74" s="185"/>
      <c r="AR74" s="185">
        <v>212704.63</v>
      </c>
      <c r="AS74" s="185"/>
      <c r="AT74" s="185"/>
      <c r="AU74" s="185"/>
      <c r="AV74" s="185">
        <f>44210+13225-1000</f>
        <v>56435</v>
      </c>
      <c r="AW74" s="250" t="s">
        <v>221</v>
      </c>
      <c r="AX74" s="250" t="s">
        <v>221</v>
      </c>
      <c r="AY74" s="250" t="s">
        <v>221</v>
      </c>
      <c r="AZ74" s="250" t="s">
        <v>221</v>
      </c>
      <c r="BA74" s="250" t="s">
        <v>221</v>
      </c>
      <c r="BB74" s="250" t="s">
        <v>221</v>
      </c>
      <c r="BC74" s="250" t="s">
        <v>221</v>
      </c>
      <c r="BD74" s="250" t="s">
        <v>221</v>
      </c>
      <c r="BE74" s="250" t="s">
        <v>221</v>
      </c>
      <c r="BF74" s="250" t="s">
        <v>221</v>
      </c>
      <c r="BG74" s="250" t="s">
        <v>221</v>
      </c>
      <c r="BH74" s="250" t="s">
        <v>221</v>
      </c>
      <c r="BI74" s="250" t="s">
        <v>221</v>
      </c>
      <c r="BJ74" s="250" t="s">
        <v>221</v>
      </c>
      <c r="BK74" s="250" t="s">
        <v>221</v>
      </c>
      <c r="BL74" s="250" t="s">
        <v>221</v>
      </c>
      <c r="BM74" s="250" t="s">
        <v>221</v>
      </c>
      <c r="BN74" s="250" t="s">
        <v>221</v>
      </c>
      <c r="BO74" s="250" t="s">
        <v>221</v>
      </c>
      <c r="BP74" s="250" t="s">
        <v>221</v>
      </c>
      <c r="BQ74" s="250" t="s">
        <v>221</v>
      </c>
      <c r="BR74" s="250" t="s">
        <v>221</v>
      </c>
      <c r="BS74" s="250" t="s">
        <v>221</v>
      </c>
      <c r="BT74" s="250" t="s">
        <v>221</v>
      </c>
      <c r="BU74" s="250" t="s">
        <v>221</v>
      </c>
      <c r="BV74" s="250" t="s">
        <v>221</v>
      </c>
      <c r="BW74" s="250" t="s">
        <v>221</v>
      </c>
      <c r="BX74" s="250" t="s">
        <v>221</v>
      </c>
      <c r="BY74" s="250" t="s">
        <v>221</v>
      </c>
      <c r="BZ74" s="250" t="s">
        <v>221</v>
      </c>
      <c r="CA74" s="250" t="s">
        <v>221</v>
      </c>
      <c r="CB74" s="250" t="s">
        <v>221</v>
      </c>
      <c r="CC74" s="250" t="s">
        <v>221</v>
      </c>
      <c r="CD74" s="250" t="s">
        <v>221</v>
      </c>
      <c r="CE74" s="195">
        <f t="shared" si="8"/>
        <v>43297033.289999999</v>
      </c>
      <c r="CF74" s="253"/>
    </row>
    <row r="75" spans="1:84" ht="12.65" customHeight="1" x14ac:dyDescent="0.3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2407957.75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1131690</v>
      </c>
      <c r="N75" s="195">
        <f t="shared" si="9"/>
        <v>664497</v>
      </c>
      <c r="O75" s="195">
        <f t="shared" si="9"/>
        <v>0</v>
      </c>
      <c r="P75" s="195">
        <f t="shared" si="9"/>
        <v>3218759</v>
      </c>
      <c r="Q75" s="195">
        <f t="shared" si="9"/>
        <v>0</v>
      </c>
      <c r="R75" s="195">
        <f t="shared" si="9"/>
        <v>271761.64</v>
      </c>
      <c r="S75" s="195">
        <f t="shared" si="9"/>
        <v>0</v>
      </c>
      <c r="T75" s="195">
        <f t="shared" si="9"/>
        <v>0</v>
      </c>
      <c r="U75" s="195">
        <f t="shared" si="9"/>
        <v>6046710.54</v>
      </c>
      <c r="V75" s="195">
        <f t="shared" si="9"/>
        <v>0</v>
      </c>
      <c r="W75" s="195">
        <f t="shared" si="9"/>
        <v>1640212</v>
      </c>
      <c r="X75" s="195">
        <f t="shared" si="9"/>
        <v>4859026</v>
      </c>
      <c r="Y75" s="195">
        <f t="shared" si="9"/>
        <v>4637914.53</v>
      </c>
      <c r="Z75" s="195">
        <f t="shared" si="9"/>
        <v>0</v>
      </c>
      <c r="AA75" s="195">
        <f t="shared" si="9"/>
        <v>0</v>
      </c>
      <c r="AB75" s="195">
        <f t="shared" si="9"/>
        <v>3981324.83</v>
      </c>
      <c r="AC75" s="195">
        <f t="shared" si="9"/>
        <v>119724</v>
      </c>
      <c r="AD75" s="195">
        <f t="shared" si="9"/>
        <v>0</v>
      </c>
      <c r="AE75" s="195">
        <f t="shared" si="9"/>
        <v>1820580.11</v>
      </c>
      <c r="AF75" s="195">
        <f t="shared" si="9"/>
        <v>0</v>
      </c>
      <c r="AG75" s="195">
        <f t="shared" si="9"/>
        <v>9454744</v>
      </c>
      <c r="AH75" s="195">
        <f t="shared" si="9"/>
        <v>0</v>
      </c>
      <c r="AI75" s="195">
        <f t="shared" si="9"/>
        <v>0</v>
      </c>
      <c r="AJ75" s="195">
        <f t="shared" si="9"/>
        <v>5949446</v>
      </c>
      <c r="AK75" s="195">
        <f t="shared" si="9"/>
        <v>246133.19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212704.63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56435</v>
      </c>
      <c r="AW75" s="250" t="s">
        <v>221</v>
      </c>
      <c r="AX75" s="250" t="s">
        <v>221</v>
      </c>
      <c r="AY75" s="250" t="s">
        <v>221</v>
      </c>
      <c r="AZ75" s="250" t="s">
        <v>221</v>
      </c>
      <c r="BA75" s="250" t="s">
        <v>221</v>
      </c>
      <c r="BB75" s="250" t="s">
        <v>221</v>
      </c>
      <c r="BC75" s="250" t="s">
        <v>221</v>
      </c>
      <c r="BD75" s="250" t="s">
        <v>221</v>
      </c>
      <c r="BE75" s="250" t="s">
        <v>221</v>
      </c>
      <c r="BF75" s="250" t="s">
        <v>221</v>
      </c>
      <c r="BG75" s="250" t="s">
        <v>221</v>
      </c>
      <c r="BH75" s="250" t="s">
        <v>221</v>
      </c>
      <c r="BI75" s="250" t="s">
        <v>221</v>
      </c>
      <c r="BJ75" s="250" t="s">
        <v>221</v>
      </c>
      <c r="BK75" s="250" t="s">
        <v>221</v>
      </c>
      <c r="BL75" s="250" t="s">
        <v>221</v>
      </c>
      <c r="BM75" s="250" t="s">
        <v>221</v>
      </c>
      <c r="BN75" s="250" t="s">
        <v>221</v>
      </c>
      <c r="BO75" s="250" t="s">
        <v>221</v>
      </c>
      <c r="BP75" s="250" t="s">
        <v>221</v>
      </c>
      <c r="BQ75" s="250" t="s">
        <v>221</v>
      </c>
      <c r="BR75" s="250" t="s">
        <v>221</v>
      </c>
      <c r="BS75" s="250" t="s">
        <v>221</v>
      </c>
      <c r="BT75" s="250" t="s">
        <v>221</v>
      </c>
      <c r="BU75" s="250" t="s">
        <v>221</v>
      </c>
      <c r="BV75" s="250" t="s">
        <v>221</v>
      </c>
      <c r="BW75" s="250" t="s">
        <v>221</v>
      </c>
      <c r="BX75" s="250" t="s">
        <v>221</v>
      </c>
      <c r="BY75" s="250" t="s">
        <v>221</v>
      </c>
      <c r="BZ75" s="250" t="s">
        <v>221</v>
      </c>
      <c r="CA75" s="250" t="s">
        <v>221</v>
      </c>
      <c r="CB75" s="250" t="s">
        <v>221</v>
      </c>
      <c r="CC75" s="250" t="s">
        <v>221</v>
      </c>
      <c r="CD75" s="250" t="s">
        <v>221</v>
      </c>
      <c r="CE75" s="195">
        <f t="shared" si="8"/>
        <v>46719620.219999999</v>
      </c>
      <c r="CF75" s="253"/>
    </row>
    <row r="76" spans="1:84" ht="12.65" customHeight="1" x14ac:dyDescent="0.35">
      <c r="A76" s="171" t="s">
        <v>248</v>
      </c>
      <c r="B76" s="175"/>
      <c r="C76" s="184"/>
      <c r="D76" s="184"/>
      <c r="E76" s="185">
        <v>8987</v>
      </c>
      <c r="F76" s="185"/>
      <c r="G76" s="184"/>
      <c r="H76" s="184"/>
      <c r="I76" s="185"/>
      <c r="J76" s="185"/>
      <c r="K76" s="185"/>
      <c r="L76" s="185"/>
      <c r="M76" s="185"/>
      <c r="N76" s="185"/>
      <c r="O76" s="185"/>
      <c r="P76" s="185">
        <v>4898</v>
      </c>
      <c r="Q76" s="185"/>
      <c r="R76" s="185"/>
      <c r="S76" s="185"/>
      <c r="T76" s="185"/>
      <c r="U76" s="185">
        <v>1784</v>
      </c>
      <c r="V76" s="185"/>
      <c r="W76" s="185"/>
      <c r="X76" s="185">
        <v>621</v>
      </c>
      <c r="Y76" s="185">
        <v>2257</v>
      </c>
      <c r="Z76" s="185"/>
      <c r="AA76" s="185"/>
      <c r="AB76" s="185">
        <v>444</v>
      </c>
      <c r="AC76" s="185"/>
      <c r="AD76" s="185"/>
      <c r="AE76" s="185">
        <v>4312</v>
      </c>
      <c r="AF76" s="185"/>
      <c r="AG76" s="185">
        <v>2054</v>
      </c>
      <c r="AH76" s="185"/>
      <c r="AI76" s="185"/>
      <c r="AJ76" s="185">
        <v>11999</v>
      </c>
      <c r="AK76" s="185"/>
      <c r="AL76" s="185"/>
      <c r="AM76" s="185"/>
      <c r="AN76" s="185"/>
      <c r="AO76" s="185"/>
      <c r="AP76" s="185"/>
      <c r="AQ76" s="185"/>
      <c r="AR76" s="185">
        <v>722</v>
      </c>
      <c r="AS76" s="185"/>
      <c r="AT76" s="185"/>
      <c r="AU76" s="185"/>
      <c r="AV76" s="185"/>
      <c r="AW76" s="185"/>
      <c r="AX76" s="185"/>
      <c r="AY76" s="185">
        <v>1202</v>
      </c>
      <c r="AZ76" s="185">
        <v>1067</v>
      </c>
      <c r="BA76" s="185"/>
      <c r="BB76" s="185"/>
      <c r="BC76" s="185"/>
      <c r="BD76" s="185">
        <v>883</v>
      </c>
      <c r="BE76" s="185">
        <f>26034+4763</f>
        <v>30797</v>
      </c>
      <c r="BF76" s="185">
        <v>1332</v>
      </c>
      <c r="BG76" s="185"/>
      <c r="BH76" s="185">
        <v>1571</v>
      </c>
      <c r="BI76" s="185"/>
      <c r="BJ76" s="185">
        <v>620</v>
      </c>
      <c r="BK76" s="185">
        <v>1721</v>
      </c>
      <c r="BL76" s="185">
        <v>410</v>
      </c>
      <c r="BM76" s="185"/>
      <c r="BN76" s="185">
        <v>6034</v>
      </c>
      <c r="BO76" s="185"/>
      <c r="BP76" s="185"/>
      <c r="BQ76" s="185"/>
      <c r="BR76" s="185"/>
      <c r="BS76" s="185"/>
      <c r="BT76" s="185"/>
      <c r="BU76" s="185"/>
      <c r="BV76" s="185">
        <v>1522</v>
      </c>
      <c r="BW76" s="185"/>
      <c r="BX76" s="185"/>
      <c r="BY76" s="185">
        <v>112</v>
      </c>
      <c r="BZ76" s="185"/>
      <c r="CA76" s="185"/>
      <c r="CB76" s="185"/>
      <c r="CC76" s="185">
        <v>276</v>
      </c>
      <c r="CD76" s="250" t="s">
        <v>221</v>
      </c>
      <c r="CE76" s="195">
        <f t="shared" si="8"/>
        <v>85625</v>
      </c>
      <c r="CF76" s="195">
        <f>BE59-CE76</f>
        <v>0</v>
      </c>
    </row>
    <row r="77" spans="1:84" ht="12.65" customHeight="1" x14ac:dyDescent="0.35">
      <c r="A77" s="171" t="s">
        <v>249</v>
      </c>
      <c r="B77" s="175"/>
      <c r="C77" s="184"/>
      <c r="D77" s="184"/>
      <c r="E77" s="184">
        <v>4581</v>
      </c>
      <c r="F77" s="184"/>
      <c r="G77" s="184"/>
      <c r="H77" s="184"/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50" t="s">
        <v>221</v>
      </c>
      <c r="AY77" s="250" t="s">
        <v>221</v>
      </c>
      <c r="AZ77" s="184"/>
      <c r="BA77" s="184"/>
      <c r="BB77" s="184"/>
      <c r="BC77" s="184"/>
      <c r="BD77" s="250" t="s">
        <v>221</v>
      </c>
      <c r="BE77" s="250" t="s">
        <v>221</v>
      </c>
      <c r="BF77" s="184"/>
      <c r="BG77" s="250" t="s">
        <v>221</v>
      </c>
      <c r="BH77" s="184"/>
      <c r="BI77" s="184"/>
      <c r="BJ77" s="250" t="s">
        <v>221</v>
      </c>
      <c r="BK77" s="184"/>
      <c r="BL77" s="184"/>
      <c r="BM77" s="184"/>
      <c r="BN77" s="250" t="s">
        <v>221</v>
      </c>
      <c r="BO77" s="250" t="s">
        <v>221</v>
      </c>
      <c r="BP77" s="250" t="s">
        <v>221</v>
      </c>
      <c r="BQ77" s="250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50" t="s">
        <v>221</v>
      </c>
      <c r="CD77" s="250" t="s">
        <v>221</v>
      </c>
      <c r="CE77" s="195">
        <f>SUM(C77:CD77)</f>
        <v>4581</v>
      </c>
      <c r="CF77" s="195">
        <f>AY59-CE77</f>
        <v>0</v>
      </c>
    </row>
    <row r="78" spans="1:84" ht="12.65" customHeight="1" x14ac:dyDescent="0.35">
      <c r="A78" s="171" t="s">
        <v>250</v>
      </c>
      <c r="B78" s="175"/>
      <c r="C78" s="184"/>
      <c r="D78" s="184"/>
      <c r="E78" s="184"/>
      <c r="F78" s="184"/>
      <c r="G78" s="184"/>
      <c r="H78" s="184"/>
      <c r="I78" s="184"/>
      <c r="J78" s="184"/>
      <c r="K78" s="184"/>
      <c r="L78" s="184"/>
      <c r="M78" s="184"/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184"/>
      <c r="Y78" s="184"/>
      <c r="Z78" s="184"/>
      <c r="AA78" s="184"/>
      <c r="AB78" s="184"/>
      <c r="AC78" s="184"/>
      <c r="AD78" s="184"/>
      <c r="AE78" s="184"/>
      <c r="AF78" s="184"/>
      <c r="AG78" s="184"/>
      <c r="AH78" s="184"/>
      <c r="AI78" s="184"/>
      <c r="AJ78" s="184"/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50" t="s">
        <v>221</v>
      </c>
      <c r="AY78" s="250" t="s">
        <v>221</v>
      </c>
      <c r="AZ78" s="250" t="s">
        <v>221</v>
      </c>
      <c r="BA78" s="184"/>
      <c r="BB78" s="184"/>
      <c r="BC78" s="184"/>
      <c r="BD78" s="250" t="s">
        <v>221</v>
      </c>
      <c r="BE78" s="250" t="s">
        <v>221</v>
      </c>
      <c r="BF78" s="250" t="s">
        <v>221</v>
      </c>
      <c r="BG78" s="250" t="s">
        <v>221</v>
      </c>
      <c r="BH78" s="184"/>
      <c r="BI78" s="184"/>
      <c r="BJ78" s="250" t="s">
        <v>221</v>
      </c>
      <c r="BK78" s="184"/>
      <c r="BL78" s="184"/>
      <c r="BM78" s="184"/>
      <c r="BN78" s="250" t="s">
        <v>221</v>
      </c>
      <c r="BO78" s="250" t="s">
        <v>221</v>
      </c>
      <c r="BP78" s="250" t="s">
        <v>221</v>
      </c>
      <c r="BQ78" s="250" t="s">
        <v>221</v>
      </c>
      <c r="BR78" s="250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50" t="s">
        <v>221</v>
      </c>
      <c r="CD78" s="250" t="s">
        <v>221</v>
      </c>
      <c r="CE78" s="195">
        <f t="shared" si="8"/>
        <v>0</v>
      </c>
      <c r="CF78" s="195"/>
    </row>
    <row r="79" spans="1:84" ht="12.65" customHeight="1" x14ac:dyDescent="0.35">
      <c r="A79" s="171" t="s">
        <v>251</v>
      </c>
      <c r="B79" s="175"/>
      <c r="C79" s="225"/>
      <c r="D79" s="225"/>
      <c r="E79" s="184"/>
      <c r="F79" s="184"/>
      <c r="G79" s="184"/>
      <c r="H79" s="184"/>
      <c r="I79" s="184"/>
      <c r="J79" s="184"/>
      <c r="K79" s="184"/>
      <c r="L79" s="184"/>
      <c r="M79" s="184"/>
      <c r="N79" s="184"/>
      <c r="O79" s="184"/>
      <c r="P79" s="184"/>
      <c r="Q79" s="184"/>
      <c r="R79" s="184"/>
      <c r="S79" s="184"/>
      <c r="T79" s="184"/>
      <c r="U79" s="184"/>
      <c r="V79" s="184"/>
      <c r="W79" s="184"/>
      <c r="X79" s="184"/>
      <c r="Y79" s="184"/>
      <c r="Z79" s="184"/>
      <c r="AA79" s="184"/>
      <c r="AB79" s="184"/>
      <c r="AC79" s="184"/>
      <c r="AD79" s="184"/>
      <c r="AE79" s="184"/>
      <c r="AF79" s="184"/>
      <c r="AG79" s="184"/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50" t="s">
        <v>221</v>
      </c>
      <c r="AY79" s="250" t="s">
        <v>221</v>
      </c>
      <c r="AZ79" s="250" t="s">
        <v>221</v>
      </c>
      <c r="BA79" s="250" t="s">
        <v>221</v>
      </c>
      <c r="BB79" s="184"/>
      <c r="BC79" s="184"/>
      <c r="BD79" s="250" t="s">
        <v>221</v>
      </c>
      <c r="BE79" s="250" t="s">
        <v>221</v>
      </c>
      <c r="BF79" s="250" t="s">
        <v>221</v>
      </c>
      <c r="BG79" s="250" t="s">
        <v>221</v>
      </c>
      <c r="BH79" s="184"/>
      <c r="BI79" s="184"/>
      <c r="BJ79" s="250" t="s">
        <v>221</v>
      </c>
      <c r="BK79" s="184"/>
      <c r="BL79" s="184"/>
      <c r="BM79" s="184"/>
      <c r="BN79" s="250" t="s">
        <v>221</v>
      </c>
      <c r="BO79" s="250" t="s">
        <v>221</v>
      </c>
      <c r="BP79" s="250" t="s">
        <v>221</v>
      </c>
      <c r="BQ79" s="250" t="s">
        <v>221</v>
      </c>
      <c r="BR79" s="250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50" t="s">
        <v>221</v>
      </c>
      <c r="CD79" s="250" t="s">
        <v>221</v>
      </c>
      <c r="CE79" s="195">
        <f t="shared" si="8"/>
        <v>0</v>
      </c>
      <c r="CF79" s="195">
        <f>BA59</f>
        <v>0</v>
      </c>
    </row>
    <row r="80" spans="1:84" ht="21" customHeight="1" x14ac:dyDescent="0.35">
      <c r="A80" s="171" t="s">
        <v>252</v>
      </c>
      <c r="B80" s="175"/>
      <c r="C80" s="187"/>
      <c r="D80" s="187"/>
      <c r="E80" s="187">
        <v>9.44</v>
      </c>
      <c r="F80" s="187"/>
      <c r="G80" s="187"/>
      <c r="H80" s="187"/>
      <c r="I80" s="187"/>
      <c r="J80" s="187"/>
      <c r="K80" s="187"/>
      <c r="L80" s="187"/>
      <c r="M80" s="187">
        <v>2.9</v>
      </c>
      <c r="N80" s="187"/>
      <c r="O80" s="187"/>
      <c r="P80" s="187">
        <v>2.72</v>
      </c>
      <c r="Q80" s="187"/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>
        <v>4.43</v>
      </c>
      <c r="AH80" s="187"/>
      <c r="AI80" s="187"/>
      <c r="AJ80" s="187">
        <v>1</v>
      </c>
      <c r="AK80" s="187"/>
      <c r="AL80" s="187"/>
      <c r="AM80" s="187"/>
      <c r="AN80" s="187"/>
      <c r="AO80" s="187"/>
      <c r="AP80" s="187"/>
      <c r="AQ80" s="187"/>
      <c r="AR80" s="187">
        <v>0.2</v>
      </c>
      <c r="AS80" s="187"/>
      <c r="AT80" s="187"/>
      <c r="AU80" s="187"/>
      <c r="AV80" s="187"/>
      <c r="AW80" s="250" t="s">
        <v>221</v>
      </c>
      <c r="AX80" s="250" t="s">
        <v>221</v>
      </c>
      <c r="AY80" s="250" t="s">
        <v>221</v>
      </c>
      <c r="AZ80" s="250" t="s">
        <v>221</v>
      </c>
      <c r="BA80" s="250" t="s">
        <v>221</v>
      </c>
      <c r="BB80" s="250" t="s">
        <v>221</v>
      </c>
      <c r="BC80" s="250" t="s">
        <v>221</v>
      </c>
      <c r="BD80" s="250" t="s">
        <v>221</v>
      </c>
      <c r="BE80" s="250" t="s">
        <v>221</v>
      </c>
      <c r="BF80" s="250" t="s">
        <v>221</v>
      </c>
      <c r="BG80" s="250" t="s">
        <v>221</v>
      </c>
      <c r="BH80" s="250" t="s">
        <v>221</v>
      </c>
      <c r="BI80" s="250" t="s">
        <v>221</v>
      </c>
      <c r="BJ80" s="250" t="s">
        <v>221</v>
      </c>
      <c r="BK80" s="250" t="s">
        <v>221</v>
      </c>
      <c r="BL80" s="250" t="s">
        <v>221</v>
      </c>
      <c r="BM80" s="250" t="s">
        <v>221</v>
      </c>
      <c r="BN80" s="250" t="s">
        <v>221</v>
      </c>
      <c r="BO80" s="250" t="s">
        <v>221</v>
      </c>
      <c r="BP80" s="250" t="s">
        <v>221</v>
      </c>
      <c r="BQ80" s="250" t="s">
        <v>221</v>
      </c>
      <c r="BR80" s="250" t="s">
        <v>221</v>
      </c>
      <c r="BS80" s="250" t="s">
        <v>221</v>
      </c>
      <c r="BT80" s="250" t="s">
        <v>221</v>
      </c>
      <c r="BU80" s="255"/>
      <c r="BV80" s="255"/>
      <c r="BW80" s="255"/>
      <c r="BX80" s="255"/>
      <c r="BY80" s="255"/>
      <c r="BZ80" s="255"/>
      <c r="CA80" s="255"/>
      <c r="CB80" s="255"/>
      <c r="CC80" s="250" t="s">
        <v>221</v>
      </c>
      <c r="CD80" s="250" t="s">
        <v>221</v>
      </c>
      <c r="CE80" s="256">
        <f t="shared" si="8"/>
        <v>20.69</v>
      </c>
      <c r="CF80" s="256"/>
    </row>
    <row r="81" spans="1:5" ht="12.65" customHeight="1" x14ac:dyDescent="0.35">
      <c r="A81" s="208" t="s">
        <v>253</v>
      </c>
      <c r="B81" s="208"/>
      <c r="C81" s="208"/>
      <c r="D81" s="208"/>
      <c r="E81" s="208"/>
    </row>
    <row r="82" spans="1:5" ht="12.65" customHeight="1" x14ac:dyDescent="0.35">
      <c r="A82" s="171" t="s">
        <v>254</v>
      </c>
      <c r="B82" s="172"/>
      <c r="C82" s="283" t="s">
        <v>1278</v>
      </c>
      <c r="D82" s="257"/>
      <c r="E82" s="175"/>
    </row>
    <row r="83" spans="1:5" ht="12.65" customHeight="1" x14ac:dyDescent="0.35">
      <c r="A83" s="173" t="s">
        <v>255</v>
      </c>
      <c r="B83" s="172" t="s">
        <v>256</v>
      </c>
      <c r="C83" s="227" t="s">
        <v>1268</v>
      </c>
      <c r="D83" s="257"/>
      <c r="E83" s="175"/>
    </row>
    <row r="84" spans="1:5" ht="12.65" customHeight="1" x14ac:dyDescent="0.35">
      <c r="A84" s="173" t="s">
        <v>257</v>
      </c>
      <c r="B84" s="172" t="s">
        <v>256</v>
      </c>
      <c r="C84" s="230" t="s">
        <v>1269</v>
      </c>
      <c r="D84" s="205"/>
      <c r="E84" s="204"/>
    </row>
    <row r="85" spans="1:5" ht="12.65" customHeight="1" x14ac:dyDescent="0.35">
      <c r="A85" s="173" t="s">
        <v>1250</v>
      </c>
      <c r="B85" s="172"/>
      <c r="C85" s="272" t="s">
        <v>1270</v>
      </c>
      <c r="D85" s="205"/>
      <c r="E85" s="204"/>
    </row>
    <row r="86" spans="1:5" ht="12.65" customHeight="1" x14ac:dyDescent="0.35">
      <c r="A86" s="173" t="s">
        <v>1251</v>
      </c>
      <c r="B86" s="172" t="s">
        <v>256</v>
      </c>
      <c r="C86" s="231" t="s">
        <v>1271</v>
      </c>
      <c r="D86" s="205"/>
      <c r="E86" s="204"/>
    </row>
    <row r="87" spans="1:5" ht="12.65" customHeight="1" x14ac:dyDescent="0.35">
      <c r="A87" s="173" t="s">
        <v>258</v>
      </c>
      <c r="B87" s="172" t="s">
        <v>256</v>
      </c>
      <c r="C87" s="230" t="s">
        <v>1272</v>
      </c>
      <c r="D87" s="205"/>
      <c r="E87" s="204"/>
    </row>
    <row r="88" spans="1:5" ht="12.65" customHeight="1" x14ac:dyDescent="0.35">
      <c r="A88" s="173" t="s">
        <v>259</v>
      </c>
      <c r="B88" s="172" t="s">
        <v>256</v>
      </c>
      <c r="C88" s="230" t="s">
        <v>1273</v>
      </c>
      <c r="D88" s="205"/>
      <c r="E88" s="204"/>
    </row>
    <row r="89" spans="1:5" ht="12.65" customHeight="1" x14ac:dyDescent="0.35">
      <c r="A89" s="173" t="s">
        <v>260</v>
      </c>
      <c r="B89" s="172" t="s">
        <v>256</v>
      </c>
      <c r="C89" s="230" t="s">
        <v>1274</v>
      </c>
      <c r="D89" s="205"/>
      <c r="E89" s="204"/>
    </row>
    <row r="90" spans="1:5" ht="12.65" customHeight="1" x14ac:dyDescent="0.35">
      <c r="A90" s="173" t="s">
        <v>261</v>
      </c>
      <c r="B90" s="172" t="s">
        <v>256</v>
      </c>
      <c r="C90" s="230" t="s">
        <v>1279</v>
      </c>
      <c r="D90" s="205"/>
      <c r="E90" s="204"/>
    </row>
    <row r="91" spans="1:5" ht="12.65" customHeight="1" x14ac:dyDescent="0.35">
      <c r="A91" s="173" t="s">
        <v>262</v>
      </c>
      <c r="B91" s="172" t="s">
        <v>256</v>
      </c>
      <c r="C91" s="230"/>
      <c r="D91" s="205"/>
      <c r="E91" s="204"/>
    </row>
    <row r="92" spans="1:5" ht="12.65" customHeight="1" x14ac:dyDescent="0.35">
      <c r="A92" s="173" t="s">
        <v>263</v>
      </c>
      <c r="B92" s="172" t="s">
        <v>256</v>
      </c>
      <c r="C92" s="226" t="s">
        <v>1276</v>
      </c>
      <c r="D92" s="257"/>
      <c r="E92" s="175"/>
    </row>
    <row r="93" spans="1:5" ht="12.65" customHeight="1" x14ac:dyDescent="0.35">
      <c r="A93" s="173" t="s">
        <v>264</v>
      </c>
      <c r="B93" s="172" t="s">
        <v>256</v>
      </c>
      <c r="C93" s="271" t="s">
        <v>1277</v>
      </c>
      <c r="D93" s="257"/>
      <c r="E93" s="175"/>
    </row>
    <row r="94" spans="1:5" ht="12.65" customHeight="1" x14ac:dyDescent="0.35">
      <c r="A94" s="173"/>
      <c r="B94" s="173"/>
      <c r="C94" s="191"/>
      <c r="D94" s="175"/>
      <c r="E94" s="175"/>
    </row>
    <row r="95" spans="1:5" ht="12.65" customHeight="1" x14ac:dyDescent="0.35">
      <c r="A95" s="208" t="s">
        <v>265</v>
      </c>
      <c r="B95" s="208"/>
      <c r="C95" s="208"/>
      <c r="D95" s="208"/>
      <c r="E95" s="208"/>
    </row>
    <row r="96" spans="1:5" ht="12.65" customHeight="1" x14ac:dyDescent="0.35">
      <c r="A96" s="258" t="s">
        <v>266</v>
      </c>
      <c r="B96" s="258"/>
      <c r="C96" s="258"/>
      <c r="D96" s="258"/>
      <c r="E96" s="258"/>
    </row>
    <row r="97" spans="1:5" ht="12.65" customHeight="1" x14ac:dyDescent="0.35">
      <c r="A97" s="173" t="s">
        <v>267</v>
      </c>
      <c r="B97" s="172" t="s">
        <v>256</v>
      </c>
      <c r="C97" s="189"/>
      <c r="D97" s="175"/>
      <c r="E97" s="175"/>
    </row>
    <row r="98" spans="1:5" ht="12.65" customHeight="1" x14ac:dyDescent="0.35">
      <c r="A98" s="173" t="s">
        <v>259</v>
      </c>
      <c r="B98" s="172" t="s">
        <v>256</v>
      </c>
      <c r="C98" s="189"/>
      <c r="D98" s="175"/>
      <c r="E98" s="175"/>
    </row>
    <row r="99" spans="1:5" ht="12.65" customHeight="1" x14ac:dyDescent="0.35">
      <c r="A99" s="173" t="s">
        <v>268</v>
      </c>
      <c r="B99" s="172" t="s">
        <v>256</v>
      </c>
      <c r="C99" s="189">
        <v>1</v>
      </c>
      <c r="D99" s="175"/>
      <c r="E99" s="175"/>
    </row>
    <row r="100" spans="1:5" ht="12.65" customHeight="1" x14ac:dyDescent="0.35">
      <c r="A100" s="258" t="s">
        <v>269</v>
      </c>
      <c r="B100" s="258"/>
      <c r="C100" s="258"/>
      <c r="D100" s="258"/>
      <c r="E100" s="258"/>
    </row>
    <row r="101" spans="1:5" ht="12.65" customHeight="1" x14ac:dyDescent="0.35">
      <c r="A101" s="173" t="s">
        <v>270</v>
      </c>
      <c r="B101" s="172" t="s">
        <v>256</v>
      </c>
      <c r="C101" s="189"/>
      <c r="D101" s="175"/>
      <c r="E101" s="175"/>
    </row>
    <row r="102" spans="1:5" ht="12.65" customHeight="1" x14ac:dyDescent="0.35">
      <c r="A102" s="173" t="s">
        <v>132</v>
      </c>
      <c r="B102" s="172" t="s">
        <v>256</v>
      </c>
      <c r="C102" s="222"/>
      <c r="D102" s="175"/>
      <c r="E102" s="175"/>
    </row>
    <row r="103" spans="1:5" ht="12.65" customHeight="1" x14ac:dyDescent="0.35">
      <c r="A103" s="258" t="s">
        <v>271</v>
      </c>
      <c r="B103" s="258"/>
      <c r="C103" s="258"/>
      <c r="D103" s="258"/>
      <c r="E103" s="258"/>
    </row>
    <row r="104" spans="1:5" ht="12.65" customHeight="1" x14ac:dyDescent="0.35">
      <c r="A104" s="173" t="s">
        <v>272</v>
      </c>
      <c r="B104" s="172" t="s">
        <v>256</v>
      </c>
      <c r="C104" s="189"/>
      <c r="D104" s="175"/>
      <c r="E104" s="175"/>
    </row>
    <row r="105" spans="1:5" ht="12.65" customHeight="1" x14ac:dyDescent="0.35">
      <c r="A105" s="173" t="s">
        <v>273</v>
      </c>
      <c r="B105" s="172" t="s">
        <v>256</v>
      </c>
      <c r="C105" s="189"/>
      <c r="D105" s="175"/>
      <c r="E105" s="175"/>
    </row>
    <row r="106" spans="1:5" ht="12.65" customHeight="1" x14ac:dyDescent="0.3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35">
      <c r="A107" s="173"/>
      <c r="B107" s="172"/>
      <c r="C107" s="190"/>
      <c r="D107" s="175"/>
      <c r="E107" s="175"/>
    </row>
    <row r="108" spans="1:5" ht="13.5" customHeight="1" x14ac:dyDescent="0.35">
      <c r="A108" s="207" t="s">
        <v>275</v>
      </c>
      <c r="B108" s="208"/>
      <c r="C108" s="208"/>
      <c r="D108" s="208"/>
      <c r="E108" s="208"/>
    </row>
    <row r="109" spans="1:5" ht="13.5" customHeight="1" x14ac:dyDescent="0.35">
      <c r="A109" s="173"/>
      <c r="B109" s="172"/>
      <c r="C109" s="190"/>
      <c r="D109" s="175"/>
      <c r="E109" s="175"/>
    </row>
    <row r="110" spans="1:5" ht="12.65" customHeight="1" x14ac:dyDescent="0.3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5">
      <c r="A111" s="173" t="s">
        <v>278</v>
      </c>
      <c r="B111" s="172" t="s">
        <v>256</v>
      </c>
      <c r="C111" s="189">
        <v>153</v>
      </c>
      <c r="D111" s="174">
        <v>526</v>
      </c>
      <c r="E111" s="175"/>
    </row>
    <row r="112" spans="1:5" ht="12.65" customHeight="1" x14ac:dyDescent="0.35">
      <c r="A112" s="173" t="s">
        <v>279</v>
      </c>
      <c r="B112" s="172" t="s">
        <v>256</v>
      </c>
      <c r="C112" s="189">
        <v>62</v>
      </c>
      <c r="D112" s="174">
        <v>770</v>
      </c>
      <c r="E112" s="175"/>
    </row>
    <row r="113" spans="1:5" ht="12.65" customHeight="1" x14ac:dyDescent="0.35">
      <c r="A113" s="173" t="s">
        <v>280</v>
      </c>
      <c r="B113" s="172" t="s">
        <v>256</v>
      </c>
      <c r="C113" s="189"/>
      <c r="D113" s="174"/>
      <c r="E113" s="175"/>
    </row>
    <row r="114" spans="1:5" ht="12.65" customHeight="1" x14ac:dyDescent="0.35">
      <c r="A114" s="173" t="s">
        <v>281</v>
      </c>
      <c r="B114" s="172" t="s">
        <v>256</v>
      </c>
      <c r="C114" s="189"/>
      <c r="D114" s="174"/>
      <c r="E114" s="175"/>
    </row>
    <row r="115" spans="1:5" ht="12.65" customHeight="1" x14ac:dyDescent="0.35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5">
      <c r="A116" s="173" t="s">
        <v>283</v>
      </c>
      <c r="B116" s="172" t="s">
        <v>256</v>
      </c>
      <c r="C116" s="189"/>
      <c r="D116" s="175"/>
      <c r="E116" s="175"/>
    </row>
    <row r="117" spans="1:5" ht="12.65" customHeight="1" x14ac:dyDescent="0.35">
      <c r="A117" s="173" t="s">
        <v>284</v>
      </c>
      <c r="B117" s="172" t="s">
        <v>256</v>
      </c>
      <c r="C117" s="189">
        <v>10</v>
      </c>
      <c r="D117" s="175"/>
      <c r="E117" s="175"/>
    </row>
    <row r="118" spans="1:5" ht="12.65" customHeight="1" x14ac:dyDescent="0.35">
      <c r="A118" s="173" t="s">
        <v>1238</v>
      </c>
      <c r="B118" s="172" t="s">
        <v>256</v>
      </c>
      <c r="C118" s="189"/>
      <c r="D118" s="175"/>
      <c r="E118" s="175"/>
    </row>
    <row r="119" spans="1:5" ht="12.65" customHeight="1" x14ac:dyDescent="0.35">
      <c r="A119" s="173" t="s">
        <v>285</v>
      </c>
      <c r="B119" s="172" t="s">
        <v>256</v>
      </c>
      <c r="C119" s="189"/>
      <c r="D119" s="175"/>
      <c r="E119" s="175"/>
    </row>
    <row r="120" spans="1:5" ht="12.65" customHeight="1" x14ac:dyDescent="0.35">
      <c r="A120" s="173" t="s">
        <v>286</v>
      </c>
      <c r="B120" s="172" t="s">
        <v>256</v>
      </c>
      <c r="C120" s="189"/>
      <c r="D120" s="175"/>
      <c r="E120" s="175"/>
    </row>
    <row r="121" spans="1:5" ht="12.65" customHeight="1" x14ac:dyDescent="0.35">
      <c r="A121" s="173" t="s">
        <v>287</v>
      </c>
      <c r="B121" s="172" t="s">
        <v>256</v>
      </c>
      <c r="C121" s="189"/>
      <c r="D121" s="175"/>
      <c r="E121" s="175"/>
    </row>
    <row r="122" spans="1:5" ht="12.65" customHeight="1" x14ac:dyDescent="0.35">
      <c r="A122" s="173" t="s">
        <v>97</v>
      </c>
      <c r="B122" s="172" t="s">
        <v>256</v>
      </c>
      <c r="C122" s="189"/>
      <c r="D122" s="175"/>
      <c r="E122" s="175"/>
    </row>
    <row r="123" spans="1:5" ht="12.65" customHeight="1" x14ac:dyDescent="0.35">
      <c r="A123" s="173" t="s">
        <v>288</v>
      </c>
      <c r="B123" s="172" t="s">
        <v>256</v>
      </c>
      <c r="C123" s="189"/>
      <c r="D123" s="175"/>
      <c r="E123" s="175"/>
    </row>
    <row r="124" spans="1:5" ht="12.65" customHeight="1" x14ac:dyDescent="0.35">
      <c r="A124" s="173" t="s">
        <v>289</v>
      </c>
      <c r="B124" s="172"/>
      <c r="C124" s="189">
        <v>7</v>
      </c>
      <c r="D124" s="175"/>
      <c r="E124" s="175"/>
    </row>
    <row r="125" spans="1:5" ht="12.65" customHeight="1" x14ac:dyDescent="0.35">
      <c r="A125" s="173" t="s">
        <v>280</v>
      </c>
      <c r="B125" s="172" t="s">
        <v>256</v>
      </c>
      <c r="C125" s="189"/>
      <c r="D125" s="175"/>
      <c r="E125" s="175"/>
    </row>
    <row r="126" spans="1:5" ht="12.65" customHeight="1" x14ac:dyDescent="0.35">
      <c r="A126" s="173" t="s">
        <v>290</v>
      </c>
      <c r="B126" s="172" t="s">
        <v>256</v>
      </c>
      <c r="C126" s="189"/>
      <c r="D126" s="175"/>
      <c r="E126" s="175"/>
    </row>
    <row r="127" spans="1:5" ht="12.65" customHeight="1" x14ac:dyDescent="0.35">
      <c r="A127" s="173" t="s">
        <v>291</v>
      </c>
      <c r="B127" s="175"/>
      <c r="C127" s="191"/>
      <c r="D127" s="175"/>
      <c r="E127" s="175">
        <f>SUM(C116:C126)</f>
        <v>17</v>
      </c>
    </row>
    <row r="128" spans="1:5" ht="12.65" customHeight="1" x14ac:dyDescent="0.35">
      <c r="A128" s="173" t="s">
        <v>292</v>
      </c>
      <c r="B128" s="172" t="s">
        <v>256</v>
      </c>
      <c r="C128" s="189">
        <v>25</v>
      </c>
      <c r="D128" s="175"/>
      <c r="E128" s="175"/>
    </row>
    <row r="129" spans="1:6" ht="12.65" customHeight="1" x14ac:dyDescent="0.35">
      <c r="A129" s="173" t="s">
        <v>293</v>
      </c>
      <c r="B129" s="172" t="s">
        <v>256</v>
      </c>
      <c r="C129" s="189"/>
      <c r="D129" s="175"/>
      <c r="E129" s="175"/>
    </row>
    <row r="130" spans="1:6" ht="12.65" customHeight="1" x14ac:dyDescent="0.35">
      <c r="A130" s="173"/>
      <c r="B130" s="175"/>
      <c r="C130" s="191"/>
      <c r="D130" s="175"/>
      <c r="E130" s="175"/>
    </row>
    <row r="131" spans="1:6" ht="12.65" customHeight="1" x14ac:dyDescent="0.35">
      <c r="A131" s="173" t="s">
        <v>294</v>
      </c>
      <c r="B131" s="172" t="s">
        <v>256</v>
      </c>
      <c r="C131" s="189">
        <v>338847</v>
      </c>
      <c r="D131" s="175"/>
      <c r="E131" s="175"/>
    </row>
    <row r="132" spans="1:6" ht="12.65" customHeight="1" x14ac:dyDescent="0.35">
      <c r="A132" s="173"/>
      <c r="B132" s="173"/>
      <c r="C132" s="191"/>
      <c r="D132" s="175"/>
      <c r="E132" s="175"/>
    </row>
    <row r="133" spans="1:6" ht="12.65" customHeight="1" x14ac:dyDescent="0.35">
      <c r="A133" s="173"/>
      <c r="B133" s="173"/>
      <c r="C133" s="191"/>
      <c r="D133" s="175"/>
      <c r="E133" s="175"/>
    </row>
    <row r="134" spans="1:6" ht="12.65" customHeight="1" x14ac:dyDescent="0.35">
      <c r="A134" s="173"/>
      <c r="B134" s="173"/>
      <c r="C134" s="191"/>
      <c r="D134" s="175"/>
      <c r="E134" s="175"/>
    </row>
    <row r="135" spans="1:6" ht="18" customHeight="1" x14ac:dyDescent="0.35">
      <c r="A135" s="173"/>
      <c r="B135" s="173"/>
      <c r="C135" s="191"/>
      <c r="D135" s="175"/>
      <c r="E135" s="175"/>
    </row>
    <row r="136" spans="1:6" ht="12.65" customHeight="1" x14ac:dyDescent="0.35">
      <c r="A136" s="208" t="s">
        <v>1239</v>
      </c>
      <c r="B136" s="207"/>
      <c r="C136" s="207"/>
      <c r="D136" s="207"/>
      <c r="E136" s="207"/>
    </row>
    <row r="137" spans="1:6" ht="12.65" customHeight="1" x14ac:dyDescent="0.35">
      <c r="A137" s="259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5" customHeight="1" x14ac:dyDescent="0.35">
      <c r="A138" s="173" t="s">
        <v>277</v>
      </c>
      <c r="B138" s="174">
        <f>84+3+18</f>
        <v>105</v>
      </c>
      <c r="C138" s="189">
        <f>12+1</f>
        <v>13</v>
      </c>
      <c r="D138" s="174">
        <v>35</v>
      </c>
      <c r="E138" s="175">
        <f>SUM(B138:D138)</f>
        <v>153</v>
      </c>
    </row>
    <row r="139" spans="1:6" ht="12.65" customHeight="1" x14ac:dyDescent="0.35">
      <c r="A139" s="173" t="s">
        <v>215</v>
      </c>
      <c r="B139" s="174">
        <f>250+13+53+34+1</f>
        <v>351</v>
      </c>
      <c r="C139" s="189">
        <f>32+3</f>
        <v>35</v>
      </c>
      <c r="D139" s="174">
        <f>33+2+66+33+5+1</f>
        <v>140</v>
      </c>
      <c r="E139" s="175">
        <f>SUM(B139:D139)</f>
        <v>526</v>
      </c>
    </row>
    <row r="140" spans="1:6" ht="12.65" customHeight="1" x14ac:dyDescent="0.35">
      <c r="A140" s="173" t="s">
        <v>298</v>
      </c>
      <c r="B140" s="174"/>
      <c r="C140" s="174"/>
      <c r="D140" s="174"/>
      <c r="E140" s="175">
        <f>SUM(B140:D140)</f>
        <v>0</v>
      </c>
    </row>
    <row r="141" spans="1:6" ht="12.65" customHeight="1" x14ac:dyDescent="0.35">
      <c r="A141" s="173" t="s">
        <v>245</v>
      </c>
      <c r="B141" s="174">
        <v>2314479.02</v>
      </c>
      <c r="C141" s="189">
        <v>482527.44</v>
      </c>
      <c r="D141" s="174">
        <f>3636920.6-C141-B141</f>
        <v>839914.14000000013</v>
      </c>
      <c r="E141" s="175">
        <f>SUM(B141:D141)</f>
        <v>3636920.6</v>
      </c>
      <c r="F141" s="199"/>
    </row>
    <row r="142" spans="1:6" ht="12.65" customHeight="1" x14ac:dyDescent="0.35">
      <c r="A142" s="173" t="s">
        <v>246</v>
      </c>
      <c r="B142" s="174">
        <f>22372171.33-2314479.02</f>
        <v>20057692.309999999</v>
      </c>
      <c r="C142" s="189">
        <f>10358285.29-C141</f>
        <v>9875757.8499999996</v>
      </c>
      <c r="D142" s="174">
        <f>41722921.95-C142-B142</f>
        <v>11789471.790000003</v>
      </c>
      <c r="E142" s="175">
        <f>SUM(B142:D142)</f>
        <v>41722921.950000003</v>
      </c>
      <c r="F142" s="199"/>
    </row>
    <row r="143" spans="1:6" ht="12.65" customHeight="1" x14ac:dyDescent="0.35">
      <c r="A143" s="259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5" customHeight="1" x14ac:dyDescent="0.35">
      <c r="A144" s="173" t="s">
        <v>277</v>
      </c>
      <c r="B144" s="174">
        <v>36</v>
      </c>
      <c r="C144" s="189">
        <v>12</v>
      </c>
      <c r="D144" s="174">
        <f>2+12</f>
        <v>14</v>
      </c>
      <c r="E144" s="175">
        <f>SUM(B144:D144)</f>
        <v>62</v>
      </c>
    </row>
    <row r="145" spans="1:5" ht="12.65" customHeight="1" x14ac:dyDescent="0.35">
      <c r="A145" s="173" t="s">
        <v>215</v>
      </c>
      <c r="B145" s="174">
        <v>420</v>
      </c>
      <c r="C145" s="189">
        <v>130</v>
      </c>
      <c r="D145" s="174">
        <f>7+15+198</f>
        <v>220</v>
      </c>
      <c r="E145" s="175">
        <f>SUM(B145:D145)</f>
        <v>770</v>
      </c>
    </row>
    <row r="146" spans="1:5" ht="12.65" customHeight="1" x14ac:dyDescent="0.3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5" customHeight="1" x14ac:dyDescent="0.3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5" customHeight="1" x14ac:dyDescent="0.3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5" customHeight="1" x14ac:dyDescent="0.35">
      <c r="A149" s="259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5" customHeight="1" x14ac:dyDescent="0.3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5" customHeight="1" x14ac:dyDescent="0.3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5" customHeight="1" x14ac:dyDescent="0.3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5" customHeight="1" x14ac:dyDescent="0.3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5" customHeight="1" x14ac:dyDescent="0.3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5" customHeight="1" x14ac:dyDescent="0.35">
      <c r="A155" s="177"/>
      <c r="B155" s="177"/>
      <c r="C155" s="193"/>
      <c r="D155" s="178"/>
      <c r="E155" s="175"/>
    </row>
    <row r="156" spans="1:5" ht="12.65" customHeight="1" x14ac:dyDescent="0.35">
      <c r="A156" s="259" t="s">
        <v>301</v>
      </c>
      <c r="B156" s="176" t="s">
        <v>302</v>
      </c>
      <c r="C156" s="192" t="s">
        <v>303</v>
      </c>
      <c r="D156" s="175"/>
      <c r="E156" s="175"/>
    </row>
    <row r="157" spans="1:5" ht="12.65" customHeight="1" x14ac:dyDescent="0.35">
      <c r="A157" s="177" t="s">
        <v>304</v>
      </c>
      <c r="B157" s="174"/>
      <c r="C157" s="174"/>
      <c r="D157" s="175"/>
      <c r="E157" s="175"/>
    </row>
    <row r="158" spans="1:5" ht="12.65" customHeight="1" x14ac:dyDescent="0.35">
      <c r="A158" s="177"/>
      <c r="B158" s="178"/>
      <c r="C158" s="193"/>
      <c r="D158" s="175"/>
      <c r="E158" s="175"/>
    </row>
    <row r="159" spans="1:5" ht="12.65" customHeight="1" x14ac:dyDescent="0.35">
      <c r="A159" s="177"/>
      <c r="B159" s="177"/>
      <c r="C159" s="193"/>
      <c r="D159" s="178"/>
      <c r="E159" s="175"/>
    </row>
    <row r="160" spans="1:5" ht="12.65" customHeight="1" x14ac:dyDescent="0.35">
      <c r="A160" s="177"/>
      <c r="B160" s="177"/>
      <c r="C160" s="193"/>
      <c r="D160" s="178"/>
      <c r="E160" s="175"/>
    </row>
    <row r="161" spans="1:5" ht="12.65" customHeight="1" x14ac:dyDescent="0.35">
      <c r="A161" s="177"/>
      <c r="B161" s="177"/>
      <c r="C161" s="193"/>
      <c r="D161" s="178"/>
      <c r="E161" s="175"/>
    </row>
    <row r="162" spans="1:5" ht="21.75" customHeight="1" x14ac:dyDescent="0.35">
      <c r="A162" s="177"/>
      <c r="B162" s="177"/>
      <c r="C162" s="193"/>
      <c r="D162" s="178"/>
      <c r="E162" s="175"/>
    </row>
    <row r="163" spans="1:5" ht="11.5" customHeight="1" x14ac:dyDescent="0.35">
      <c r="A163" s="207" t="s">
        <v>305</v>
      </c>
      <c r="B163" s="208"/>
      <c r="C163" s="208"/>
      <c r="D163" s="208"/>
      <c r="E163" s="208"/>
    </row>
    <row r="164" spans="1:5" ht="11.5" customHeight="1" x14ac:dyDescent="0.35">
      <c r="A164" s="258" t="s">
        <v>306</v>
      </c>
      <c r="B164" s="258"/>
      <c r="C164" s="258"/>
      <c r="D164" s="258"/>
      <c r="E164" s="258"/>
    </row>
    <row r="165" spans="1:5" ht="11.5" customHeight="1" x14ac:dyDescent="0.35">
      <c r="A165" s="173" t="s">
        <v>307</v>
      </c>
      <c r="B165" s="172" t="s">
        <v>256</v>
      </c>
      <c r="C165" s="189">
        <v>1024757.7</v>
      </c>
      <c r="D165" s="175"/>
      <c r="E165" s="175"/>
    </row>
    <row r="166" spans="1:5" ht="11.5" customHeight="1" x14ac:dyDescent="0.35">
      <c r="A166" s="173" t="s">
        <v>308</v>
      </c>
      <c r="B166" s="172" t="s">
        <v>256</v>
      </c>
      <c r="C166" s="189">
        <v>24307.51</v>
      </c>
      <c r="D166" s="175"/>
      <c r="E166" s="175"/>
    </row>
    <row r="167" spans="1:5" ht="11.5" customHeight="1" x14ac:dyDescent="0.35">
      <c r="A167" s="177" t="s">
        <v>309</v>
      </c>
      <c r="B167" s="172" t="s">
        <v>256</v>
      </c>
      <c r="C167" s="189">
        <v>100644.13</v>
      </c>
      <c r="D167" s="175"/>
      <c r="E167" s="175"/>
    </row>
    <row r="168" spans="1:5" ht="11.5" customHeight="1" x14ac:dyDescent="0.35">
      <c r="A168" s="173" t="s">
        <v>310</v>
      </c>
      <c r="B168" s="172" t="s">
        <v>256</v>
      </c>
      <c r="C168" s="189">
        <v>1429820.71</v>
      </c>
      <c r="D168" s="175"/>
      <c r="E168" s="175"/>
    </row>
    <row r="169" spans="1:5" ht="11.5" customHeight="1" x14ac:dyDescent="0.35">
      <c r="A169" s="173" t="s">
        <v>311</v>
      </c>
      <c r="B169" s="172" t="s">
        <v>256</v>
      </c>
      <c r="C169" s="189">
        <v>12619.01</v>
      </c>
      <c r="D169" s="175"/>
      <c r="E169" s="175"/>
    </row>
    <row r="170" spans="1:5" ht="11.5" customHeight="1" x14ac:dyDescent="0.35">
      <c r="A170" s="173" t="s">
        <v>312</v>
      </c>
      <c r="B170" s="172" t="s">
        <v>256</v>
      </c>
      <c r="C170" s="189">
        <v>389626.78</v>
      </c>
      <c r="D170" s="175"/>
      <c r="E170" s="175"/>
    </row>
    <row r="171" spans="1:5" ht="11.5" customHeight="1" x14ac:dyDescent="0.35">
      <c r="A171" s="173" t="s">
        <v>313</v>
      </c>
      <c r="B171" s="172" t="s">
        <v>256</v>
      </c>
      <c r="C171" s="189">
        <v>39964.22</v>
      </c>
      <c r="D171" s="175"/>
      <c r="E171" s="175"/>
    </row>
    <row r="172" spans="1:5" ht="11.5" customHeight="1" x14ac:dyDescent="0.35">
      <c r="A172" s="173" t="s">
        <v>313</v>
      </c>
      <c r="B172" s="172" t="s">
        <v>256</v>
      </c>
      <c r="C172" s="189"/>
      <c r="D172" s="175"/>
      <c r="E172" s="175"/>
    </row>
    <row r="173" spans="1:5" ht="11.5" customHeight="1" x14ac:dyDescent="0.35">
      <c r="A173" s="173" t="s">
        <v>203</v>
      </c>
      <c r="B173" s="175"/>
      <c r="C173" s="191"/>
      <c r="D173" s="175">
        <f>SUM(C165:C172)</f>
        <v>3021740.06</v>
      </c>
      <c r="E173" s="175"/>
    </row>
    <row r="174" spans="1:5" ht="11.5" customHeight="1" x14ac:dyDescent="0.35">
      <c r="A174" s="258" t="s">
        <v>314</v>
      </c>
      <c r="B174" s="258"/>
      <c r="C174" s="258"/>
      <c r="D174" s="258"/>
      <c r="E174" s="258"/>
    </row>
    <row r="175" spans="1:5" ht="11.5" customHeight="1" x14ac:dyDescent="0.35">
      <c r="A175" s="173" t="s">
        <v>315</v>
      </c>
      <c r="B175" s="172" t="s">
        <v>256</v>
      </c>
      <c r="C175" s="189">
        <v>2833.32</v>
      </c>
      <c r="D175" s="175"/>
      <c r="E175" s="175"/>
    </row>
    <row r="176" spans="1:5" ht="11.5" customHeight="1" x14ac:dyDescent="0.35">
      <c r="A176" s="173" t="s">
        <v>316</v>
      </c>
      <c r="B176" s="172" t="s">
        <v>256</v>
      </c>
      <c r="C176" s="189">
        <v>413543.45</v>
      </c>
      <c r="D176" s="175"/>
      <c r="E176" s="175"/>
    </row>
    <row r="177" spans="1:5" ht="11.5" customHeight="1" x14ac:dyDescent="0.35">
      <c r="A177" s="173" t="s">
        <v>203</v>
      </c>
      <c r="B177" s="175"/>
      <c r="C177" s="191"/>
      <c r="D177" s="175">
        <f>SUM(C175:C176)</f>
        <v>416376.77</v>
      </c>
      <c r="E177" s="175"/>
    </row>
    <row r="178" spans="1:5" ht="11.5" customHeight="1" x14ac:dyDescent="0.35">
      <c r="A178" s="258" t="s">
        <v>317</v>
      </c>
      <c r="B178" s="258"/>
      <c r="C178" s="258"/>
      <c r="D178" s="258"/>
      <c r="E178" s="258"/>
    </row>
    <row r="179" spans="1:5" ht="11.5" customHeight="1" x14ac:dyDescent="0.35">
      <c r="A179" s="173" t="s">
        <v>318</v>
      </c>
      <c r="B179" s="172" t="s">
        <v>256</v>
      </c>
      <c r="C179" s="189">
        <v>124476.14</v>
      </c>
      <c r="D179" s="175"/>
      <c r="E179" s="175"/>
    </row>
    <row r="180" spans="1:5" ht="11.5" customHeight="1" x14ac:dyDescent="0.35">
      <c r="A180" s="173" t="s">
        <v>319</v>
      </c>
      <c r="B180" s="172" t="s">
        <v>256</v>
      </c>
      <c r="C180" s="189">
        <v>63451.22</v>
      </c>
      <c r="D180" s="175"/>
      <c r="E180" s="175"/>
    </row>
    <row r="181" spans="1:5" ht="11.5" customHeight="1" x14ac:dyDescent="0.35">
      <c r="A181" s="173" t="s">
        <v>203</v>
      </c>
      <c r="B181" s="175"/>
      <c r="C181" s="191"/>
      <c r="D181" s="175">
        <f>SUM(C179:C180)</f>
        <v>187927.36</v>
      </c>
      <c r="E181" s="175"/>
    </row>
    <row r="182" spans="1:5" ht="11.5" customHeight="1" x14ac:dyDescent="0.35">
      <c r="A182" s="258" t="s">
        <v>320</v>
      </c>
      <c r="B182" s="258"/>
      <c r="C182" s="258"/>
      <c r="D182" s="258"/>
      <c r="E182" s="258"/>
    </row>
    <row r="183" spans="1:5" ht="11.5" customHeight="1" x14ac:dyDescent="0.35">
      <c r="A183" s="173" t="s">
        <v>321</v>
      </c>
      <c r="B183" s="172" t="s">
        <v>256</v>
      </c>
      <c r="C183" s="189">
        <v>25805.46</v>
      </c>
      <c r="D183" s="175"/>
      <c r="E183" s="175"/>
    </row>
    <row r="184" spans="1:5" ht="11.5" customHeight="1" x14ac:dyDescent="0.35">
      <c r="A184" s="173" t="s">
        <v>322</v>
      </c>
      <c r="B184" s="172" t="s">
        <v>256</v>
      </c>
      <c r="C184" s="189"/>
      <c r="D184" s="175"/>
      <c r="E184" s="175"/>
    </row>
    <row r="185" spans="1:5" ht="11.5" customHeight="1" x14ac:dyDescent="0.35">
      <c r="A185" s="173" t="s">
        <v>132</v>
      </c>
      <c r="B185" s="172" t="s">
        <v>256</v>
      </c>
      <c r="C185" s="189"/>
      <c r="D185" s="175"/>
      <c r="E185" s="175"/>
    </row>
    <row r="186" spans="1:5" ht="11.5" customHeight="1" x14ac:dyDescent="0.35">
      <c r="A186" s="173" t="s">
        <v>203</v>
      </c>
      <c r="B186" s="175"/>
      <c r="C186" s="191"/>
      <c r="D186" s="175">
        <f>SUM(C183:C185)</f>
        <v>25805.46</v>
      </c>
      <c r="E186" s="175"/>
    </row>
    <row r="187" spans="1:5" ht="11.5" customHeight="1" x14ac:dyDescent="0.35">
      <c r="A187" s="258" t="s">
        <v>323</v>
      </c>
      <c r="B187" s="258"/>
      <c r="C187" s="258"/>
      <c r="D187" s="258"/>
      <c r="E187" s="258"/>
    </row>
    <row r="188" spans="1:5" ht="11.5" customHeight="1" x14ac:dyDescent="0.35">
      <c r="A188" s="173" t="s">
        <v>324</v>
      </c>
      <c r="B188" s="172" t="s">
        <v>256</v>
      </c>
      <c r="C188" s="189">
        <v>224242.38</v>
      </c>
      <c r="D188" s="175"/>
      <c r="E188" s="175"/>
    </row>
    <row r="189" spans="1:5" ht="11.5" customHeight="1" x14ac:dyDescent="0.35">
      <c r="A189" s="173" t="s">
        <v>325</v>
      </c>
      <c r="B189" s="172" t="s">
        <v>256</v>
      </c>
      <c r="C189" s="189"/>
      <c r="D189" s="175"/>
      <c r="E189" s="175"/>
    </row>
    <row r="190" spans="1:5" ht="11.5" customHeight="1" x14ac:dyDescent="0.35">
      <c r="A190" s="173" t="s">
        <v>203</v>
      </c>
      <c r="B190" s="175"/>
      <c r="C190" s="191"/>
      <c r="D190" s="175">
        <f>SUM(C188:C189)</f>
        <v>224242.38</v>
      </c>
      <c r="E190" s="175"/>
    </row>
    <row r="191" spans="1:5" ht="18" customHeight="1" x14ac:dyDescent="0.35">
      <c r="A191" s="173"/>
      <c r="B191" s="175"/>
      <c r="C191" s="191"/>
      <c r="D191" s="175"/>
      <c r="E191" s="175"/>
    </row>
    <row r="192" spans="1:5" ht="12.65" customHeight="1" x14ac:dyDescent="0.35">
      <c r="A192" s="208" t="s">
        <v>326</v>
      </c>
      <c r="B192" s="208"/>
      <c r="C192" s="208"/>
      <c r="D192" s="208"/>
      <c r="E192" s="208"/>
    </row>
    <row r="193" spans="1:8" ht="12.65" customHeight="1" x14ac:dyDescent="0.35">
      <c r="A193" s="207" t="s">
        <v>327</v>
      </c>
      <c r="B193" s="208"/>
      <c r="C193" s="208"/>
      <c r="D193" s="208"/>
      <c r="E193" s="208"/>
    </row>
    <row r="194" spans="1:8" ht="12.65" customHeight="1" x14ac:dyDescent="0.3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5">
      <c r="A195" s="173" t="s">
        <v>332</v>
      </c>
      <c r="B195" s="174">
        <v>203706.33</v>
      </c>
      <c r="C195" s="189"/>
      <c r="D195" s="174"/>
      <c r="E195" s="175">
        <f t="shared" ref="E195:E203" si="10">SUM(B195:C195)-D195</f>
        <v>203706.33</v>
      </c>
    </row>
    <row r="196" spans="1:8" ht="12.65" customHeight="1" x14ac:dyDescent="0.35">
      <c r="A196" s="173" t="s">
        <v>333</v>
      </c>
      <c r="B196" s="174">
        <v>1782695.72</v>
      </c>
      <c r="C196" s="189">
        <v>8032.91</v>
      </c>
      <c r="D196" s="174">
        <v>18775.849999999999</v>
      </c>
      <c r="E196" s="175">
        <f t="shared" si="10"/>
        <v>1771952.7799999998</v>
      </c>
    </row>
    <row r="197" spans="1:8" ht="12.65" customHeight="1" x14ac:dyDescent="0.35">
      <c r="A197" s="173" t="s">
        <v>334</v>
      </c>
      <c r="B197" s="174">
        <v>13659330.85</v>
      </c>
      <c r="C197" s="189">
        <v>11678.6</v>
      </c>
      <c r="D197" s="174">
        <v>13231.44</v>
      </c>
      <c r="E197" s="175">
        <f t="shared" si="10"/>
        <v>13657778.01</v>
      </c>
    </row>
    <row r="198" spans="1:8" ht="12.65" customHeight="1" x14ac:dyDescent="0.35">
      <c r="A198" s="173" t="s">
        <v>335</v>
      </c>
      <c r="B198" s="174">
        <v>6824097.6299999999</v>
      </c>
      <c r="C198" s="189">
        <v>108285.41</v>
      </c>
      <c r="D198" s="174"/>
      <c r="E198" s="175">
        <f t="shared" si="10"/>
        <v>6932383.04</v>
      </c>
    </row>
    <row r="199" spans="1:8" ht="12.65" customHeight="1" x14ac:dyDescent="0.35">
      <c r="A199" s="173" t="s">
        <v>336</v>
      </c>
      <c r="B199" s="174">
        <v>337147.97</v>
      </c>
      <c r="C199" s="189">
        <v>31362.25</v>
      </c>
      <c r="D199" s="174">
        <v>6500</v>
      </c>
      <c r="E199" s="175">
        <f t="shared" si="10"/>
        <v>362010.22</v>
      </c>
    </row>
    <row r="200" spans="1:8" ht="12.65" customHeight="1" x14ac:dyDescent="0.35">
      <c r="A200" s="173" t="s">
        <v>337</v>
      </c>
      <c r="B200" s="174">
        <v>7139246.3200000003</v>
      </c>
      <c r="C200" s="189">
        <v>898283.05</v>
      </c>
      <c r="D200" s="174">
        <v>853170.94</v>
      </c>
      <c r="E200" s="175">
        <f t="shared" si="10"/>
        <v>7184358.4299999997</v>
      </c>
    </row>
    <row r="201" spans="1:8" ht="12.65" customHeight="1" x14ac:dyDescent="0.35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5" customHeight="1" x14ac:dyDescent="0.35">
      <c r="A202" s="173" t="s">
        <v>339</v>
      </c>
      <c r="B202" s="174"/>
      <c r="C202" s="189"/>
      <c r="D202" s="174"/>
      <c r="E202" s="175">
        <f t="shared" si="10"/>
        <v>0</v>
      </c>
    </row>
    <row r="203" spans="1:8" ht="12.65" customHeight="1" x14ac:dyDescent="0.35">
      <c r="A203" s="173" t="s">
        <v>340</v>
      </c>
      <c r="B203" s="174">
        <v>211509.94</v>
      </c>
      <c r="C203" s="189">
        <v>599790.42000000004</v>
      </c>
      <c r="D203" s="174">
        <v>475657.86</v>
      </c>
      <c r="E203" s="175">
        <f t="shared" si="10"/>
        <v>335642.50000000012</v>
      </c>
    </row>
    <row r="204" spans="1:8" ht="12.65" customHeight="1" x14ac:dyDescent="0.35">
      <c r="A204" s="173" t="s">
        <v>203</v>
      </c>
      <c r="B204" s="175">
        <f>SUM(B195:B203)</f>
        <v>30157734.760000002</v>
      </c>
      <c r="C204" s="191">
        <f>SUM(C195:C203)</f>
        <v>1657432.6400000001</v>
      </c>
      <c r="D204" s="175">
        <f>SUM(D195:D203)</f>
        <v>1367336.0899999999</v>
      </c>
      <c r="E204" s="175">
        <f>SUM(E195:E203)</f>
        <v>30447831.309999999</v>
      </c>
    </row>
    <row r="205" spans="1:8" ht="12.65" customHeight="1" x14ac:dyDescent="0.35">
      <c r="A205" s="173"/>
      <c r="B205" s="173"/>
      <c r="C205" s="191"/>
      <c r="D205" s="175"/>
      <c r="E205" s="175"/>
    </row>
    <row r="206" spans="1:8" ht="12.65" customHeight="1" x14ac:dyDescent="0.35">
      <c r="A206" s="207" t="s">
        <v>341</v>
      </c>
      <c r="B206" s="207"/>
      <c r="C206" s="207"/>
      <c r="D206" s="207"/>
      <c r="E206" s="207"/>
    </row>
    <row r="207" spans="1:8" ht="12.65" customHeight="1" x14ac:dyDescent="0.3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60"/>
    </row>
    <row r="208" spans="1:8" ht="12.65" customHeight="1" x14ac:dyDescent="0.35">
      <c r="A208" s="173" t="s">
        <v>332</v>
      </c>
      <c r="B208" s="178"/>
      <c r="C208" s="193"/>
      <c r="D208" s="178"/>
      <c r="E208" s="175"/>
      <c r="H208" s="260"/>
    </row>
    <row r="209" spans="1:8" ht="12.65" customHeight="1" x14ac:dyDescent="0.35">
      <c r="A209" s="173" t="s">
        <v>333</v>
      </c>
      <c r="B209" s="174">
        <v>1339496.78</v>
      </c>
      <c r="C209" s="189">
        <v>109701.09</v>
      </c>
      <c r="D209" s="174">
        <v>18776</v>
      </c>
      <c r="E209" s="175">
        <f t="shared" ref="E209:E216" si="11">SUM(B209:C209)-D209</f>
        <v>1430421.87</v>
      </c>
      <c r="H209" s="260"/>
    </row>
    <row r="210" spans="1:8" ht="12.65" customHeight="1" x14ac:dyDescent="0.35">
      <c r="A210" s="173" t="s">
        <v>334</v>
      </c>
      <c r="B210" s="174">
        <v>7731120.6200000001</v>
      </c>
      <c r="C210" s="189">
        <v>378314.12</v>
      </c>
      <c r="D210" s="174">
        <v>13231.44</v>
      </c>
      <c r="E210" s="175">
        <f t="shared" si="11"/>
        <v>8096203.2999999998</v>
      </c>
      <c r="H210" s="260"/>
    </row>
    <row r="211" spans="1:8" ht="12.65" customHeight="1" x14ac:dyDescent="0.35">
      <c r="A211" s="173" t="s">
        <v>335</v>
      </c>
      <c r="B211" s="174">
        <v>4363253.6100000003</v>
      </c>
      <c r="C211" s="189">
        <v>398676.59</v>
      </c>
      <c r="D211" s="174">
        <v>0</v>
      </c>
      <c r="E211" s="175">
        <f t="shared" si="11"/>
        <v>4761930.2</v>
      </c>
      <c r="H211" s="260"/>
    </row>
    <row r="212" spans="1:8" ht="12.65" customHeight="1" x14ac:dyDescent="0.35">
      <c r="A212" s="173" t="s">
        <v>336</v>
      </c>
      <c r="B212" s="174">
        <v>225917.32</v>
      </c>
      <c r="C212" s="189">
        <v>14187.52</v>
      </c>
      <c r="D212" s="174">
        <v>6500</v>
      </c>
      <c r="E212" s="175">
        <f t="shared" si="11"/>
        <v>233604.84</v>
      </c>
      <c r="H212" s="260"/>
    </row>
    <row r="213" spans="1:8" ht="12.65" customHeight="1" x14ac:dyDescent="0.35">
      <c r="A213" s="173" t="s">
        <v>337</v>
      </c>
      <c r="B213" s="174">
        <v>6124523.9800000004</v>
      </c>
      <c r="C213" s="189">
        <v>396722.18</v>
      </c>
      <c r="D213" s="174">
        <v>853171</v>
      </c>
      <c r="E213" s="175">
        <f t="shared" si="11"/>
        <v>5668075.1600000001</v>
      </c>
      <c r="H213" s="260"/>
    </row>
    <row r="214" spans="1:8" ht="12.65" customHeight="1" x14ac:dyDescent="0.35">
      <c r="A214" s="173" t="s">
        <v>338</v>
      </c>
      <c r="B214" s="174"/>
      <c r="C214" s="189"/>
      <c r="D214" s="174"/>
      <c r="E214" s="175">
        <f t="shared" si="11"/>
        <v>0</v>
      </c>
      <c r="H214" s="260"/>
    </row>
    <row r="215" spans="1:8" ht="12.65" customHeight="1" x14ac:dyDescent="0.35">
      <c r="A215" s="173" t="s">
        <v>339</v>
      </c>
      <c r="B215" s="174"/>
      <c r="C215" s="189"/>
      <c r="D215" s="174"/>
      <c r="E215" s="175">
        <f t="shared" si="11"/>
        <v>0</v>
      </c>
      <c r="H215" s="260"/>
    </row>
    <row r="216" spans="1:8" ht="12.65" customHeight="1" x14ac:dyDescent="0.35">
      <c r="A216" s="173" t="s">
        <v>340</v>
      </c>
      <c r="B216" s="174"/>
      <c r="C216" s="189"/>
      <c r="D216" s="174"/>
      <c r="E216" s="175">
        <f t="shared" si="11"/>
        <v>0</v>
      </c>
      <c r="H216" s="260"/>
    </row>
    <row r="217" spans="1:8" ht="12.65" customHeight="1" x14ac:dyDescent="0.35">
      <c r="A217" s="173" t="s">
        <v>203</v>
      </c>
      <c r="B217" s="175">
        <f>SUM(B208:B216)</f>
        <v>19784312.310000002</v>
      </c>
      <c r="C217" s="191">
        <f>SUM(C208:C216)</f>
        <v>1297601.5</v>
      </c>
      <c r="D217" s="175">
        <f>SUM(D208:D216)</f>
        <v>891678.44</v>
      </c>
      <c r="E217" s="175">
        <f>SUM(E208:E216)</f>
        <v>20190235.370000001</v>
      </c>
    </row>
    <row r="218" spans="1:8" ht="21.75" customHeight="1" x14ac:dyDescent="0.35">
      <c r="A218" s="173"/>
      <c r="B218" s="175"/>
      <c r="C218" s="191"/>
      <c r="D218" s="175"/>
      <c r="E218" s="175"/>
    </row>
    <row r="219" spans="1:8" ht="12.65" customHeight="1" x14ac:dyDescent="0.35">
      <c r="A219" s="208" t="s">
        <v>342</v>
      </c>
      <c r="B219" s="208"/>
      <c r="C219" s="208"/>
      <c r="D219" s="208"/>
      <c r="E219" s="208"/>
    </row>
    <row r="220" spans="1:8" ht="12.65" customHeight="1" x14ac:dyDescent="0.35">
      <c r="A220" s="208"/>
      <c r="B220" s="342" t="s">
        <v>1254</v>
      </c>
      <c r="C220" s="342"/>
      <c r="D220" s="208"/>
      <c r="E220" s="208"/>
    </row>
    <row r="221" spans="1:8" ht="12.65" customHeight="1" x14ac:dyDescent="0.35">
      <c r="A221" s="273" t="s">
        <v>1254</v>
      </c>
      <c r="B221" s="208"/>
      <c r="C221" s="189">
        <v>1466324.23</v>
      </c>
      <c r="D221" s="172">
        <f>C221</f>
        <v>1466324.23</v>
      </c>
      <c r="E221" s="208"/>
    </row>
    <row r="222" spans="1:8" ht="12.65" customHeight="1" x14ac:dyDescent="0.35">
      <c r="A222" s="258" t="s">
        <v>343</v>
      </c>
      <c r="B222" s="258"/>
      <c r="C222" s="258"/>
      <c r="D222" s="258"/>
      <c r="E222" s="258"/>
    </row>
    <row r="223" spans="1:8" ht="12.65" customHeight="1" x14ac:dyDescent="0.35">
      <c r="A223" s="173" t="s">
        <v>344</v>
      </c>
      <c r="B223" s="172" t="s">
        <v>256</v>
      </c>
      <c r="C223" s="189">
        <v>9222785.8499999996</v>
      </c>
      <c r="D223" s="175"/>
      <c r="E223" s="175"/>
    </row>
    <row r="224" spans="1:8" ht="12.65" customHeight="1" x14ac:dyDescent="0.35">
      <c r="A224" s="173" t="s">
        <v>345</v>
      </c>
      <c r="B224" s="172" t="s">
        <v>256</v>
      </c>
      <c r="C224" s="189">
        <f>4543275.5+883872.76</f>
        <v>5427148.2599999998</v>
      </c>
      <c r="D224" s="175"/>
      <c r="E224" s="175"/>
    </row>
    <row r="225" spans="1:5" ht="12.65" customHeight="1" x14ac:dyDescent="0.35">
      <c r="A225" s="173" t="s">
        <v>346</v>
      </c>
      <c r="B225" s="172" t="s">
        <v>256</v>
      </c>
      <c r="C225" s="189">
        <v>120015.67999999999</v>
      </c>
      <c r="D225" s="175"/>
      <c r="E225" s="175"/>
    </row>
    <row r="226" spans="1:5" ht="12.65" customHeight="1" x14ac:dyDescent="0.35">
      <c r="A226" s="173" t="s">
        <v>347</v>
      </c>
      <c r="B226" s="172" t="s">
        <v>256</v>
      </c>
      <c r="C226" s="189"/>
      <c r="D226" s="175"/>
      <c r="E226" s="175"/>
    </row>
    <row r="227" spans="1:5" ht="12.65" customHeight="1" x14ac:dyDescent="0.35">
      <c r="A227" s="173" t="s">
        <v>348</v>
      </c>
      <c r="B227" s="172" t="s">
        <v>256</v>
      </c>
      <c r="C227" s="189"/>
      <c r="D227" s="175"/>
      <c r="E227" s="175"/>
    </row>
    <row r="228" spans="1:5" ht="12.65" customHeight="1" x14ac:dyDescent="0.35">
      <c r="A228" s="173" t="s">
        <v>349</v>
      </c>
      <c r="B228" s="172" t="s">
        <v>256</v>
      </c>
      <c r="C228" s="189">
        <f>4006302.27-120015.68</f>
        <v>3886286.59</v>
      </c>
      <c r="D228" s="175"/>
      <c r="E228" s="175"/>
    </row>
    <row r="229" spans="1:5" ht="12.65" customHeight="1" x14ac:dyDescent="0.35">
      <c r="A229" s="173" t="s">
        <v>350</v>
      </c>
      <c r="B229" s="175"/>
      <c r="C229" s="191"/>
      <c r="D229" s="175">
        <f>SUM(C223:C228)</f>
        <v>18656236.379999999</v>
      </c>
      <c r="E229" s="175"/>
    </row>
    <row r="230" spans="1:5" ht="12.65" customHeight="1" x14ac:dyDescent="0.35">
      <c r="A230" s="258" t="s">
        <v>351</v>
      </c>
      <c r="B230" s="258"/>
      <c r="C230" s="258"/>
      <c r="D230" s="258"/>
      <c r="E230" s="258"/>
    </row>
    <row r="231" spans="1:5" ht="12.65" customHeight="1" x14ac:dyDescent="0.35">
      <c r="A231" s="171" t="s">
        <v>352</v>
      </c>
      <c r="B231" s="172" t="s">
        <v>256</v>
      </c>
      <c r="C231" s="189"/>
      <c r="D231" s="175"/>
      <c r="E231" s="175"/>
    </row>
    <row r="232" spans="1:5" ht="12.65" customHeight="1" x14ac:dyDescent="0.35">
      <c r="A232" s="171"/>
      <c r="B232" s="172"/>
      <c r="C232" s="191"/>
      <c r="D232" s="175"/>
      <c r="E232" s="175"/>
    </row>
    <row r="233" spans="1:5" ht="12.65" customHeight="1" x14ac:dyDescent="0.35">
      <c r="A233" s="171" t="s">
        <v>353</v>
      </c>
      <c r="B233" s="172" t="s">
        <v>256</v>
      </c>
      <c r="C233" s="189"/>
      <c r="D233" s="175"/>
      <c r="E233" s="175"/>
    </row>
    <row r="234" spans="1:5" ht="12.65" customHeight="1" x14ac:dyDescent="0.35">
      <c r="A234" s="171" t="s">
        <v>354</v>
      </c>
      <c r="B234" s="172" t="s">
        <v>256</v>
      </c>
      <c r="C234" s="189">
        <v>400922.4</v>
      </c>
      <c r="D234" s="175"/>
      <c r="E234" s="175"/>
    </row>
    <row r="235" spans="1:5" ht="12.65" customHeight="1" x14ac:dyDescent="0.35">
      <c r="A235" s="173"/>
      <c r="B235" s="175"/>
      <c r="C235" s="191"/>
      <c r="D235" s="175"/>
      <c r="E235" s="175"/>
    </row>
    <row r="236" spans="1:5" ht="12.65" customHeight="1" x14ac:dyDescent="0.35">
      <c r="A236" s="171" t="s">
        <v>355</v>
      </c>
      <c r="B236" s="175"/>
      <c r="C236" s="191"/>
      <c r="D236" s="175">
        <f>SUM(C233:C235)</f>
        <v>400922.4</v>
      </c>
      <c r="E236" s="175"/>
    </row>
    <row r="237" spans="1:5" ht="12.65" customHeight="1" x14ac:dyDescent="0.35">
      <c r="A237" s="258" t="s">
        <v>356</v>
      </c>
      <c r="B237" s="258"/>
      <c r="C237" s="258"/>
      <c r="D237" s="258"/>
      <c r="E237" s="258"/>
    </row>
    <row r="238" spans="1:5" ht="12.65" customHeight="1" x14ac:dyDescent="0.35">
      <c r="A238" s="173" t="s">
        <v>357</v>
      </c>
      <c r="B238" s="172" t="s">
        <v>256</v>
      </c>
      <c r="C238" s="189">
        <v>1080267.05</v>
      </c>
      <c r="D238" s="175"/>
      <c r="E238" s="175"/>
    </row>
    <row r="239" spans="1:5" ht="12.65" customHeight="1" x14ac:dyDescent="0.35">
      <c r="A239" s="173" t="s">
        <v>356</v>
      </c>
      <c r="B239" s="172" t="s">
        <v>256</v>
      </c>
      <c r="C239" s="189">
        <v>-142624</v>
      </c>
      <c r="D239" s="175"/>
      <c r="E239" s="175"/>
    </row>
    <row r="240" spans="1:5" ht="12.65" customHeight="1" x14ac:dyDescent="0.35">
      <c r="A240" s="173" t="s">
        <v>358</v>
      </c>
      <c r="B240" s="175"/>
      <c r="C240" s="191"/>
      <c r="D240" s="175">
        <f>SUM(C238:C239)</f>
        <v>937643.05</v>
      </c>
      <c r="E240" s="175"/>
    </row>
    <row r="241" spans="1:5" ht="12.65" customHeight="1" x14ac:dyDescent="0.35">
      <c r="A241" s="173"/>
      <c r="B241" s="175"/>
      <c r="C241" s="191"/>
      <c r="D241" s="175"/>
      <c r="E241" s="175"/>
    </row>
    <row r="242" spans="1:5" ht="12.65" customHeight="1" x14ac:dyDescent="0.35">
      <c r="A242" s="173" t="s">
        <v>359</v>
      </c>
      <c r="B242" s="175"/>
      <c r="C242" s="191"/>
      <c r="D242" s="175">
        <f>D221+D229+D236+D240</f>
        <v>21461126.059999999</v>
      </c>
      <c r="E242" s="175"/>
    </row>
    <row r="243" spans="1:5" ht="12.65" customHeight="1" x14ac:dyDescent="0.35">
      <c r="A243" s="173"/>
      <c r="B243" s="173"/>
      <c r="C243" s="191"/>
      <c r="D243" s="175"/>
      <c r="E243" s="175"/>
    </row>
    <row r="244" spans="1:5" ht="12.65" customHeight="1" x14ac:dyDescent="0.35">
      <c r="A244" s="173"/>
      <c r="B244" s="173"/>
      <c r="C244" s="191"/>
      <c r="D244" s="175"/>
      <c r="E244" s="175"/>
    </row>
    <row r="245" spans="1:5" ht="12.65" customHeight="1" x14ac:dyDescent="0.35">
      <c r="A245" s="173"/>
      <c r="B245" s="173"/>
      <c r="C245" s="191"/>
      <c r="D245" s="175"/>
      <c r="E245" s="175"/>
    </row>
    <row r="246" spans="1:5" ht="12.65" customHeight="1" x14ac:dyDescent="0.35">
      <c r="A246" s="173"/>
      <c r="B246" s="173"/>
      <c r="C246" s="191"/>
      <c r="D246" s="175"/>
      <c r="E246" s="175"/>
    </row>
    <row r="247" spans="1:5" ht="21.75" customHeight="1" x14ac:dyDescent="0.35">
      <c r="A247" s="173"/>
      <c r="B247" s="173"/>
      <c r="C247" s="191"/>
      <c r="D247" s="175"/>
      <c r="E247" s="175"/>
    </row>
    <row r="248" spans="1:5" ht="12.65" customHeight="1" x14ac:dyDescent="0.35">
      <c r="A248" s="208" t="s">
        <v>360</v>
      </c>
      <c r="B248" s="208"/>
      <c r="C248" s="208"/>
      <c r="D248" s="208"/>
      <c r="E248" s="208"/>
    </row>
    <row r="249" spans="1:5" ht="11.25" customHeight="1" x14ac:dyDescent="0.35">
      <c r="A249" s="258" t="s">
        <v>361</v>
      </c>
      <c r="B249" s="258"/>
      <c r="C249" s="258"/>
      <c r="D249" s="258"/>
      <c r="E249" s="258"/>
    </row>
    <row r="250" spans="1:5" ht="12.65" customHeight="1" x14ac:dyDescent="0.35">
      <c r="A250" s="173" t="s">
        <v>362</v>
      </c>
      <c r="B250" s="172" t="s">
        <v>256</v>
      </c>
      <c r="C250" s="189">
        <v>15935819.08</v>
      </c>
      <c r="D250" s="175"/>
      <c r="E250" s="175"/>
    </row>
    <row r="251" spans="1:5" ht="12.65" customHeight="1" x14ac:dyDescent="0.35">
      <c r="A251" s="173" t="s">
        <v>363</v>
      </c>
      <c r="B251" s="172" t="s">
        <v>256</v>
      </c>
      <c r="C251" s="189"/>
      <c r="D251" s="175"/>
      <c r="E251" s="175"/>
    </row>
    <row r="252" spans="1:5" ht="12.65" customHeight="1" x14ac:dyDescent="0.35">
      <c r="A252" s="173" t="s">
        <v>364</v>
      </c>
      <c r="B252" s="172" t="s">
        <v>256</v>
      </c>
      <c r="C252" s="189">
        <v>7543236</v>
      </c>
      <c r="D252" s="175"/>
      <c r="E252" s="175"/>
    </row>
    <row r="253" spans="1:5" ht="12.65" customHeight="1" x14ac:dyDescent="0.35">
      <c r="A253" s="173" t="s">
        <v>365</v>
      </c>
      <c r="B253" s="172" t="s">
        <v>256</v>
      </c>
      <c r="C253" s="189">
        <v>4441311.05</v>
      </c>
      <c r="D253" s="175"/>
      <c r="E253" s="175"/>
    </row>
    <row r="254" spans="1:5" ht="12.65" customHeight="1" x14ac:dyDescent="0.35">
      <c r="A254" s="173" t="s">
        <v>1240</v>
      </c>
      <c r="B254" s="172" t="s">
        <v>256</v>
      </c>
      <c r="C254" s="189">
        <v>139968.01</v>
      </c>
      <c r="D254" s="175"/>
      <c r="E254" s="175"/>
    </row>
    <row r="255" spans="1:5" ht="12.65" customHeight="1" x14ac:dyDescent="0.35">
      <c r="A255" s="173" t="s">
        <v>366</v>
      </c>
      <c r="B255" s="172" t="s">
        <v>256</v>
      </c>
      <c r="C255" s="189">
        <f>195924.96+440098.16</f>
        <v>636023.12</v>
      </c>
      <c r="D255" s="175"/>
      <c r="E255" s="175"/>
    </row>
    <row r="256" spans="1:5" ht="12.65" customHeight="1" x14ac:dyDescent="0.35">
      <c r="A256" s="173" t="s">
        <v>367</v>
      </c>
      <c r="B256" s="172" t="s">
        <v>256</v>
      </c>
      <c r="C256" s="189"/>
      <c r="D256" s="175"/>
      <c r="E256" s="175"/>
    </row>
    <row r="257" spans="1:5" ht="12.65" customHeight="1" x14ac:dyDescent="0.35">
      <c r="A257" s="173" t="s">
        <v>368</v>
      </c>
      <c r="B257" s="172" t="s">
        <v>256</v>
      </c>
      <c r="C257" s="189">
        <v>400046.57</v>
      </c>
      <c r="D257" s="175"/>
      <c r="E257" s="175"/>
    </row>
    <row r="258" spans="1:5" ht="12.65" customHeight="1" x14ac:dyDescent="0.35">
      <c r="A258" s="173" t="s">
        <v>369</v>
      </c>
      <c r="B258" s="172" t="s">
        <v>256</v>
      </c>
      <c r="C258" s="189">
        <v>126241.1</v>
      </c>
      <c r="D258" s="175"/>
      <c r="E258" s="175"/>
    </row>
    <row r="259" spans="1:5" ht="12.65" customHeight="1" x14ac:dyDescent="0.35">
      <c r="A259" s="173" t="s">
        <v>370</v>
      </c>
      <c r="B259" s="172" t="s">
        <v>256</v>
      </c>
      <c r="C259" s="189"/>
      <c r="D259" s="175"/>
      <c r="E259" s="175"/>
    </row>
    <row r="260" spans="1:5" ht="12.65" customHeight="1" x14ac:dyDescent="0.35">
      <c r="A260" s="173" t="s">
        <v>371</v>
      </c>
      <c r="B260" s="175"/>
      <c r="C260" s="191"/>
      <c r="D260" s="175">
        <f>SUM(C250:C252)-C253+SUM(C254:C259)</f>
        <v>20340022.829999998</v>
      </c>
      <c r="E260" s="175"/>
    </row>
    <row r="261" spans="1:5" ht="11.25" customHeight="1" x14ac:dyDescent="0.35">
      <c r="A261" s="258" t="s">
        <v>372</v>
      </c>
      <c r="B261" s="258"/>
      <c r="C261" s="258"/>
      <c r="D261" s="258"/>
      <c r="E261" s="258"/>
    </row>
    <row r="262" spans="1:5" ht="12.65" customHeight="1" x14ac:dyDescent="0.35">
      <c r="A262" s="173" t="s">
        <v>362</v>
      </c>
      <c r="B262" s="172" t="s">
        <v>256</v>
      </c>
      <c r="C262" s="189"/>
      <c r="D262" s="175"/>
      <c r="E262" s="175"/>
    </row>
    <row r="263" spans="1:5" ht="12.65" customHeight="1" x14ac:dyDescent="0.35">
      <c r="A263" s="173" t="s">
        <v>363</v>
      </c>
      <c r="B263" s="172" t="s">
        <v>256</v>
      </c>
      <c r="C263" s="189"/>
      <c r="D263" s="175"/>
      <c r="E263" s="175"/>
    </row>
    <row r="264" spans="1:5" ht="12.65" customHeight="1" x14ac:dyDescent="0.35">
      <c r="A264" s="173" t="s">
        <v>373</v>
      </c>
      <c r="B264" s="172" t="s">
        <v>256</v>
      </c>
      <c r="C264" s="189">
        <v>376827</v>
      </c>
      <c r="D264" s="175"/>
      <c r="E264" s="175"/>
    </row>
    <row r="265" spans="1:5" ht="12.65" customHeight="1" x14ac:dyDescent="0.35">
      <c r="A265" s="173" t="s">
        <v>374</v>
      </c>
      <c r="B265" s="175"/>
      <c r="C265" s="191"/>
      <c r="D265" s="175">
        <f>SUM(C262:C264)</f>
        <v>376827</v>
      </c>
      <c r="E265" s="175"/>
    </row>
    <row r="266" spans="1:5" ht="11.25" customHeight="1" x14ac:dyDescent="0.35">
      <c r="A266" s="258" t="s">
        <v>375</v>
      </c>
      <c r="B266" s="258"/>
      <c r="C266" s="258"/>
      <c r="D266" s="258"/>
      <c r="E266" s="258"/>
    </row>
    <row r="267" spans="1:5" ht="12.65" customHeight="1" x14ac:dyDescent="0.35">
      <c r="A267" s="173" t="s">
        <v>332</v>
      </c>
      <c r="B267" s="172" t="s">
        <v>256</v>
      </c>
      <c r="C267" s="189">
        <f>E195</f>
        <v>203706.33</v>
      </c>
      <c r="D267" s="175"/>
      <c r="E267" s="175"/>
    </row>
    <row r="268" spans="1:5" ht="12.65" customHeight="1" x14ac:dyDescent="0.35">
      <c r="A268" s="173" t="s">
        <v>333</v>
      </c>
      <c r="B268" s="172" t="s">
        <v>256</v>
      </c>
      <c r="C268" s="189">
        <f t="shared" ref="C268:C273" si="12">E196</f>
        <v>1771952.7799999998</v>
      </c>
      <c r="D268" s="175"/>
      <c r="E268" s="175"/>
    </row>
    <row r="269" spans="1:5" ht="12.65" customHeight="1" x14ac:dyDescent="0.35">
      <c r="A269" s="173" t="s">
        <v>334</v>
      </c>
      <c r="B269" s="172" t="s">
        <v>256</v>
      </c>
      <c r="C269" s="189">
        <f t="shared" si="12"/>
        <v>13657778.01</v>
      </c>
      <c r="D269" s="175"/>
      <c r="E269" s="175"/>
    </row>
    <row r="270" spans="1:5" ht="12.65" customHeight="1" x14ac:dyDescent="0.35">
      <c r="A270" s="173" t="s">
        <v>376</v>
      </c>
      <c r="B270" s="172" t="s">
        <v>256</v>
      </c>
      <c r="C270" s="189">
        <f t="shared" si="12"/>
        <v>6932383.04</v>
      </c>
      <c r="D270" s="175"/>
      <c r="E270" s="175"/>
    </row>
    <row r="271" spans="1:5" ht="12.65" customHeight="1" x14ac:dyDescent="0.35">
      <c r="A271" s="173" t="s">
        <v>377</v>
      </c>
      <c r="B271" s="172" t="s">
        <v>256</v>
      </c>
      <c r="C271" s="189">
        <f t="shared" si="12"/>
        <v>362010.22</v>
      </c>
      <c r="D271" s="175"/>
      <c r="E271" s="175"/>
    </row>
    <row r="272" spans="1:5" ht="12.65" customHeight="1" x14ac:dyDescent="0.35">
      <c r="A272" s="173" t="s">
        <v>378</v>
      </c>
      <c r="B272" s="172" t="s">
        <v>256</v>
      </c>
      <c r="C272" s="189">
        <f t="shared" si="12"/>
        <v>7184358.4299999997</v>
      </c>
      <c r="D272" s="175"/>
      <c r="E272" s="175"/>
    </row>
    <row r="273" spans="1:5" ht="12.65" customHeight="1" x14ac:dyDescent="0.35">
      <c r="A273" s="173" t="s">
        <v>339</v>
      </c>
      <c r="B273" s="172" t="s">
        <v>256</v>
      </c>
      <c r="C273" s="189">
        <f t="shared" si="12"/>
        <v>0</v>
      </c>
      <c r="D273" s="175"/>
      <c r="E273" s="175"/>
    </row>
    <row r="274" spans="1:5" ht="12.65" customHeight="1" x14ac:dyDescent="0.35">
      <c r="A274" s="173" t="s">
        <v>340</v>
      </c>
      <c r="B274" s="172" t="s">
        <v>256</v>
      </c>
      <c r="C274" s="189">
        <f>E203</f>
        <v>335642.50000000012</v>
      </c>
      <c r="D274" s="175"/>
      <c r="E274" s="175"/>
    </row>
    <row r="275" spans="1:5" ht="12.65" customHeight="1" x14ac:dyDescent="0.35">
      <c r="A275" s="173" t="s">
        <v>379</v>
      </c>
      <c r="B275" s="175"/>
      <c r="C275" s="191"/>
      <c r="D275" s="175">
        <f>SUM(C267:C274)</f>
        <v>30447831.309999999</v>
      </c>
      <c r="E275" s="175"/>
    </row>
    <row r="276" spans="1:5" ht="12.65" customHeight="1" x14ac:dyDescent="0.35">
      <c r="A276" s="173" t="s">
        <v>380</v>
      </c>
      <c r="B276" s="172" t="s">
        <v>256</v>
      </c>
      <c r="C276" s="189">
        <v>20190235</v>
      </c>
      <c r="D276" s="175"/>
      <c r="E276" s="175"/>
    </row>
    <row r="277" spans="1:5" ht="12.65" customHeight="1" x14ac:dyDescent="0.35">
      <c r="A277" s="173" t="s">
        <v>381</v>
      </c>
      <c r="B277" s="175"/>
      <c r="C277" s="191"/>
      <c r="D277" s="175">
        <f>D275-C276</f>
        <v>10257596.309999999</v>
      </c>
      <c r="E277" s="175"/>
    </row>
    <row r="278" spans="1:5" ht="12.65" customHeight="1" x14ac:dyDescent="0.35">
      <c r="A278" s="258" t="s">
        <v>382</v>
      </c>
      <c r="B278" s="258"/>
      <c r="C278" s="258"/>
      <c r="D278" s="258"/>
      <c r="E278" s="258"/>
    </row>
    <row r="279" spans="1:5" ht="12.65" customHeight="1" x14ac:dyDescent="0.35">
      <c r="A279" s="173" t="s">
        <v>383</v>
      </c>
      <c r="B279" s="172" t="s">
        <v>256</v>
      </c>
      <c r="C279" s="189"/>
      <c r="D279" s="175"/>
      <c r="E279" s="175"/>
    </row>
    <row r="280" spans="1:5" ht="12.65" customHeight="1" x14ac:dyDescent="0.35">
      <c r="A280" s="173" t="s">
        <v>384</v>
      </c>
      <c r="B280" s="172" t="s">
        <v>256</v>
      </c>
      <c r="C280" s="189"/>
      <c r="D280" s="175"/>
      <c r="E280" s="175"/>
    </row>
    <row r="281" spans="1:5" ht="12.65" customHeight="1" x14ac:dyDescent="0.35">
      <c r="A281" s="173" t="s">
        <v>385</v>
      </c>
      <c r="B281" s="172" t="s">
        <v>256</v>
      </c>
      <c r="C281" s="189"/>
      <c r="D281" s="175"/>
      <c r="E281" s="175"/>
    </row>
    <row r="282" spans="1:5" ht="12.65" customHeight="1" x14ac:dyDescent="0.35">
      <c r="A282" s="173" t="s">
        <v>373</v>
      </c>
      <c r="B282" s="172" t="s">
        <v>256</v>
      </c>
      <c r="C282" s="189"/>
      <c r="D282" s="175"/>
      <c r="E282" s="175"/>
    </row>
    <row r="283" spans="1:5" ht="12.65" customHeight="1" x14ac:dyDescent="0.35">
      <c r="A283" s="173" t="s">
        <v>386</v>
      </c>
      <c r="B283" s="175"/>
      <c r="C283" s="191"/>
      <c r="D283" s="175">
        <f>C279-C280+C281+C282</f>
        <v>0</v>
      </c>
      <c r="E283" s="175"/>
    </row>
    <row r="284" spans="1:5" ht="12.65" customHeight="1" x14ac:dyDescent="0.35">
      <c r="A284" s="173"/>
      <c r="B284" s="175"/>
      <c r="C284" s="191"/>
      <c r="D284" s="175"/>
      <c r="E284" s="175"/>
    </row>
    <row r="285" spans="1:5" ht="12.65" customHeight="1" x14ac:dyDescent="0.35">
      <c r="A285" s="258" t="s">
        <v>387</v>
      </c>
      <c r="B285" s="258"/>
      <c r="C285" s="258"/>
      <c r="D285" s="258"/>
      <c r="E285" s="258"/>
    </row>
    <row r="286" spans="1:5" ht="12.65" customHeight="1" x14ac:dyDescent="0.35">
      <c r="A286" s="173" t="s">
        <v>388</v>
      </c>
      <c r="B286" s="172" t="s">
        <v>256</v>
      </c>
      <c r="C286" s="189"/>
      <c r="D286" s="175"/>
      <c r="E286" s="175"/>
    </row>
    <row r="287" spans="1:5" ht="12.65" customHeight="1" x14ac:dyDescent="0.35">
      <c r="A287" s="173" t="s">
        <v>389</v>
      </c>
      <c r="B287" s="172" t="s">
        <v>256</v>
      </c>
      <c r="C287" s="189"/>
      <c r="D287" s="175"/>
      <c r="E287" s="175"/>
    </row>
    <row r="288" spans="1:5" ht="12.65" customHeight="1" x14ac:dyDescent="0.35">
      <c r="A288" s="173" t="s">
        <v>390</v>
      </c>
      <c r="B288" s="172" t="s">
        <v>256</v>
      </c>
      <c r="C288" s="189"/>
      <c r="D288" s="175"/>
      <c r="E288" s="175"/>
    </row>
    <row r="289" spans="1:5" ht="12.65" customHeight="1" x14ac:dyDescent="0.35">
      <c r="A289" s="173" t="s">
        <v>391</v>
      </c>
      <c r="B289" s="172" t="s">
        <v>256</v>
      </c>
      <c r="C289" s="189"/>
      <c r="D289" s="175"/>
      <c r="E289" s="175"/>
    </row>
    <row r="290" spans="1:5" ht="12.65" customHeight="1" x14ac:dyDescent="0.3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5" customHeight="1" x14ac:dyDescent="0.35">
      <c r="A291" s="173"/>
      <c r="B291" s="175"/>
      <c r="C291" s="191"/>
      <c r="D291" s="175"/>
      <c r="E291" s="175"/>
    </row>
    <row r="292" spans="1:5" ht="12.65" customHeight="1" x14ac:dyDescent="0.35">
      <c r="A292" s="173" t="s">
        <v>393</v>
      </c>
      <c r="B292" s="175"/>
      <c r="C292" s="191"/>
      <c r="D292" s="175">
        <f>D260+D265+D277+D283+D290</f>
        <v>30974446.139999997</v>
      </c>
      <c r="E292" s="175"/>
    </row>
    <row r="293" spans="1:5" ht="12.65" customHeight="1" x14ac:dyDescent="0.35">
      <c r="A293" s="173"/>
      <c r="B293" s="173"/>
      <c r="C293" s="191"/>
      <c r="D293" s="175"/>
      <c r="E293" s="175"/>
    </row>
    <row r="294" spans="1:5" ht="12.65" customHeight="1" x14ac:dyDescent="0.35">
      <c r="A294" s="173"/>
      <c r="B294" s="173"/>
      <c r="C294" s="191"/>
      <c r="D294" s="175"/>
      <c r="E294" s="175"/>
    </row>
    <row r="295" spans="1:5" ht="12.65" customHeight="1" x14ac:dyDescent="0.35">
      <c r="A295" s="173"/>
      <c r="B295" s="173"/>
      <c r="C295" s="191"/>
      <c r="D295" s="175"/>
      <c r="E295" s="175"/>
    </row>
    <row r="296" spans="1:5" ht="12.65" customHeight="1" x14ac:dyDescent="0.35">
      <c r="A296" s="173"/>
      <c r="B296" s="173"/>
      <c r="C296" s="191"/>
      <c r="D296" s="175"/>
      <c r="E296" s="175"/>
    </row>
    <row r="297" spans="1:5" ht="12.65" customHeight="1" x14ac:dyDescent="0.35">
      <c r="A297" s="173"/>
      <c r="B297" s="173"/>
      <c r="C297" s="191"/>
      <c r="D297" s="175"/>
      <c r="E297" s="175"/>
    </row>
    <row r="298" spans="1:5" ht="12.65" customHeight="1" x14ac:dyDescent="0.35">
      <c r="A298" s="173"/>
      <c r="B298" s="173"/>
      <c r="C298" s="191"/>
      <c r="D298" s="175"/>
      <c r="E298" s="175"/>
    </row>
    <row r="299" spans="1:5" ht="12.65" customHeight="1" x14ac:dyDescent="0.35">
      <c r="A299" s="173"/>
      <c r="B299" s="173"/>
      <c r="C299" s="191"/>
      <c r="D299" s="175"/>
      <c r="E299" s="175"/>
    </row>
    <row r="300" spans="1:5" ht="12.65" customHeight="1" x14ac:dyDescent="0.35">
      <c r="A300" s="173"/>
      <c r="B300" s="173"/>
      <c r="C300" s="191"/>
      <c r="D300" s="175"/>
      <c r="E300" s="175"/>
    </row>
    <row r="301" spans="1:5" ht="20.25" customHeight="1" x14ac:dyDescent="0.35">
      <c r="A301" s="173"/>
      <c r="B301" s="173"/>
      <c r="C301" s="191"/>
      <c r="D301" s="175"/>
      <c r="E301" s="175"/>
    </row>
    <row r="302" spans="1:5" ht="12.65" customHeight="1" x14ac:dyDescent="0.35">
      <c r="A302" s="208" t="s">
        <v>394</v>
      </c>
      <c r="B302" s="208"/>
      <c r="C302" s="208"/>
      <c r="D302" s="208"/>
      <c r="E302" s="208"/>
    </row>
    <row r="303" spans="1:5" ht="14.25" customHeight="1" x14ac:dyDescent="0.35">
      <c r="A303" s="258" t="s">
        <v>395</v>
      </c>
      <c r="B303" s="258"/>
      <c r="C303" s="258"/>
      <c r="D303" s="258"/>
      <c r="E303" s="258"/>
    </row>
    <row r="304" spans="1:5" ht="12.65" customHeight="1" x14ac:dyDescent="0.35">
      <c r="A304" s="173" t="s">
        <v>396</v>
      </c>
      <c r="B304" s="172" t="s">
        <v>256</v>
      </c>
      <c r="C304" s="189">
        <v>2911051.96</v>
      </c>
      <c r="D304" s="175"/>
      <c r="E304" s="175"/>
    </row>
    <row r="305" spans="1:5" ht="12.65" customHeight="1" x14ac:dyDescent="0.35">
      <c r="A305" s="173" t="s">
        <v>397</v>
      </c>
      <c r="B305" s="172" t="s">
        <v>256</v>
      </c>
      <c r="C305" s="189">
        <v>1065299.48</v>
      </c>
      <c r="D305" s="175"/>
      <c r="E305" s="175"/>
    </row>
    <row r="306" spans="1:5" ht="12.65" customHeight="1" x14ac:dyDescent="0.35">
      <c r="A306" s="173" t="s">
        <v>398</v>
      </c>
      <c r="B306" s="172" t="s">
        <v>256</v>
      </c>
      <c r="C306" s="189">
        <f>370190.54+40293.3+1030462.84</f>
        <v>1440946.68</v>
      </c>
      <c r="D306" s="175"/>
      <c r="E306" s="175"/>
    </row>
    <row r="307" spans="1:5" ht="12.65" customHeight="1" x14ac:dyDescent="0.35">
      <c r="A307" s="173" t="s">
        <v>399</v>
      </c>
      <c r="B307" s="172" t="s">
        <v>256</v>
      </c>
      <c r="C307" s="189">
        <v>13799.47</v>
      </c>
      <c r="D307" s="175"/>
      <c r="E307" s="175"/>
    </row>
    <row r="308" spans="1:5" ht="12.65" customHeight="1" x14ac:dyDescent="0.35">
      <c r="A308" s="173" t="s">
        <v>400</v>
      </c>
      <c r="B308" s="172" t="s">
        <v>256</v>
      </c>
      <c r="C308" s="189"/>
      <c r="D308" s="175"/>
      <c r="E308" s="175"/>
    </row>
    <row r="309" spans="1:5" ht="12.65" customHeight="1" x14ac:dyDescent="0.35">
      <c r="A309" s="173" t="s">
        <v>1241</v>
      </c>
      <c r="B309" s="172" t="s">
        <v>256</v>
      </c>
      <c r="C309" s="189">
        <v>5681602.2199999997</v>
      </c>
      <c r="D309" s="175"/>
      <c r="E309" s="175"/>
    </row>
    <row r="310" spans="1:5" ht="12.65" customHeight="1" x14ac:dyDescent="0.35">
      <c r="A310" s="173" t="s">
        <v>401</v>
      </c>
      <c r="B310" s="172" t="s">
        <v>256</v>
      </c>
      <c r="C310" s="189"/>
      <c r="D310" s="175"/>
      <c r="E310" s="175"/>
    </row>
    <row r="311" spans="1:5" ht="12.65" customHeight="1" x14ac:dyDescent="0.35">
      <c r="A311" s="173" t="s">
        <v>402</v>
      </c>
      <c r="B311" s="172" t="s">
        <v>256</v>
      </c>
      <c r="C311" s="189">
        <v>665772.38</v>
      </c>
      <c r="D311" s="175"/>
      <c r="E311" s="175"/>
    </row>
    <row r="312" spans="1:5" ht="12.65" customHeight="1" x14ac:dyDescent="0.35">
      <c r="A312" s="173" t="s">
        <v>403</v>
      </c>
      <c r="B312" s="172" t="s">
        <v>256</v>
      </c>
      <c r="C312" s="189">
        <v>552428.47</v>
      </c>
      <c r="D312" s="175"/>
      <c r="E312" s="175"/>
    </row>
    <row r="313" spans="1:5" ht="12.65" customHeight="1" x14ac:dyDescent="0.35">
      <c r="A313" s="173" t="s">
        <v>404</v>
      </c>
      <c r="B313" s="172" t="s">
        <v>256</v>
      </c>
      <c r="C313" s="189">
        <f>114388.27+460092.62</f>
        <v>574480.89</v>
      </c>
      <c r="D313" s="175"/>
      <c r="E313" s="175"/>
    </row>
    <row r="314" spans="1:5" ht="12.65" customHeight="1" x14ac:dyDescent="0.35">
      <c r="A314" s="173" t="s">
        <v>405</v>
      </c>
      <c r="B314" s="175"/>
      <c r="C314" s="191"/>
      <c r="D314" s="175">
        <f>SUM(C304:C313)</f>
        <v>12905381.550000001</v>
      </c>
      <c r="E314" s="175"/>
    </row>
    <row r="315" spans="1:5" ht="12.65" customHeight="1" x14ac:dyDescent="0.35">
      <c r="A315" s="258" t="s">
        <v>406</v>
      </c>
      <c r="B315" s="258"/>
      <c r="C315" s="258"/>
      <c r="D315" s="258"/>
      <c r="E315" s="258"/>
    </row>
    <row r="316" spans="1:5" ht="12.65" customHeight="1" x14ac:dyDescent="0.35">
      <c r="A316" s="173" t="s">
        <v>407</v>
      </c>
      <c r="B316" s="172" t="s">
        <v>256</v>
      </c>
      <c r="C316" s="189"/>
      <c r="D316" s="175"/>
      <c r="E316" s="175"/>
    </row>
    <row r="317" spans="1:5" ht="12.65" customHeight="1" x14ac:dyDescent="0.35">
      <c r="A317" s="173" t="s">
        <v>408</v>
      </c>
      <c r="B317" s="172" t="s">
        <v>256</v>
      </c>
      <c r="C317" s="189"/>
      <c r="D317" s="175"/>
      <c r="E317" s="175"/>
    </row>
    <row r="318" spans="1:5" ht="12.65" customHeight="1" x14ac:dyDescent="0.35">
      <c r="A318" s="173" t="s">
        <v>409</v>
      </c>
      <c r="B318" s="172" t="s">
        <v>256</v>
      </c>
      <c r="C318" s="189"/>
      <c r="D318" s="175"/>
      <c r="E318" s="175"/>
    </row>
    <row r="319" spans="1:5" ht="12.65" customHeight="1" x14ac:dyDescent="0.3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5" customHeight="1" x14ac:dyDescent="0.35">
      <c r="A320" s="258" t="s">
        <v>411</v>
      </c>
      <c r="B320" s="258"/>
      <c r="C320" s="258"/>
      <c r="D320" s="258"/>
      <c r="E320" s="258"/>
    </row>
    <row r="321" spans="1:5" ht="12.65" customHeight="1" x14ac:dyDescent="0.35">
      <c r="A321" s="173" t="s">
        <v>412</v>
      </c>
      <c r="B321" s="172" t="s">
        <v>256</v>
      </c>
      <c r="C321" s="189"/>
      <c r="D321" s="175"/>
      <c r="E321" s="175"/>
    </row>
    <row r="322" spans="1:5" ht="12.65" customHeight="1" x14ac:dyDescent="0.35">
      <c r="A322" s="173" t="s">
        <v>413</v>
      </c>
      <c r="B322" s="172" t="s">
        <v>256</v>
      </c>
      <c r="C322" s="189"/>
      <c r="D322" s="175"/>
      <c r="E322" s="175"/>
    </row>
    <row r="323" spans="1:5" ht="12.65" customHeight="1" x14ac:dyDescent="0.35">
      <c r="A323" s="173" t="s">
        <v>414</v>
      </c>
      <c r="B323" s="172" t="s">
        <v>256</v>
      </c>
      <c r="C323" s="189"/>
      <c r="D323" s="175"/>
      <c r="E323" s="175"/>
    </row>
    <row r="324" spans="1:5" ht="12.65" customHeight="1" x14ac:dyDescent="0.35">
      <c r="A324" s="171" t="s">
        <v>415</v>
      </c>
      <c r="B324" s="172" t="s">
        <v>256</v>
      </c>
      <c r="C324" s="189"/>
      <c r="D324" s="175"/>
      <c r="E324" s="175"/>
    </row>
    <row r="325" spans="1:5" ht="12.65" customHeight="1" x14ac:dyDescent="0.35">
      <c r="A325" s="173" t="s">
        <v>416</v>
      </c>
      <c r="B325" s="172" t="s">
        <v>256</v>
      </c>
      <c r="C325" s="189">
        <v>4550767.93</v>
      </c>
      <c r="D325" s="175"/>
      <c r="E325" s="175"/>
    </row>
    <row r="326" spans="1:5" ht="12.65" customHeight="1" x14ac:dyDescent="0.35">
      <c r="A326" s="171" t="s">
        <v>417</v>
      </c>
      <c r="B326" s="172" t="s">
        <v>256</v>
      </c>
      <c r="C326" s="189"/>
      <c r="D326" s="175"/>
      <c r="E326" s="175"/>
    </row>
    <row r="327" spans="1:5" ht="12.65" customHeight="1" x14ac:dyDescent="0.35">
      <c r="A327" s="173" t="s">
        <v>418</v>
      </c>
      <c r="B327" s="172" t="s">
        <v>256</v>
      </c>
      <c r="C327" s="189">
        <v>189181.3</v>
      </c>
      <c r="D327" s="175"/>
      <c r="E327" s="175"/>
    </row>
    <row r="328" spans="1:5" ht="19.5" customHeight="1" x14ac:dyDescent="0.35">
      <c r="A328" s="173" t="s">
        <v>203</v>
      </c>
      <c r="B328" s="175"/>
      <c r="C328" s="191"/>
      <c r="D328" s="175">
        <f>SUM(C321:C327)</f>
        <v>4739949.2299999995</v>
      </c>
      <c r="E328" s="175"/>
    </row>
    <row r="329" spans="1:5" ht="12.65" customHeight="1" x14ac:dyDescent="0.35">
      <c r="A329" s="173" t="s">
        <v>419</v>
      </c>
      <c r="B329" s="175"/>
      <c r="C329" s="191"/>
      <c r="D329" s="175">
        <f>C313</f>
        <v>574480.89</v>
      </c>
      <c r="E329" s="175"/>
    </row>
    <row r="330" spans="1:5" ht="12.65" customHeight="1" x14ac:dyDescent="0.35">
      <c r="A330" s="173" t="s">
        <v>420</v>
      </c>
      <c r="B330" s="175"/>
      <c r="C330" s="191"/>
      <c r="D330" s="175">
        <f>D328-D329</f>
        <v>4165468.3399999994</v>
      </c>
      <c r="E330" s="175"/>
    </row>
    <row r="331" spans="1:5" ht="12.65" customHeight="1" x14ac:dyDescent="0.35">
      <c r="A331" s="173"/>
      <c r="B331" s="175"/>
      <c r="C331" s="191"/>
      <c r="D331" s="175"/>
      <c r="E331" s="175"/>
    </row>
    <row r="332" spans="1:5" ht="12.65" customHeight="1" x14ac:dyDescent="0.35">
      <c r="A332" s="173" t="s">
        <v>421</v>
      </c>
      <c r="B332" s="172" t="s">
        <v>256</v>
      </c>
      <c r="C332" s="222">
        <v>9426490</v>
      </c>
      <c r="D332" s="175"/>
      <c r="E332" s="175"/>
    </row>
    <row r="333" spans="1:5" ht="12.65" customHeight="1" x14ac:dyDescent="0.35">
      <c r="A333" s="173"/>
      <c r="B333" s="172"/>
      <c r="C333" s="232"/>
      <c r="D333" s="175"/>
      <c r="E333" s="175"/>
    </row>
    <row r="334" spans="1:5" ht="12.65" customHeight="1" x14ac:dyDescent="0.35">
      <c r="A334" s="173" t="s">
        <v>1142</v>
      </c>
      <c r="B334" s="172" t="s">
        <v>256</v>
      </c>
      <c r="C334" s="222"/>
      <c r="D334" s="175"/>
      <c r="E334" s="175"/>
    </row>
    <row r="335" spans="1:5" ht="12.65" customHeight="1" x14ac:dyDescent="0.35">
      <c r="A335" s="173" t="s">
        <v>1143</v>
      </c>
      <c r="B335" s="172" t="s">
        <v>256</v>
      </c>
      <c r="C335" s="222"/>
      <c r="D335" s="175"/>
      <c r="E335" s="175"/>
    </row>
    <row r="336" spans="1:5" ht="12.65" customHeight="1" x14ac:dyDescent="0.35">
      <c r="A336" s="173" t="s">
        <v>423</v>
      </c>
      <c r="B336" s="172" t="s">
        <v>256</v>
      </c>
      <c r="C336" s="222"/>
      <c r="D336" s="175"/>
      <c r="E336" s="175"/>
    </row>
    <row r="337" spans="1:5" ht="12.65" customHeight="1" x14ac:dyDescent="0.35">
      <c r="A337" s="173" t="s">
        <v>422</v>
      </c>
      <c r="B337" s="172" t="s">
        <v>256</v>
      </c>
      <c r="C337" s="189">
        <v>3913666.28</v>
      </c>
      <c r="D337" s="175"/>
      <c r="E337" s="175"/>
    </row>
    <row r="338" spans="1:5" ht="12.65" customHeight="1" x14ac:dyDescent="0.35">
      <c r="A338" s="173" t="s">
        <v>1252</v>
      </c>
      <c r="B338" s="172" t="s">
        <v>256</v>
      </c>
      <c r="C338" s="189"/>
      <c r="D338" s="175"/>
      <c r="E338" s="175"/>
    </row>
    <row r="339" spans="1:5" ht="12.65" customHeight="1" x14ac:dyDescent="0.35">
      <c r="A339" s="173" t="s">
        <v>424</v>
      </c>
      <c r="B339" s="175"/>
      <c r="C339" s="191"/>
      <c r="D339" s="175">
        <f>D314+D319+D330+C332+C336+C337</f>
        <v>30411006.170000002</v>
      </c>
      <c r="E339" s="175"/>
    </row>
    <row r="340" spans="1:5" ht="12.65" customHeight="1" x14ac:dyDescent="0.35">
      <c r="A340" s="173"/>
      <c r="B340" s="175"/>
      <c r="C340" s="191"/>
      <c r="D340" s="175"/>
      <c r="E340" s="175"/>
    </row>
    <row r="341" spans="1:5" ht="12.65" customHeight="1" x14ac:dyDescent="0.35">
      <c r="A341" s="173" t="s">
        <v>425</v>
      </c>
      <c r="B341" s="175"/>
      <c r="C341" s="191"/>
      <c r="D341" s="175">
        <f>D292</f>
        <v>30974446.139999997</v>
      </c>
      <c r="E341" s="175"/>
    </row>
    <row r="342" spans="1:5" ht="12.65" customHeight="1" x14ac:dyDescent="0.35">
      <c r="A342" s="173"/>
      <c r="B342" s="173"/>
      <c r="C342" s="191"/>
      <c r="D342" s="175"/>
      <c r="E342" s="175"/>
    </row>
    <row r="343" spans="1:5" ht="12.65" customHeight="1" x14ac:dyDescent="0.35">
      <c r="A343" s="173"/>
      <c r="B343" s="173"/>
      <c r="C343" s="191"/>
      <c r="D343" s="175"/>
      <c r="E343" s="175"/>
    </row>
    <row r="344" spans="1:5" ht="12.65" customHeight="1" x14ac:dyDescent="0.35">
      <c r="A344" s="173"/>
      <c r="B344" s="173"/>
      <c r="C344" s="191"/>
      <c r="D344" s="175"/>
      <c r="E344" s="175"/>
    </row>
    <row r="345" spans="1:5" ht="12.65" customHeight="1" x14ac:dyDescent="0.35">
      <c r="A345" s="173"/>
      <c r="B345" s="173"/>
      <c r="C345" s="191"/>
      <c r="D345" s="175"/>
      <c r="E345" s="175"/>
    </row>
    <row r="346" spans="1:5" ht="12.65" customHeight="1" x14ac:dyDescent="0.35">
      <c r="A346" s="173"/>
      <c r="B346" s="173"/>
      <c r="C346" s="191"/>
      <c r="D346" s="175"/>
      <c r="E346" s="175"/>
    </row>
    <row r="347" spans="1:5" ht="12.65" customHeight="1" x14ac:dyDescent="0.35">
      <c r="A347" s="173"/>
      <c r="B347" s="173"/>
      <c r="C347" s="191"/>
      <c r="D347" s="175"/>
      <c r="E347" s="175"/>
    </row>
    <row r="348" spans="1:5" ht="12.65" customHeight="1" x14ac:dyDescent="0.35">
      <c r="A348" s="173"/>
      <c r="B348" s="173"/>
      <c r="C348" s="191"/>
      <c r="D348" s="175"/>
      <c r="E348" s="175"/>
    </row>
    <row r="349" spans="1:5" ht="12.65" customHeight="1" x14ac:dyDescent="0.35">
      <c r="A349" s="173"/>
      <c r="B349" s="173"/>
      <c r="C349" s="191"/>
      <c r="D349" s="175"/>
      <c r="E349" s="175"/>
    </row>
    <row r="350" spans="1:5" ht="12.65" customHeight="1" x14ac:dyDescent="0.35">
      <c r="A350" s="173"/>
      <c r="B350" s="173"/>
      <c r="C350" s="191"/>
      <c r="D350" s="175"/>
      <c r="E350" s="175"/>
    </row>
    <row r="351" spans="1:5" ht="12.65" customHeight="1" x14ac:dyDescent="0.35">
      <c r="A351" s="173"/>
      <c r="B351" s="173"/>
      <c r="C351" s="191"/>
      <c r="D351" s="175"/>
      <c r="E351" s="175"/>
    </row>
    <row r="352" spans="1:5" ht="12.65" customHeight="1" x14ac:dyDescent="0.35">
      <c r="A352" s="173"/>
      <c r="B352" s="173"/>
      <c r="C352" s="191"/>
      <c r="D352" s="175"/>
      <c r="E352" s="175"/>
    </row>
    <row r="353" spans="1:5" ht="12.65" customHeight="1" x14ac:dyDescent="0.35">
      <c r="A353" s="173"/>
      <c r="B353" s="173"/>
      <c r="C353" s="191"/>
      <c r="D353" s="175"/>
      <c r="E353" s="175"/>
    </row>
    <row r="354" spans="1:5" ht="12.65" customHeight="1" x14ac:dyDescent="0.35">
      <c r="A354" s="173"/>
      <c r="B354" s="173"/>
      <c r="C354" s="191"/>
      <c r="D354" s="175"/>
      <c r="E354" s="175"/>
    </row>
    <row r="355" spans="1:5" ht="12.65" customHeight="1" x14ac:dyDescent="0.35">
      <c r="A355" s="173"/>
      <c r="B355" s="173"/>
      <c r="C355" s="191"/>
      <c r="D355" s="175"/>
      <c r="E355" s="175"/>
    </row>
    <row r="356" spans="1:5" ht="20.25" customHeight="1" x14ac:dyDescent="0.35">
      <c r="A356" s="173"/>
      <c r="B356" s="173"/>
      <c r="C356" s="191"/>
      <c r="D356" s="175"/>
      <c r="E356" s="175"/>
    </row>
    <row r="357" spans="1:5" ht="12.65" customHeight="1" x14ac:dyDescent="0.35">
      <c r="A357" s="208" t="s">
        <v>426</v>
      </c>
      <c r="B357" s="208"/>
      <c r="C357" s="208"/>
      <c r="D357" s="208"/>
      <c r="E357" s="208"/>
    </row>
    <row r="358" spans="1:5" ht="12.65" customHeight="1" x14ac:dyDescent="0.35">
      <c r="A358" s="258" t="s">
        <v>427</v>
      </c>
      <c r="B358" s="258"/>
      <c r="C358" s="258"/>
      <c r="D358" s="258"/>
      <c r="E358" s="258"/>
    </row>
    <row r="359" spans="1:5" ht="12.65" customHeight="1" x14ac:dyDescent="0.35">
      <c r="A359" s="173" t="s">
        <v>428</v>
      </c>
      <c r="B359" s="172" t="s">
        <v>256</v>
      </c>
      <c r="C359" s="189">
        <f>3083739.93+338847</f>
        <v>3422586.93</v>
      </c>
      <c r="D359" s="175"/>
      <c r="E359" s="175"/>
    </row>
    <row r="360" spans="1:5" ht="12.65" customHeight="1" x14ac:dyDescent="0.35">
      <c r="A360" s="173" t="s">
        <v>429</v>
      </c>
      <c r="B360" s="172" t="s">
        <v>256</v>
      </c>
      <c r="C360" s="189">
        <v>43297033</v>
      </c>
      <c r="D360" s="175"/>
      <c r="E360" s="175"/>
    </row>
    <row r="361" spans="1:5" ht="12.65" customHeight="1" x14ac:dyDescent="0.35">
      <c r="A361" s="173" t="s">
        <v>430</v>
      </c>
      <c r="B361" s="175"/>
      <c r="C361" s="191"/>
      <c r="D361" s="175">
        <f>SUM(C359:C360)</f>
        <v>46719619.93</v>
      </c>
      <c r="E361" s="175"/>
    </row>
    <row r="362" spans="1:5" ht="12.65" customHeight="1" x14ac:dyDescent="0.35">
      <c r="A362" s="258" t="s">
        <v>431</v>
      </c>
      <c r="B362" s="258"/>
      <c r="C362" s="258"/>
      <c r="D362" s="258"/>
      <c r="E362" s="258"/>
    </row>
    <row r="363" spans="1:5" ht="12.65" customHeight="1" x14ac:dyDescent="0.35">
      <c r="A363" s="173" t="s">
        <v>1254</v>
      </c>
      <c r="B363" s="258"/>
      <c r="C363" s="189">
        <v>1466324.23</v>
      </c>
      <c r="D363" s="175"/>
      <c r="E363" s="258"/>
    </row>
    <row r="364" spans="1:5" ht="12.65" customHeight="1" x14ac:dyDescent="0.35">
      <c r="A364" s="173" t="s">
        <v>432</v>
      </c>
      <c r="B364" s="172" t="s">
        <v>256</v>
      </c>
      <c r="C364" s="189">
        <v>19736503.43</v>
      </c>
      <c r="D364" s="175"/>
      <c r="E364" s="175"/>
    </row>
    <row r="365" spans="1:5" ht="12.65" customHeight="1" x14ac:dyDescent="0.35">
      <c r="A365" s="173" t="s">
        <v>433</v>
      </c>
      <c r="B365" s="172" t="s">
        <v>256</v>
      </c>
      <c r="C365" s="189">
        <v>400922</v>
      </c>
      <c r="D365" s="175"/>
      <c r="E365" s="175"/>
    </row>
    <row r="366" spans="1:5" ht="12.65" customHeight="1" x14ac:dyDescent="0.35">
      <c r="A366" s="173" t="s">
        <v>434</v>
      </c>
      <c r="B366" s="172" t="s">
        <v>256</v>
      </c>
      <c r="C366" s="189">
        <v>-142624</v>
      </c>
      <c r="D366" s="175"/>
      <c r="E366" s="175"/>
    </row>
    <row r="367" spans="1:5" ht="12.65" customHeight="1" x14ac:dyDescent="0.35">
      <c r="A367" s="173" t="s">
        <v>359</v>
      </c>
      <c r="B367" s="175"/>
      <c r="C367" s="191"/>
      <c r="D367" s="175">
        <f>SUM(C363:C366)</f>
        <v>21461125.66</v>
      </c>
      <c r="E367" s="175"/>
    </row>
    <row r="368" spans="1:5" ht="12.65" customHeight="1" x14ac:dyDescent="0.35">
      <c r="A368" s="173" t="s">
        <v>435</v>
      </c>
      <c r="B368" s="175"/>
      <c r="C368" s="191"/>
      <c r="D368" s="175">
        <f>D361-D367</f>
        <v>25258494.27</v>
      </c>
      <c r="E368" s="175"/>
    </row>
    <row r="369" spans="1:5" ht="12.65" customHeight="1" x14ac:dyDescent="0.35">
      <c r="A369" s="258" t="s">
        <v>436</v>
      </c>
      <c r="B369" s="258"/>
      <c r="C369" s="258"/>
      <c r="D369" s="258"/>
      <c r="E369" s="258"/>
    </row>
    <row r="370" spans="1:5" ht="12.65" customHeight="1" x14ac:dyDescent="0.35">
      <c r="A370" s="173" t="s">
        <v>437</v>
      </c>
      <c r="B370" s="172" t="s">
        <v>256</v>
      </c>
      <c r="C370" s="189"/>
      <c r="D370" s="175"/>
      <c r="E370" s="175"/>
    </row>
    <row r="371" spans="1:5" ht="12.65" customHeight="1" x14ac:dyDescent="0.35">
      <c r="A371" s="173" t="s">
        <v>438</v>
      </c>
      <c r="B371" s="172" t="s">
        <v>256</v>
      </c>
      <c r="C371" s="189"/>
      <c r="D371" s="175"/>
      <c r="E371" s="175"/>
    </row>
    <row r="372" spans="1:5" ht="12.65" customHeight="1" x14ac:dyDescent="0.35">
      <c r="A372" s="173" t="s">
        <v>439</v>
      </c>
      <c r="B372" s="175"/>
      <c r="C372" s="191"/>
      <c r="D372" s="175">
        <f>SUM(C370:C371)</f>
        <v>0</v>
      </c>
      <c r="E372" s="175"/>
    </row>
    <row r="373" spans="1:5" ht="12.65" customHeight="1" x14ac:dyDescent="0.35">
      <c r="A373" s="173" t="s">
        <v>440</v>
      </c>
      <c r="B373" s="175"/>
      <c r="C373" s="191"/>
      <c r="D373" s="175">
        <f>D368+D372</f>
        <v>25258494.27</v>
      </c>
      <c r="E373" s="175"/>
    </row>
    <row r="374" spans="1:5" ht="12.65" customHeight="1" x14ac:dyDescent="0.35">
      <c r="A374" s="173"/>
      <c r="B374" s="175"/>
      <c r="C374" s="191"/>
      <c r="D374" s="175"/>
      <c r="E374" s="175"/>
    </row>
    <row r="375" spans="1:5" ht="12.65" customHeight="1" x14ac:dyDescent="0.35">
      <c r="A375" s="173"/>
      <c r="B375" s="175"/>
      <c r="C375" s="191"/>
      <c r="D375" s="175"/>
      <c r="E375" s="175"/>
    </row>
    <row r="376" spans="1:5" ht="12.65" customHeight="1" x14ac:dyDescent="0.35">
      <c r="A376" s="173"/>
      <c r="B376" s="175"/>
      <c r="C376" s="191"/>
      <c r="D376" s="175"/>
      <c r="E376" s="175"/>
    </row>
    <row r="377" spans="1:5" ht="12.65" customHeight="1" x14ac:dyDescent="0.35">
      <c r="A377" s="258" t="s">
        <v>441</v>
      </c>
      <c r="B377" s="258"/>
      <c r="C377" s="258"/>
      <c r="D377" s="258"/>
      <c r="E377" s="258"/>
    </row>
    <row r="378" spans="1:5" ht="12.65" customHeight="1" x14ac:dyDescent="0.35">
      <c r="A378" s="173" t="s">
        <v>442</v>
      </c>
      <c r="B378" s="172" t="s">
        <v>256</v>
      </c>
      <c r="C378" s="189">
        <v>14293531.720000001</v>
      </c>
      <c r="D378" s="175"/>
      <c r="E378" s="175"/>
    </row>
    <row r="379" spans="1:5" ht="12.65" customHeight="1" x14ac:dyDescent="0.35">
      <c r="A379" s="173" t="s">
        <v>3</v>
      </c>
      <c r="B379" s="172" t="s">
        <v>256</v>
      </c>
      <c r="C379" s="189">
        <v>3021740.06</v>
      </c>
      <c r="D379" s="175"/>
      <c r="E379" s="175"/>
    </row>
    <row r="380" spans="1:5" ht="12.65" customHeight="1" x14ac:dyDescent="0.35">
      <c r="A380" s="173" t="s">
        <v>236</v>
      </c>
      <c r="B380" s="172" t="s">
        <v>256</v>
      </c>
      <c r="C380" s="189">
        <v>2990765</v>
      </c>
      <c r="D380" s="175"/>
      <c r="E380" s="175"/>
    </row>
    <row r="381" spans="1:5" ht="12.65" customHeight="1" x14ac:dyDescent="0.35">
      <c r="A381" s="173" t="s">
        <v>443</v>
      </c>
      <c r="B381" s="172" t="s">
        <v>256</v>
      </c>
      <c r="C381" s="189">
        <v>2631968.4700000002</v>
      </c>
      <c r="D381" s="175"/>
      <c r="E381" s="175"/>
    </row>
    <row r="382" spans="1:5" ht="12.65" customHeight="1" x14ac:dyDescent="0.35">
      <c r="A382" s="173" t="s">
        <v>444</v>
      </c>
      <c r="B382" s="172" t="s">
        <v>256</v>
      </c>
      <c r="C382" s="189">
        <v>267414.14</v>
      </c>
      <c r="D382" s="175"/>
      <c r="E382" s="175"/>
    </row>
    <row r="383" spans="1:5" ht="12.65" customHeight="1" x14ac:dyDescent="0.35">
      <c r="A383" s="173" t="s">
        <v>445</v>
      </c>
      <c r="B383" s="172" t="s">
        <v>256</v>
      </c>
      <c r="C383" s="189">
        <v>2693618.12</v>
      </c>
      <c r="D383" s="175"/>
      <c r="E383" s="175"/>
    </row>
    <row r="384" spans="1:5" ht="12.65" customHeight="1" x14ac:dyDescent="0.35">
      <c r="A384" s="173" t="s">
        <v>6</v>
      </c>
      <c r="B384" s="172" t="s">
        <v>256</v>
      </c>
      <c r="C384" s="189">
        <v>1288739</v>
      </c>
      <c r="D384" s="175"/>
      <c r="E384" s="175"/>
    </row>
    <row r="385" spans="1:6" ht="12.65" customHeight="1" x14ac:dyDescent="0.35">
      <c r="A385" s="173" t="s">
        <v>446</v>
      </c>
      <c r="B385" s="172" t="s">
        <v>256</v>
      </c>
      <c r="C385" s="189">
        <v>416376.77</v>
      </c>
      <c r="D385" s="175"/>
      <c r="E385" s="175"/>
    </row>
    <row r="386" spans="1:6" ht="12.65" customHeight="1" x14ac:dyDescent="0.35">
      <c r="A386" s="173" t="s">
        <v>447</v>
      </c>
      <c r="B386" s="172" t="s">
        <v>256</v>
      </c>
      <c r="C386" s="189">
        <v>187927.36</v>
      </c>
      <c r="D386" s="175"/>
      <c r="E386" s="175"/>
    </row>
    <row r="387" spans="1:6" ht="12.65" customHeight="1" x14ac:dyDescent="0.35">
      <c r="A387" s="173" t="s">
        <v>448</v>
      </c>
      <c r="B387" s="172" t="s">
        <v>256</v>
      </c>
      <c r="C387" s="189">
        <f>C183</f>
        <v>25805.46</v>
      </c>
      <c r="D387" s="175"/>
      <c r="E387" s="175"/>
    </row>
    <row r="388" spans="1:6" ht="12.65" customHeight="1" x14ac:dyDescent="0.35">
      <c r="A388" s="173" t="s">
        <v>449</v>
      </c>
      <c r="B388" s="172" t="s">
        <v>256</v>
      </c>
      <c r="C388" s="189">
        <f>C188</f>
        <v>224242.38</v>
      </c>
      <c r="D388" s="175"/>
      <c r="E388" s="175"/>
    </row>
    <row r="389" spans="1:6" ht="12.65" customHeight="1" x14ac:dyDescent="0.35">
      <c r="A389" s="173" t="s">
        <v>451</v>
      </c>
      <c r="B389" s="172" t="s">
        <v>256</v>
      </c>
      <c r="C389" s="189">
        <f>78888.39+683679.88-25805</f>
        <v>736763.27</v>
      </c>
      <c r="D389" s="175"/>
      <c r="E389" s="175"/>
    </row>
    <row r="390" spans="1:6" ht="12.65" customHeight="1" x14ac:dyDescent="0.35">
      <c r="A390" s="173" t="s">
        <v>452</v>
      </c>
      <c r="B390" s="175"/>
      <c r="C390" s="191"/>
      <c r="D390" s="175">
        <f>SUM(C378:C389)</f>
        <v>28778891.75</v>
      </c>
      <c r="E390" s="175"/>
    </row>
    <row r="391" spans="1:6" ht="12.65" customHeight="1" x14ac:dyDescent="0.35">
      <c r="A391" s="173" t="s">
        <v>453</v>
      </c>
      <c r="B391" s="175"/>
      <c r="C391" s="191"/>
      <c r="D391" s="175">
        <f>D373-D390</f>
        <v>-3520397.4800000004</v>
      </c>
      <c r="E391" s="175"/>
    </row>
    <row r="392" spans="1:6" ht="12.65" customHeight="1" x14ac:dyDescent="0.35">
      <c r="A392" s="173" t="s">
        <v>454</v>
      </c>
      <c r="B392" s="172" t="s">
        <v>256</v>
      </c>
      <c r="C392" s="189">
        <v>7434063</v>
      </c>
      <c r="D392" s="175"/>
      <c r="E392" s="175"/>
    </row>
    <row r="393" spans="1:6" ht="12.65" customHeight="1" x14ac:dyDescent="0.35">
      <c r="A393" s="173" t="s">
        <v>455</v>
      </c>
      <c r="B393" s="175"/>
      <c r="C393" s="191"/>
      <c r="D393" s="195">
        <f>D391+C392</f>
        <v>3913665.5199999996</v>
      </c>
      <c r="E393" s="175"/>
      <c r="F393" s="197"/>
    </row>
    <row r="394" spans="1:6" ht="12.65" customHeight="1" x14ac:dyDescent="0.35">
      <c r="A394" s="173" t="s">
        <v>456</v>
      </c>
      <c r="B394" s="172" t="s">
        <v>256</v>
      </c>
      <c r="C394" s="189"/>
      <c r="D394" s="175"/>
      <c r="E394" s="175"/>
    </row>
    <row r="395" spans="1:6" ht="12.65" customHeight="1" x14ac:dyDescent="0.35">
      <c r="A395" s="173" t="s">
        <v>457</v>
      </c>
      <c r="B395" s="172" t="s">
        <v>256</v>
      </c>
      <c r="C395" s="189"/>
      <c r="D395" s="175"/>
      <c r="E395" s="175"/>
    </row>
    <row r="396" spans="1:6" ht="12.65" customHeight="1" x14ac:dyDescent="0.35">
      <c r="A396" s="173" t="s">
        <v>458</v>
      </c>
      <c r="B396" s="175"/>
      <c r="C396" s="191"/>
      <c r="D396" s="175">
        <f>D393+C394-C395</f>
        <v>3913665.5199999996</v>
      </c>
      <c r="E396" s="175"/>
    </row>
    <row r="397" spans="1:6" ht="13.5" customHeight="1" x14ac:dyDescent="0.35">
      <c r="A397" s="179"/>
      <c r="B397" s="179"/>
    </row>
    <row r="398" spans="1:6" ht="12.65" customHeight="1" x14ac:dyDescent="0.35">
      <c r="A398" s="179"/>
      <c r="B398" s="179"/>
    </row>
    <row r="399" spans="1:6" ht="12.65" customHeight="1" x14ac:dyDescent="0.35">
      <c r="A399" s="179"/>
      <c r="B399" s="179"/>
    </row>
    <row r="400" spans="1:6" ht="12" customHeight="1" x14ac:dyDescent="0.35">
      <c r="A400" s="179"/>
      <c r="B400" s="179"/>
    </row>
    <row r="401" spans="1:5" ht="12" customHeight="1" x14ac:dyDescent="0.35">
      <c r="A401" s="179"/>
      <c r="B401" s="179"/>
    </row>
    <row r="402" spans="1:5" ht="12" customHeight="1" x14ac:dyDescent="0.35">
      <c r="A402" s="179"/>
      <c r="B402" s="179"/>
    </row>
    <row r="403" spans="1:5" ht="12" customHeight="1" x14ac:dyDescent="0.35">
      <c r="A403" s="179"/>
      <c r="B403" s="179"/>
    </row>
    <row r="404" spans="1:5" ht="12" customHeight="1" x14ac:dyDescent="0.35">
      <c r="A404" s="179"/>
      <c r="B404" s="179"/>
    </row>
    <row r="405" spans="1:5" ht="12.65" customHeight="1" x14ac:dyDescent="0.35">
      <c r="A405" s="179"/>
      <c r="B405" s="179"/>
    </row>
    <row r="406" spans="1:5" ht="12.65" customHeight="1" x14ac:dyDescent="0.35">
      <c r="A406" s="179"/>
      <c r="B406" s="179"/>
    </row>
    <row r="407" spans="1:5" ht="12.65" customHeight="1" x14ac:dyDescent="0.35">
      <c r="A407" s="179"/>
      <c r="B407" s="179"/>
    </row>
    <row r="408" spans="1:5" ht="12.65" customHeight="1" x14ac:dyDescent="0.35">
      <c r="A408" s="179"/>
      <c r="B408" s="179"/>
    </row>
    <row r="409" spans="1:5" ht="12.65" customHeight="1" x14ac:dyDescent="0.35">
      <c r="A409" s="179"/>
      <c r="B409" s="179"/>
    </row>
    <row r="410" spans="1:5" ht="12.65" customHeight="1" x14ac:dyDescent="0.35">
      <c r="A410" s="179"/>
      <c r="B410" s="179"/>
    </row>
    <row r="411" spans="1:5" ht="12.65" customHeight="1" x14ac:dyDescent="0.35">
      <c r="A411" s="179"/>
      <c r="B411" s="179"/>
      <c r="C411" s="181" t="s">
        <v>459</v>
      </c>
      <c r="D411" s="179"/>
      <c r="E411" s="261"/>
    </row>
    <row r="412" spans="1:5" ht="12.65" customHeight="1" x14ac:dyDescent="0.35">
      <c r="A412" s="179" t="str">
        <f>C84&amp;"   "&amp;"H-"&amp;FIXED(C83,0,TRUE)&amp;"     FYE "&amp;C82</f>
        <v>Klickitat County Public Hospital District #1   H-0     FYE 12/31/2020</v>
      </c>
      <c r="B412" s="179"/>
      <c r="C412" s="179"/>
      <c r="D412" s="179"/>
      <c r="E412" s="261"/>
    </row>
    <row r="413" spans="1:5" ht="12.65" customHeight="1" x14ac:dyDescent="0.35">
      <c r="A413" s="179" t="s">
        <v>460</v>
      </c>
      <c r="B413" s="181" t="s">
        <v>461</v>
      </c>
      <c r="C413" s="181" t="s">
        <v>1242</v>
      </c>
      <c r="D413" s="181" t="s">
        <v>462</v>
      </c>
    </row>
    <row r="414" spans="1:5" ht="12.65" customHeight="1" x14ac:dyDescent="0.35">
      <c r="A414" s="179" t="s">
        <v>463</v>
      </c>
      <c r="B414" s="179">
        <f>C111</f>
        <v>153</v>
      </c>
      <c r="C414" s="194">
        <f>E138</f>
        <v>153</v>
      </c>
      <c r="D414" s="179"/>
    </row>
    <row r="415" spans="1:5" ht="12.65" customHeight="1" x14ac:dyDescent="0.35">
      <c r="A415" s="179" t="s">
        <v>464</v>
      </c>
      <c r="B415" s="179">
        <f>D111</f>
        <v>526</v>
      </c>
      <c r="C415" s="179">
        <f>E139</f>
        <v>526</v>
      </c>
      <c r="D415" s="194">
        <f>SUM(C59:H59)+N59</f>
        <v>2609</v>
      </c>
    </row>
    <row r="416" spans="1:5" ht="12.65" customHeight="1" x14ac:dyDescent="0.35">
      <c r="A416" s="179"/>
      <c r="B416" s="179"/>
      <c r="C416" s="194"/>
      <c r="D416" s="179"/>
    </row>
    <row r="417" spans="1:7" ht="12.65" customHeight="1" x14ac:dyDescent="0.35">
      <c r="A417" s="179" t="s">
        <v>465</v>
      </c>
      <c r="B417" s="179">
        <f>C112</f>
        <v>62</v>
      </c>
      <c r="C417" s="194">
        <f>E144</f>
        <v>62</v>
      </c>
      <c r="D417" s="179"/>
    </row>
    <row r="418" spans="1:7" ht="12.65" customHeight="1" x14ac:dyDescent="0.35">
      <c r="A418" s="179" t="s">
        <v>466</v>
      </c>
      <c r="B418" s="179">
        <f>D112</f>
        <v>770</v>
      </c>
      <c r="C418" s="179">
        <f>E145</f>
        <v>770</v>
      </c>
      <c r="D418" s="179">
        <f>K59+L59</f>
        <v>0</v>
      </c>
    </row>
    <row r="419" spans="1:7" ht="12.65" customHeight="1" x14ac:dyDescent="0.35">
      <c r="A419" s="179"/>
      <c r="B419" s="179"/>
      <c r="C419" s="194"/>
      <c r="D419" s="179"/>
    </row>
    <row r="420" spans="1:7" ht="12.65" customHeight="1" x14ac:dyDescent="0.3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 x14ac:dyDescent="0.35">
      <c r="A422" s="206"/>
      <c r="B422" s="206"/>
      <c r="C422" s="181"/>
      <c r="D422" s="179"/>
    </row>
    <row r="423" spans="1:7" ht="12.65" customHeight="1" x14ac:dyDescent="0.35">
      <c r="A423" s="180" t="s">
        <v>469</v>
      </c>
      <c r="B423" s="180">
        <f>C114</f>
        <v>0</v>
      </c>
    </row>
    <row r="424" spans="1:7" ht="12.65" customHeight="1" x14ac:dyDescent="0.35">
      <c r="A424" s="179" t="s">
        <v>1243</v>
      </c>
      <c r="B424" s="179">
        <f>D114</f>
        <v>0</v>
      </c>
      <c r="D424" s="179">
        <f>J59</f>
        <v>0</v>
      </c>
    </row>
    <row r="425" spans="1:7" ht="12.65" customHeight="1" x14ac:dyDescent="0.35">
      <c r="A425" s="206"/>
      <c r="B425" s="206"/>
      <c r="C425" s="206"/>
      <c r="D425" s="206"/>
      <c r="F425" s="206"/>
      <c r="G425" s="206"/>
    </row>
    <row r="426" spans="1:7" ht="12.65" customHeight="1" x14ac:dyDescent="0.3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5">
      <c r="A427" s="179" t="s">
        <v>473</v>
      </c>
      <c r="B427" s="179">
        <f t="shared" ref="B427:B437" si="13">C378</f>
        <v>14293531.720000001</v>
      </c>
      <c r="C427" s="179">
        <f t="shared" ref="C427:C434" si="14">CE61</f>
        <v>14293531.710000003</v>
      </c>
      <c r="D427" s="179"/>
    </row>
    <row r="428" spans="1:7" ht="12.65" customHeight="1" x14ac:dyDescent="0.35">
      <c r="A428" s="179" t="s">
        <v>3</v>
      </c>
      <c r="B428" s="179">
        <f t="shared" si="13"/>
        <v>3021740.06</v>
      </c>
      <c r="C428" s="179">
        <f t="shared" si="14"/>
        <v>3021740</v>
      </c>
      <c r="D428" s="179">
        <f>D173</f>
        <v>3021740.06</v>
      </c>
    </row>
    <row r="429" spans="1:7" ht="12.65" customHeight="1" x14ac:dyDescent="0.35">
      <c r="A429" s="179" t="s">
        <v>236</v>
      </c>
      <c r="B429" s="179">
        <f t="shared" si="13"/>
        <v>2990765</v>
      </c>
      <c r="C429" s="179">
        <f t="shared" si="14"/>
        <v>2990765.48</v>
      </c>
      <c r="D429" s="179"/>
    </row>
    <row r="430" spans="1:7" ht="12.65" customHeight="1" x14ac:dyDescent="0.35">
      <c r="A430" s="179" t="s">
        <v>237</v>
      </c>
      <c r="B430" s="179">
        <f t="shared" si="13"/>
        <v>2631968.4700000002</v>
      </c>
      <c r="C430" s="179">
        <f t="shared" si="14"/>
        <v>2631970.0000000009</v>
      </c>
      <c r="D430" s="179"/>
    </row>
    <row r="431" spans="1:7" ht="12.65" customHeight="1" x14ac:dyDescent="0.35">
      <c r="A431" s="179" t="s">
        <v>444</v>
      </c>
      <c r="B431" s="179">
        <f t="shared" si="13"/>
        <v>267414.14</v>
      </c>
      <c r="C431" s="179">
        <f t="shared" si="14"/>
        <v>267414.14</v>
      </c>
      <c r="D431" s="179"/>
    </row>
    <row r="432" spans="1:7" ht="12.65" customHeight="1" x14ac:dyDescent="0.35">
      <c r="A432" s="179" t="s">
        <v>445</v>
      </c>
      <c r="B432" s="179">
        <f t="shared" si="13"/>
        <v>2693618.12</v>
      </c>
      <c r="C432" s="179">
        <f t="shared" si="14"/>
        <v>2693618.1399999997</v>
      </c>
      <c r="D432" s="179"/>
    </row>
    <row r="433" spans="1:7" ht="12.65" customHeight="1" x14ac:dyDescent="0.35">
      <c r="A433" s="179" t="s">
        <v>6</v>
      </c>
      <c r="B433" s="179">
        <f t="shared" si="13"/>
        <v>1288739</v>
      </c>
      <c r="C433" s="179">
        <f t="shared" si="14"/>
        <v>1288740</v>
      </c>
      <c r="D433" s="179">
        <f>C217</f>
        <v>1297601.5</v>
      </c>
    </row>
    <row r="434" spans="1:7" ht="12.65" customHeight="1" x14ac:dyDescent="0.35">
      <c r="A434" s="179" t="s">
        <v>474</v>
      </c>
      <c r="B434" s="179">
        <f t="shared" si="13"/>
        <v>416376.77</v>
      </c>
      <c r="C434" s="179">
        <f t="shared" si="14"/>
        <v>416376.77</v>
      </c>
      <c r="D434" s="179">
        <f>D177</f>
        <v>416376.77</v>
      </c>
    </row>
    <row r="435" spans="1:7" ht="12.65" customHeight="1" x14ac:dyDescent="0.35">
      <c r="A435" s="179" t="s">
        <v>447</v>
      </c>
      <c r="B435" s="179">
        <f t="shared" si="13"/>
        <v>187927.36</v>
      </c>
      <c r="C435" s="179"/>
      <c r="D435" s="179">
        <f>D181</f>
        <v>187927.36</v>
      </c>
    </row>
    <row r="436" spans="1:7" ht="12.65" customHeight="1" x14ac:dyDescent="0.35">
      <c r="A436" s="179" t="s">
        <v>475</v>
      </c>
      <c r="B436" s="179">
        <f t="shared" si="13"/>
        <v>25805.46</v>
      </c>
      <c r="C436" s="179"/>
      <c r="D436" s="179">
        <f>D186</f>
        <v>25805.46</v>
      </c>
    </row>
    <row r="437" spans="1:7" ht="12.65" customHeight="1" x14ac:dyDescent="0.35">
      <c r="A437" s="194" t="s">
        <v>449</v>
      </c>
      <c r="B437" s="194">
        <f t="shared" si="13"/>
        <v>224242.38</v>
      </c>
      <c r="C437" s="194"/>
      <c r="D437" s="194">
        <f>D190</f>
        <v>224242.38</v>
      </c>
    </row>
    <row r="438" spans="1:7" ht="12.65" customHeight="1" x14ac:dyDescent="0.35">
      <c r="A438" s="194" t="s">
        <v>476</v>
      </c>
      <c r="B438" s="194">
        <f>C386+C387+C388</f>
        <v>437975.19999999995</v>
      </c>
      <c r="C438" s="194">
        <f>CD69</f>
        <v>0</v>
      </c>
      <c r="D438" s="194">
        <f>D181+D186+D190</f>
        <v>437975.19999999995</v>
      </c>
    </row>
    <row r="439" spans="1:7" ht="12.65" customHeight="1" x14ac:dyDescent="0.35">
      <c r="A439" s="179" t="s">
        <v>451</v>
      </c>
      <c r="B439" s="194">
        <f>C389</f>
        <v>736763.27</v>
      </c>
      <c r="C439" s="194">
        <f>SUM(C69:CC69)</f>
        <v>1174738.3999999999</v>
      </c>
      <c r="D439" s="179"/>
    </row>
    <row r="440" spans="1:7" ht="12.65" customHeight="1" x14ac:dyDescent="0.35">
      <c r="A440" s="179" t="s">
        <v>477</v>
      </c>
      <c r="B440" s="194">
        <f>B438+B439</f>
        <v>1174738.47</v>
      </c>
      <c r="C440" s="194">
        <f>CE69</f>
        <v>1174738.3999999999</v>
      </c>
      <c r="D440" s="179"/>
    </row>
    <row r="441" spans="1:7" ht="12.65" customHeight="1" x14ac:dyDescent="0.35">
      <c r="A441" s="179" t="s">
        <v>478</v>
      </c>
      <c r="B441" s="179">
        <f>D390</f>
        <v>28778891.75</v>
      </c>
      <c r="C441" s="179">
        <f>SUM(C427:C437)+C440</f>
        <v>28778894.640000001</v>
      </c>
      <c r="D441" s="179"/>
    </row>
    <row r="442" spans="1:7" ht="12.65" customHeight="1" x14ac:dyDescent="0.35">
      <c r="A442" s="206"/>
      <c r="B442" s="206"/>
      <c r="C442" s="206"/>
      <c r="D442" s="206"/>
      <c r="F442" s="206"/>
      <c r="G442" s="206"/>
    </row>
    <row r="443" spans="1:7" ht="12.65" customHeight="1" x14ac:dyDescent="0.35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5">
      <c r="A444" s="179" t="s">
        <v>1256</v>
      </c>
      <c r="B444" s="179">
        <f>D221</f>
        <v>1466324.23</v>
      </c>
      <c r="C444" s="179">
        <f>C363</f>
        <v>1466324.23</v>
      </c>
      <c r="D444" s="179"/>
    </row>
    <row r="445" spans="1:7" ht="12.65" customHeight="1" x14ac:dyDescent="0.35">
      <c r="A445" s="179" t="s">
        <v>343</v>
      </c>
      <c r="B445" s="179">
        <f>D229</f>
        <v>18656236.379999999</v>
      </c>
      <c r="C445" s="179">
        <f>C364</f>
        <v>19736503.43</v>
      </c>
      <c r="D445" s="179"/>
    </row>
    <row r="446" spans="1:7" ht="12.65" customHeight="1" x14ac:dyDescent="0.35">
      <c r="A446" s="179" t="s">
        <v>351</v>
      </c>
      <c r="B446" s="179">
        <f>D236</f>
        <v>400922.4</v>
      </c>
      <c r="C446" s="179">
        <f>C365</f>
        <v>400922</v>
      </c>
      <c r="D446" s="179"/>
    </row>
    <row r="447" spans="1:7" ht="12.65" customHeight="1" x14ac:dyDescent="0.35">
      <c r="A447" s="179" t="s">
        <v>356</v>
      </c>
      <c r="B447" s="179">
        <f>D240</f>
        <v>937643.05</v>
      </c>
      <c r="C447" s="179">
        <f>C366</f>
        <v>-142624</v>
      </c>
      <c r="D447" s="179"/>
    </row>
    <row r="448" spans="1:7" ht="12.65" customHeight="1" x14ac:dyDescent="0.35">
      <c r="A448" s="179" t="s">
        <v>358</v>
      </c>
      <c r="B448" s="179">
        <f>D242</f>
        <v>21461126.059999999</v>
      </c>
      <c r="C448" s="179">
        <f>D367</f>
        <v>21461125.66</v>
      </c>
      <c r="D448" s="179"/>
    </row>
    <row r="449" spans="1:7" ht="12.65" customHeight="1" x14ac:dyDescent="0.35">
      <c r="A449" s="206"/>
      <c r="B449" s="206"/>
      <c r="C449" s="206"/>
      <c r="D449" s="206"/>
      <c r="F449" s="206"/>
      <c r="G449" s="206"/>
    </row>
    <row r="450" spans="1:7" ht="12.65" customHeight="1" x14ac:dyDescent="0.3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 x14ac:dyDescent="0.35">
      <c r="B451" s="181" t="s">
        <v>483</v>
      </c>
    </row>
    <row r="452" spans="1:7" ht="12.65" customHeight="1" x14ac:dyDescent="0.35">
      <c r="B452" s="181" t="s">
        <v>472</v>
      </c>
    </row>
    <row r="453" spans="1:7" ht="12.65" customHeight="1" x14ac:dyDescent="0.35">
      <c r="A453" s="199" t="s">
        <v>484</v>
      </c>
      <c r="B453" s="180">
        <f>C231</f>
        <v>0</v>
      </c>
    </row>
    <row r="454" spans="1:7" ht="12.65" customHeight="1" x14ac:dyDescent="0.35">
      <c r="A454" s="179" t="s">
        <v>168</v>
      </c>
      <c r="B454" s="179">
        <f>C233</f>
        <v>0</v>
      </c>
      <c r="C454" s="179"/>
      <c r="D454" s="179"/>
    </row>
    <row r="455" spans="1:7" ht="12.65" customHeight="1" x14ac:dyDescent="0.35">
      <c r="A455" s="179" t="s">
        <v>131</v>
      </c>
      <c r="B455" s="179">
        <f>C234</f>
        <v>400922.4</v>
      </c>
      <c r="C455" s="179"/>
      <c r="D455" s="179"/>
    </row>
    <row r="456" spans="1:7" ht="12.65" customHeight="1" x14ac:dyDescent="0.35">
      <c r="A456" s="206"/>
      <c r="B456" s="206"/>
      <c r="C456" s="206"/>
      <c r="D456" s="206"/>
      <c r="F456" s="206"/>
      <c r="G456" s="206"/>
    </row>
    <row r="457" spans="1:7" ht="12.65" customHeight="1" x14ac:dyDescent="0.35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5">
      <c r="A458" s="179" t="s">
        <v>487</v>
      </c>
      <c r="B458" s="194">
        <f>C370</f>
        <v>0</v>
      </c>
      <c r="C458" s="194">
        <f>CE70</f>
        <v>0</v>
      </c>
      <c r="D458" s="194"/>
    </row>
    <row r="459" spans="1:7" ht="12.65" customHeight="1" x14ac:dyDescent="0.3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5" customHeight="1" x14ac:dyDescent="0.35">
      <c r="A460" s="206"/>
      <c r="B460" s="206"/>
      <c r="C460" s="206"/>
      <c r="D460" s="206"/>
      <c r="F460" s="206"/>
      <c r="G460" s="206"/>
    </row>
    <row r="461" spans="1:7" ht="12.65" customHeight="1" x14ac:dyDescent="0.35">
      <c r="A461" s="179" t="s">
        <v>488</v>
      </c>
      <c r="B461" s="181"/>
      <c r="C461" s="181"/>
      <c r="D461" s="181" t="s">
        <v>1244</v>
      </c>
    </row>
    <row r="462" spans="1:7" ht="12.65" customHeight="1" x14ac:dyDescent="0.35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5">
      <c r="A463" s="179" t="s">
        <v>245</v>
      </c>
      <c r="B463" s="194">
        <f>C359</f>
        <v>3422586.93</v>
      </c>
      <c r="C463" s="194">
        <f>CE73</f>
        <v>3422586.93</v>
      </c>
      <c r="D463" s="194">
        <f>E141+E147+E153</f>
        <v>3636920.6</v>
      </c>
    </row>
    <row r="464" spans="1:7" ht="12.65" customHeight="1" x14ac:dyDescent="0.35">
      <c r="A464" s="179" t="s">
        <v>246</v>
      </c>
      <c r="B464" s="194">
        <f>C360</f>
        <v>43297033</v>
      </c>
      <c r="C464" s="194">
        <f>CE74</f>
        <v>43297033.289999999</v>
      </c>
      <c r="D464" s="194">
        <f>E142+E148+E154</f>
        <v>41722921.950000003</v>
      </c>
    </row>
    <row r="465" spans="1:7" ht="12.65" customHeight="1" x14ac:dyDescent="0.35">
      <c r="A465" s="179" t="s">
        <v>247</v>
      </c>
      <c r="B465" s="194">
        <f>D361</f>
        <v>46719619.93</v>
      </c>
      <c r="C465" s="194">
        <f>CE75</f>
        <v>46719620.219999999</v>
      </c>
      <c r="D465" s="194">
        <f>D463+D464</f>
        <v>45359842.550000004</v>
      </c>
    </row>
    <row r="466" spans="1:7" ht="12.65" customHeight="1" x14ac:dyDescent="0.35">
      <c r="A466" s="206"/>
      <c r="B466" s="206"/>
      <c r="C466" s="206"/>
      <c r="D466" s="206"/>
      <c r="F466" s="206"/>
      <c r="G466" s="206"/>
    </row>
    <row r="467" spans="1:7" ht="12.65" customHeight="1" x14ac:dyDescent="0.35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5">
      <c r="A468" s="179" t="s">
        <v>332</v>
      </c>
      <c r="B468" s="179">
        <f t="shared" ref="B468:B475" si="15">C267</f>
        <v>203706.33</v>
      </c>
      <c r="C468" s="179">
        <f>E195</f>
        <v>203706.33</v>
      </c>
      <c r="D468" s="179"/>
    </row>
    <row r="469" spans="1:7" ht="12.65" customHeight="1" x14ac:dyDescent="0.35">
      <c r="A469" s="179" t="s">
        <v>333</v>
      </c>
      <c r="B469" s="179">
        <f t="shared" si="15"/>
        <v>1771952.7799999998</v>
      </c>
      <c r="C469" s="179">
        <f>E196</f>
        <v>1771952.7799999998</v>
      </c>
      <c r="D469" s="179"/>
    </row>
    <row r="470" spans="1:7" ht="12.65" customHeight="1" x14ac:dyDescent="0.35">
      <c r="A470" s="179" t="s">
        <v>334</v>
      </c>
      <c r="B470" s="179">
        <f t="shared" si="15"/>
        <v>13657778.01</v>
      </c>
      <c r="C470" s="179">
        <f>E197</f>
        <v>13657778.01</v>
      </c>
      <c r="D470" s="179"/>
    </row>
    <row r="471" spans="1:7" ht="12.65" customHeight="1" x14ac:dyDescent="0.35">
      <c r="A471" s="179" t="s">
        <v>494</v>
      </c>
      <c r="B471" s="179">
        <f t="shared" si="15"/>
        <v>6932383.04</v>
      </c>
      <c r="C471" s="179">
        <f>E198</f>
        <v>6932383.04</v>
      </c>
      <c r="D471" s="179"/>
    </row>
    <row r="472" spans="1:7" ht="12.65" customHeight="1" x14ac:dyDescent="0.35">
      <c r="A472" s="179" t="s">
        <v>377</v>
      </c>
      <c r="B472" s="179">
        <f t="shared" si="15"/>
        <v>362010.22</v>
      </c>
      <c r="C472" s="179">
        <f>E199</f>
        <v>362010.22</v>
      </c>
      <c r="D472" s="179"/>
    </row>
    <row r="473" spans="1:7" ht="12.65" customHeight="1" x14ac:dyDescent="0.35">
      <c r="A473" s="179" t="s">
        <v>495</v>
      </c>
      <c r="B473" s="179">
        <f t="shared" si="15"/>
        <v>7184358.4299999997</v>
      </c>
      <c r="C473" s="179">
        <f>SUM(E200:E201)</f>
        <v>7184358.4299999997</v>
      </c>
      <c r="D473" s="179"/>
    </row>
    <row r="474" spans="1:7" ht="12.65" customHeight="1" x14ac:dyDescent="0.35">
      <c r="A474" s="179" t="s">
        <v>339</v>
      </c>
      <c r="B474" s="179">
        <f t="shared" si="15"/>
        <v>0</v>
      </c>
      <c r="C474" s="179">
        <f>E202</f>
        <v>0</v>
      </c>
      <c r="D474" s="179"/>
    </row>
    <row r="475" spans="1:7" ht="12.65" customHeight="1" x14ac:dyDescent="0.35">
      <c r="A475" s="179" t="s">
        <v>340</v>
      </c>
      <c r="B475" s="179">
        <f t="shared" si="15"/>
        <v>335642.50000000012</v>
      </c>
      <c r="C475" s="179">
        <f>E203</f>
        <v>335642.50000000012</v>
      </c>
      <c r="D475" s="179"/>
    </row>
    <row r="476" spans="1:7" ht="12.65" customHeight="1" x14ac:dyDescent="0.35">
      <c r="A476" s="179" t="s">
        <v>203</v>
      </c>
      <c r="B476" s="179">
        <f>D275</f>
        <v>30447831.309999999</v>
      </c>
      <c r="C476" s="179">
        <f>E204</f>
        <v>30447831.309999999</v>
      </c>
      <c r="D476" s="179"/>
    </row>
    <row r="477" spans="1:7" ht="12.65" customHeight="1" x14ac:dyDescent="0.35">
      <c r="A477" s="179"/>
      <c r="B477" s="179"/>
      <c r="C477" s="179"/>
      <c r="D477" s="179"/>
    </row>
    <row r="478" spans="1:7" ht="12.65" customHeight="1" x14ac:dyDescent="0.35">
      <c r="A478" s="179" t="s">
        <v>496</v>
      </c>
      <c r="B478" s="179">
        <f>C276</f>
        <v>20190235</v>
      </c>
      <c r="C478" s="179">
        <f>E217</f>
        <v>20190235.370000001</v>
      </c>
      <c r="D478" s="179"/>
    </row>
    <row r="480" spans="1:7" ht="12.65" customHeight="1" x14ac:dyDescent="0.35">
      <c r="A480" s="180" t="s">
        <v>497</v>
      </c>
    </row>
    <row r="481" spans="1:12" ht="12.65" customHeight="1" x14ac:dyDescent="0.35">
      <c r="A481" s="180" t="s">
        <v>498</v>
      </c>
      <c r="C481" s="180">
        <f>D341</f>
        <v>30974446.139999997</v>
      </c>
    </row>
    <row r="482" spans="1:12" ht="12.65" customHeight="1" x14ac:dyDescent="0.35">
      <c r="A482" s="180" t="s">
        <v>499</v>
      </c>
      <c r="C482" s="180">
        <f>D339</f>
        <v>30411006.170000002</v>
      </c>
    </row>
    <row r="485" spans="1:12" ht="12.65" customHeight="1" x14ac:dyDescent="0.35">
      <c r="A485" s="199" t="s">
        <v>500</v>
      </c>
    </row>
    <row r="486" spans="1:12" ht="12.65" customHeight="1" x14ac:dyDescent="0.35">
      <c r="A486" s="199" t="s">
        <v>501</v>
      </c>
    </row>
    <row r="487" spans="1:12" ht="12.65" customHeight="1" x14ac:dyDescent="0.35">
      <c r="A487" s="199" t="s">
        <v>502</v>
      </c>
    </row>
    <row r="488" spans="1:12" ht="12.65" customHeight="1" x14ac:dyDescent="0.35">
      <c r="A488" s="199"/>
    </row>
    <row r="489" spans="1:12" ht="12.65" customHeight="1" x14ac:dyDescent="0.35">
      <c r="A489" s="198" t="s">
        <v>503</v>
      </c>
    </row>
    <row r="490" spans="1:12" ht="12.65" customHeight="1" x14ac:dyDescent="0.35">
      <c r="A490" s="199" t="s">
        <v>504</v>
      </c>
    </row>
    <row r="491" spans="1:12" ht="12.65" customHeight="1" x14ac:dyDescent="0.35">
      <c r="A491" s="199"/>
    </row>
    <row r="493" spans="1:12" ht="12.65" customHeight="1" x14ac:dyDescent="0.35">
      <c r="A493" s="180" t="str">
        <f>C83</f>
        <v>008</v>
      </c>
      <c r="B493" s="262" t="str">
        <f>RIGHT('Prior Year'!C82,4)</f>
        <v>2019</v>
      </c>
      <c r="C493" s="262" t="str">
        <f>RIGHT(C82,4)</f>
        <v>2020</v>
      </c>
      <c r="D493" s="262" t="str">
        <f>RIGHT('Prior Year'!C82,4)</f>
        <v>2019</v>
      </c>
      <c r="E493" s="262" t="str">
        <f>RIGHT(C82,4)</f>
        <v>2020</v>
      </c>
      <c r="F493" s="262" t="str">
        <f>RIGHT('Prior Year'!C82,4)</f>
        <v>2019</v>
      </c>
      <c r="G493" s="262" t="str">
        <f>RIGHT(C82,4)</f>
        <v>2020</v>
      </c>
      <c r="H493" s="262"/>
      <c r="K493" s="262"/>
      <c r="L493" s="262"/>
    </row>
    <row r="494" spans="1:12" ht="12.65" customHeight="1" x14ac:dyDescent="0.35">
      <c r="A494" s="198"/>
      <c r="B494" s="181" t="s">
        <v>505</v>
      </c>
      <c r="C494" s="181" t="s">
        <v>505</v>
      </c>
      <c r="D494" s="263" t="s">
        <v>506</v>
      </c>
      <c r="E494" s="263" t="s">
        <v>506</v>
      </c>
      <c r="F494" s="262" t="s">
        <v>507</v>
      </c>
      <c r="G494" s="262" t="s">
        <v>507</v>
      </c>
      <c r="H494" s="262" t="s">
        <v>508</v>
      </c>
      <c r="K494" s="262"/>
      <c r="L494" s="262"/>
    </row>
    <row r="495" spans="1:12" ht="12.65" customHeight="1" x14ac:dyDescent="0.35">
      <c r="B495" s="181" t="s">
        <v>303</v>
      </c>
      <c r="C495" s="181" t="s">
        <v>303</v>
      </c>
      <c r="D495" s="181" t="s">
        <v>509</v>
      </c>
      <c r="E495" s="181" t="s">
        <v>509</v>
      </c>
      <c r="F495" s="262" t="s">
        <v>510</v>
      </c>
      <c r="G495" s="262" t="s">
        <v>510</v>
      </c>
      <c r="H495" s="262" t="s">
        <v>511</v>
      </c>
      <c r="K495" s="262"/>
      <c r="L495" s="262"/>
    </row>
    <row r="496" spans="1:12" ht="12.65" customHeight="1" x14ac:dyDescent="0.35">
      <c r="A496" s="180" t="s">
        <v>512</v>
      </c>
      <c r="B496" s="241">
        <f>'Prior Year'!C71</f>
        <v>0</v>
      </c>
      <c r="C496" s="241">
        <f>C71</f>
        <v>0</v>
      </c>
      <c r="D496" s="241">
        <f>'Prior Year'!C59</f>
        <v>0</v>
      </c>
      <c r="E496" s="180">
        <f>C59</f>
        <v>0</v>
      </c>
      <c r="F496" s="264" t="str">
        <f t="shared" ref="F496:G511" si="16">IF(B496=0,"",IF(D496=0,"",B496/D496))</f>
        <v/>
      </c>
      <c r="G496" s="265" t="str">
        <f t="shared" si="16"/>
        <v/>
      </c>
      <c r="H496" s="266" t="str">
        <f>IF(B496=0,"",IF(C496=0,"",IF(D496=0,"",IF(E496=0,"",IF(G496/F496-1&lt;-0.25,G496/F496-1,IF(G496/F496-1&gt;0.25,G496/F496-1,""))))))</f>
        <v/>
      </c>
      <c r="I496" s="268"/>
      <c r="K496" s="262"/>
      <c r="L496" s="262"/>
    </row>
    <row r="497" spans="1:12" ht="12.65" customHeight="1" x14ac:dyDescent="0.35">
      <c r="A497" s="180" t="s">
        <v>513</v>
      </c>
      <c r="B497" s="241">
        <f>'Prior Year'!D71</f>
        <v>0</v>
      </c>
      <c r="C497" s="241">
        <f>D71</f>
        <v>0</v>
      </c>
      <c r="D497" s="241">
        <f>'Prior Year'!D59</f>
        <v>0</v>
      </c>
      <c r="E497" s="180">
        <f>D59</f>
        <v>0</v>
      </c>
      <c r="F497" s="264" t="str">
        <f t="shared" si="16"/>
        <v/>
      </c>
      <c r="G497" s="264" t="str">
        <f t="shared" si="16"/>
        <v/>
      </c>
      <c r="H497" s="266" t="str">
        <f t="shared" ref="H497:H550" si="17">IF(B497=0,"",IF(C497=0,"",IF(D497=0,"",IF(E497=0,"",IF(G497/F497-1&lt;-0.25,G497/F497-1,IF(G497/F497-1&gt;0.25,G497/F497-1,""))))))</f>
        <v/>
      </c>
      <c r="I497" s="268"/>
      <c r="K497" s="262"/>
      <c r="L497" s="262"/>
    </row>
    <row r="498" spans="1:12" ht="12.65" customHeight="1" x14ac:dyDescent="0.35">
      <c r="A498" s="180" t="s">
        <v>514</v>
      </c>
      <c r="B498" s="241">
        <f>'Prior Year'!E71</f>
        <v>2870973</v>
      </c>
      <c r="C498" s="241">
        <f>E71</f>
        <v>2845351.9199999995</v>
      </c>
      <c r="D498" s="241">
        <f>'Prior Year'!E59</f>
        <v>0</v>
      </c>
      <c r="E498" s="180">
        <f>E59</f>
        <v>526</v>
      </c>
      <c r="F498" s="264" t="str">
        <f t="shared" si="16"/>
        <v/>
      </c>
      <c r="G498" s="264">
        <f t="shared" si="16"/>
        <v>5409.4142965779456</v>
      </c>
      <c r="H498" s="266" t="str">
        <f t="shared" si="17"/>
        <v/>
      </c>
      <c r="I498" s="268"/>
      <c r="K498" s="262"/>
      <c r="L498" s="262"/>
    </row>
    <row r="499" spans="1:12" ht="12.65" customHeight="1" x14ac:dyDescent="0.35">
      <c r="A499" s="180" t="s">
        <v>515</v>
      </c>
      <c r="B499" s="241">
        <f>'Prior Year'!F71</f>
        <v>0</v>
      </c>
      <c r="C499" s="241">
        <f>F71</f>
        <v>0</v>
      </c>
      <c r="D499" s="241">
        <f>'Prior Year'!F59</f>
        <v>0</v>
      </c>
      <c r="E499" s="180">
        <f>F59</f>
        <v>0</v>
      </c>
      <c r="F499" s="264" t="str">
        <f t="shared" si="16"/>
        <v/>
      </c>
      <c r="G499" s="264" t="str">
        <f t="shared" si="16"/>
        <v/>
      </c>
      <c r="H499" s="266" t="str">
        <f t="shared" si="17"/>
        <v/>
      </c>
      <c r="I499" s="268"/>
      <c r="K499" s="262"/>
      <c r="L499" s="262"/>
    </row>
    <row r="500" spans="1:12" ht="12.65" customHeight="1" x14ac:dyDescent="0.35">
      <c r="A500" s="180" t="s">
        <v>516</v>
      </c>
      <c r="B500" s="241">
        <f>'Prior Year'!G71</f>
        <v>0</v>
      </c>
      <c r="C500" s="241">
        <f>G71</f>
        <v>0</v>
      </c>
      <c r="D500" s="241">
        <f>'Prior Year'!G59</f>
        <v>0</v>
      </c>
      <c r="E500" s="180">
        <f>G59</f>
        <v>0</v>
      </c>
      <c r="F500" s="264" t="str">
        <f t="shared" si="16"/>
        <v/>
      </c>
      <c r="G500" s="264" t="str">
        <f t="shared" si="16"/>
        <v/>
      </c>
      <c r="H500" s="266" t="str">
        <f t="shared" si="17"/>
        <v/>
      </c>
      <c r="I500" s="268"/>
      <c r="K500" s="262"/>
      <c r="L500" s="262"/>
    </row>
    <row r="501" spans="1:12" ht="12.65" customHeight="1" x14ac:dyDescent="0.35">
      <c r="A501" s="180" t="s">
        <v>517</v>
      </c>
      <c r="B501" s="241">
        <f>'Prior Year'!H71</f>
        <v>0</v>
      </c>
      <c r="C501" s="241">
        <f>H71</f>
        <v>0</v>
      </c>
      <c r="D501" s="241">
        <f>'Prior Year'!H59</f>
        <v>0</v>
      </c>
      <c r="E501" s="180">
        <f>H59</f>
        <v>0</v>
      </c>
      <c r="F501" s="264" t="str">
        <f t="shared" si="16"/>
        <v/>
      </c>
      <c r="G501" s="264" t="str">
        <f t="shared" si="16"/>
        <v/>
      </c>
      <c r="H501" s="266" t="str">
        <f t="shared" si="17"/>
        <v/>
      </c>
      <c r="I501" s="268"/>
      <c r="K501" s="262"/>
      <c r="L501" s="262"/>
    </row>
    <row r="502" spans="1:12" ht="12.65" customHeight="1" x14ac:dyDescent="0.35">
      <c r="A502" s="180" t="s">
        <v>518</v>
      </c>
      <c r="B502" s="241">
        <f>'Prior Year'!I71</f>
        <v>0</v>
      </c>
      <c r="C502" s="241">
        <f>I71</f>
        <v>0</v>
      </c>
      <c r="D502" s="241">
        <f>'Prior Year'!I59</f>
        <v>0</v>
      </c>
      <c r="E502" s="180">
        <f>I59</f>
        <v>0</v>
      </c>
      <c r="F502" s="264" t="str">
        <f t="shared" si="16"/>
        <v/>
      </c>
      <c r="G502" s="264" t="str">
        <f t="shared" si="16"/>
        <v/>
      </c>
      <c r="H502" s="266" t="str">
        <f t="shared" si="17"/>
        <v/>
      </c>
      <c r="I502" s="268"/>
      <c r="K502" s="262"/>
      <c r="L502" s="262"/>
    </row>
    <row r="503" spans="1:12" ht="12.65" customHeight="1" x14ac:dyDescent="0.35">
      <c r="A503" s="180" t="s">
        <v>519</v>
      </c>
      <c r="B503" s="241">
        <f>'Prior Year'!J71</f>
        <v>0</v>
      </c>
      <c r="C503" s="241">
        <f>J71</f>
        <v>0</v>
      </c>
      <c r="D503" s="241">
        <f>'Prior Year'!J59</f>
        <v>0</v>
      </c>
      <c r="E503" s="180">
        <f>J59</f>
        <v>0</v>
      </c>
      <c r="F503" s="264" t="str">
        <f t="shared" si="16"/>
        <v/>
      </c>
      <c r="G503" s="264" t="str">
        <f t="shared" si="16"/>
        <v/>
      </c>
      <c r="H503" s="266" t="str">
        <f t="shared" si="17"/>
        <v/>
      </c>
      <c r="I503" s="268"/>
      <c r="K503" s="262"/>
      <c r="L503" s="262"/>
    </row>
    <row r="504" spans="1:12" ht="12.65" customHeight="1" x14ac:dyDescent="0.35">
      <c r="A504" s="180" t="s">
        <v>520</v>
      </c>
      <c r="B504" s="241">
        <f>'Prior Year'!K71</f>
        <v>0</v>
      </c>
      <c r="C504" s="241">
        <f>K71</f>
        <v>0</v>
      </c>
      <c r="D504" s="241">
        <f>'Prior Year'!K59</f>
        <v>0</v>
      </c>
      <c r="E504" s="180">
        <f>K59</f>
        <v>0</v>
      </c>
      <c r="F504" s="264" t="str">
        <f t="shared" si="16"/>
        <v/>
      </c>
      <c r="G504" s="264" t="str">
        <f t="shared" si="16"/>
        <v/>
      </c>
      <c r="H504" s="266" t="str">
        <f t="shared" si="17"/>
        <v/>
      </c>
      <c r="I504" s="268"/>
      <c r="K504" s="262"/>
      <c r="L504" s="262"/>
    </row>
    <row r="505" spans="1:12" ht="12.65" customHeight="1" x14ac:dyDescent="0.35">
      <c r="A505" s="180" t="s">
        <v>521</v>
      </c>
      <c r="B505" s="241">
        <f>'Prior Year'!L71</f>
        <v>0</v>
      </c>
      <c r="C505" s="241">
        <f>L71</f>
        <v>0</v>
      </c>
      <c r="D505" s="241">
        <f>'Prior Year'!L59</f>
        <v>0</v>
      </c>
      <c r="E505" s="180">
        <f>L59</f>
        <v>0</v>
      </c>
      <c r="F505" s="264" t="str">
        <f t="shared" si="16"/>
        <v/>
      </c>
      <c r="G505" s="264" t="str">
        <f t="shared" si="16"/>
        <v/>
      </c>
      <c r="H505" s="266" t="str">
        <f t="shared" si="17"/>
        <v/>
      </c>
      <c r="I505" s="268"/>
      <c r="K505" s="262"/>
      <c r="L505" s="262"/>
    </row>
    <row r="506" spans="1:12" ht="12.65" customHeight="1" x14ac:dyDescent="0.35">
      <c r="A506" s="180" t="s">
        <v>522</v>
      </c>
      <c r="B506" s="241">
        <f>'Prior Year'!M71</f>
        <v>397165.72200000007</v>
      </c>
      <c r="C506" s="241">
        <f>M71</f>
        <v>544368.03999999992</v>
      </c>
      <c r="D506" s="241">
        <f>'Prior Year'!M59</f>
        <v>0</v>
      </c>
      <c r="E506" s="180">
        <f>M59</f>
        <v>3895</v>
      </c>
      <c r="F506" s="264" t="str">
        <f t="shared" si="16"/>
        <v/>
      </c>
      <c r="G506" s="264">
        <f t="shared" si="16"/>
        <v>139.76072913992294</v>
      </c>
      <c r="H506" s="266" t="str">
        <f t="shared" si="17"/>
        <v/>
      </c>
      <c r="I506" s="268"/>
      <c r="K506" s="262"/>
      <c r="L506" s="262"/>
    </row>
    <row r="507" spans="1:12" ht="12.65" customHeight="1" x14ac:dyDescent="0.35">
      <c r="A507" s="180" t="s">
        <v>523</v>
      </c>
      <c r="B507" s="241">
        <f>'Prior Year'!N71</f>
        <v>295126.48</v>
      </c>
      <c r="C507" s="241">
        <f>N71</f>
        <v>335559.51999999996</v>
      </c>
      <c r="D507" s="241">
        <f>'Prior Year'!N59</f>
        <v>0</v>
      </c>
      <c r="E507" s="180">
        <f>N59</f>
        <v>2083</v>
      </c>
      <c r="F507" s="264" t="str">
        <f t="shared" si="16"/>
        <v/>
      </c>
      <c r="G507" s="264">
        <f t="shared" si="16"/>
        <v>161.09434469515119</v>
      </c>
      <c r="H507" s="266" t="str">
        <f t="shared" si="17"/>
        <v/>
      </c>
      <c r="I507" s="268"/>
      <c r="K507" s="262"/>
      <c r="L507" s="262"/>
    </row>
    <row r="508" spans="1:12" ht="12.65" customHeight="1" x14ac:dyDescent="0.35">
      <c r="A508" s="180" t="s">
        <v>524</v>
      </c>
      <c r="B508" s="241">
        <f>'Prior Year'!O71</f>
        <v>0</v>
      </c>
      <c r="C508" s="241">
        <f>O71</f>
        <v>0</v>
      </c>
      <c r="D508" s="241">
        <f>'Prior Year'!O59</f>
        <v>0</v>
      </c>
      <c r="E508" s="180">
        <f>O59</f>
        <v>0</v>
      </c>
      <c r="F508" s="264" t="str">
        <f t="shared" si="16"/>
        <v/>
      </c>
      <c r="G508" s="264" t="str">
        <f t="shared" si="16"/>
        <v/>
      </c>
      <c r="H508" s="266" t="str">
        <f t="shared" si="17"/>
        <v/>
      </c>
      <c r="I508" s="268"/>
      <c r="K508" s="262"/>
      <c r="L508" s="262"/>
    </row>
    <row r="509" spans="1:12" ht="12.65" customHeight="1" x14ac:dyDescent="0.35">
      <c r="A509" s="180" t="s">
        <v>525</v>
      </c>
      <c r="B509" s="241">
        <f>'Prior Year'!P71</f>
        <v>1583058.94</v>
      </c>
      <c r="C509" s="241">
        <f>P71</f>
        <v>1572299.72</v>
      </c>
      <c r="D509" s="241">
        <f>'Prior Year'!P59</f>
        <v>0</v>
      </c>
      <c r="E509" s="180">
        <f>P59</f>
        <v>2452</v>
      </c>
      <c r="F509" s="264" t="str">
        <f t="shared" si="16"/>
        <v/>
      </c>
      <c r="G509" s="264">
        <f t="shared" si="16"/>
        <v>641.23153344208811</v>
      </c>
      <c r="H509" s="266" t="str">
        <f t="shared" si="17"/>
        <v/>
      </c>
      <c r="I509" s="268"/>
      <c r="K509" s="262"/>
      <c r="L509" s="262"/>
    </row>
    <row r="510" spans="1:12" ht="12.65" customHeight="1" x14ac:dyDescent="0.35">
      <c r="A510" s="180" t="s">
        <v>526</v>
      </c>
      <c r="B510" s="241">
        <f>'Prior Year'!Q71</f>
        <v>0</v>
      </c>
      <c r="C510" s="241">
        <f>Q71</f>
        <v>0</v>
      </c>
      <c r="D510" s="241">
        <f>'Prior Year'!Q59</f>
        <v>0</v>
      </c>
      <c r="E510" s="180">
        <f>Q59</f>
        <v>0</v>
      </c>
      <c r="F510" s="264" t="str">
        <f t="shared" si="16"/>
        <v/>
      </c>
      <c r="G510" s="264" t="str">
        <f t="shared" si="16"/>
        <v/>
      </c>
      <c r="H510" s="266" t="str">
        <f t="shared" si="17"/>
        <v/>
      </c>
      <c r="I510" s="268"/>
      <c r="K510" s="262"/>
      <c r="L510" s="262"/>
    </row>
    <row r="511" spans="1:12" ht="12.65" customHeight="1" x14ac:dyDescent="0.35">
      <c r="A511" s="180" t="s">
        <v>527</v>
      </c>
      <c r="B511" s="241">
        <f>'Prior Year'!R71</f>
        <v>373615.72</v>
      </c>
      <c r="C511" s="241">
        <f>R71</f>
        <v>293047.01999999996</v>
      </c>
      <c r="D511" s="241">
        <f>'Prior Year'!R59</f>
        <v>0</v>
      </c>
      <c r="E511" s="180">
        <f>R59</f>
        <v>0</v>
      </c>
      <c r="F511" s="264" t="str">
        <f t="shared" si="16"/>
        <v/>
      </c>
      <c r="G511" s="264" t="str">
        <f t="shared" si="16"/>
        <v/>
      </c>
      <c r="H511" s="266" t="str">
        <f t="shared" si="17"/>
        <v/>
      </c>
      <c r="I511" s="268"/>
      <c r="K511" s="262"/>
      <c r="L511" s="262"/>
    </row>
    <row r="512" spans="1:12" ht="12.65" customHeight="1" x14ac:dyDescent="0.35">
      <c r="A512" s="180" t="s">
        <v>528</v>
      </c>
      <c r="B512" s="241">
        <f>'Prior Year'!S71</f>
        <v>0</v>
      </c>
      <c r="C512" s="241">
        <f>S71</f>
        <v>0</v>
      </c>
      <c r="D512" s="181" t="s">
        <v>529</v>
      </c>
      <c r="E512" s="181" t="s">
        <v>529</v>
      </c>
      <c r="F512" s="264" t="str">
        <f t="shared" ref="F512:G527" si="18">IF(B512=0,"",IF(D512=0,"",B512/D512))</f>
        <v/>
      </c>
      <c r="G512" s="264" t="str">
        <f t="shared" si="18"/>
        <v/>
      </c>
      <c r="H512" s="266" t="str">
        <f t="shared" si="17"/>
        <v/>
      </c>
      <c r="I512" s="268"/>
      <c r="K512" s="262"/>
      <c r="L512" s="262"/>
    </row>
    <row r="513" spans="1:12" ht="12.65" customHeight="1" x14ac:dyDescent="0.35">
      <c r="A513" s="180" t="s">
        <v>1245</v>
      </c>
      <c r="B513" s="241">
        <f>'Prior Year'!T71</f>
        <v>0</v>
      </c>
      <c r="C513" s="241">
        <f>T71</f>
        <v>0</v>
      </c>
      <c r="D513" s="181" t="s">
        <v>529</v>
      </c>
      <c r="E513" s="181" t="s">
        <v>529</v>
      </c>
      <c r="F513" s="264" t="str">
        <f t="shared" si="18"/>
        <v/>
      </c>
      <c r="G513" s="264" t="str">
        <f t="shared" si="18"/>
        <v/>
      </c>
      <c r="H513" s="266" t="str">
        <f t="shared" si="17"/>
        <v/>
      </c>
      <c r="I513" s="268"/>
      <c r="K513" s="262"/>
      <c r="L513" s="262"/>
    </row>
    <row r="514" spans="1:12" ht="12.65" customHeight="1" x14ac:dyDescent="0.35">
      <c r="A514" s="180" t="s">
        <v>530</v>
      </c>
      <c r="B514" s="241">
        <f>'Prior Year'!U71</f>
        <v>1302113.7300000002</v>
      </c>
      <c r="C514" s="241">
        <f>U71</f>
        <v>1596606.72</v>
      </c>
      <c r="D514" s="241">
        <f>'Prior Year'!U59</f>
        <v>0</v>
      </c>
      <c r="E514" s="180">
        <f>U59</f>
        <v>59520</v>
      </c>
      <c r="F514" s="264" t="str">
        <f t="shared" si="18"/>
        <v/>
      </c>
      <c r="G514" s="264">
        <f t="shared" si="18"/>
        <v>26.824709677419353</v>
      </c>
      <c r="H514" s="266" t="str">
        <f t="shared" si="17"/>
        <v/>
      </c>
      <c r="I514" s="268"/>
      <c r="K514" s="262"/>
      <c r="L514" s="262"/>
    </row>
    <row r="515" spans="1:12" ht="12.65" customHeight="1" x14ac:dyDescent="0.35">
      <c r="A515" s="180" t="s">
        <v>531</v>
      </c>
      <c r="B515" s="241">
        <f>'Prior Year'!V71</f>
        <v>0</v>
      </c>
      <c r="C515" s="241">
        <f>V71</f>
        <v>0</v>
      </c>
      <c r="D515" s="241">
        <f>'Prior Year'!V59</f>
        <v>0</v>
      </c>
      <c r="E515" s="180">
        <f>V59</f>
        <v>0</v>
      </c>
      <c r="F515" s="264" t="str">
        <f t="shared" si="18"/>
        <v/>
      </c>
      <c r="G515" s="264" t="str">
        <f t="shared" si="18"/>
        <v/>
      </c>
      <c r="H515" s="266" t="str">
        <f t="shared" si="17"/>
        <v/>
      </c>
      <c r="I515" s="268"/>
      <c r="K515" s="262"/>
      <c r="L515" s="262"/>
    </row>
    <row r="516" spans="1:12" ht="12.65" customHeight="1" x14ac:dyDescent="0.35">
      <c r="A516" s="180" t="s">
        <v>532</v>
      </c>
      <c r="B516" s="241">
        <f>'Prior Year'!W71</f>
        <v>302186.56</v>
      </c>
      <c r="C516" s="241">
        <f>W71</f>
        <v>288434.71999999997</v>
      </c>
      <c r="D516" s="241">
        <f>'Prior Year'!W59</f>
        <v>0</v>
      </c>
      <c r="E516" s="180">
        <f>W59</f>
        <v>450</v>
      </c>
      <c r="F516" s="264" t="str">
        <f t="shared" si="18"/>
        <v/>
      </c>
      <c r="G516" s="264">
        <f t="shared" si="18"/>
        <v>640.96604444444438</v>
      </c>
      <c r="H516" s="266" t="str">
        <f t="shared" si="17"/>
        <v/>
      </c>
      <c r="I516" s="268"/>
      <c r="K516" s="262"/>
      <c r="L516" s="262"/>
    </row>
    <row r="517" spans="1:12" ht="12.65" customHeight="1" x14ac:dyDescent="0.35">
      <c r="A517" s="180" t="s">
        <v>533</v>
      </c>
      <c r="B517" s="241">
        <f>'Prior Year'!X71</f>
        <v>370106.49</v>
      </c>
      <c r="C517" s="241">
        <f>X71</f>
        <v>366231.07999999996</v>
      </c>
      <c r="D517" s="241">
        <f>'Prior Year'!X59</f>
        <v>0</v>
      </c>
      <c r="E517" s="180">
        <f>X59</f>
        <v>1633</v>
      </c>
      <c r="F517" s="264" t="str">
        <f t="shared" si="18"/>
        <v/>
      </c>
      <c r="G517" s="264">
        <f t="shared" si="18"/>
        <v>224.26887936313531</v>
      </c>
      <c r="H517" s="266" t="str">
        <f t="shared" si="17"/>
        <v/>
      </c>
      <c r="I517" s="268"/>
      <c r="K517" s="262"/>
      <c r="L517" s="262"/>
    </row>
    <row r="518" spans="1:12" ht="12.65" customHeight="1" x14ac:dyDescent="0.35">
      <c r="A518" s="180" t="s">
        <v>534</v>
      </c>
      <c r="B518" s="241">
        <f>'Prior Year'!Y71</f>
        <v>1216779.8999999999</v>
      </c>
      <c r="C518" s="241">
        <f>Y71</f>
        <v>1144562.3999999999</v>
      </c>
      <c r="D518" s="241">
        <f>'Prior Year'!Y59</f>
        <v>0</v>
      </c>
      <c r="E518" s="180">
        <f>Y59</f>
        <v>6483</v>
      </c>
      <c r="F518" s="264" t="str">
        <f t="shared" si="18"/>
        <v/>
      </c>
      <c r="G518" s="264">
        <f t="shared" si="18"/>
        <v>176.54826469227208</v>
      </c>
      <c r="H518" s="266" t="str">
        <f t="shared" si="17"/>
        <v/>
      </c>
      <c r="I518" s="268"/>
      <c r="K518" s="262"/>
      <c r="L518" s="262"/>
    </row>
    <row r="519" spans="1:12" ht="12.65" customHeight="1" x14ac:dyDescent="0.35">
      <c r="A519" s="180" t="s">
        <v>535</v>
      </c>
      <c r="B519" s="241">
        <f>'Prior Year'!Z71</f>
        <v>0</v>
      </c>
      <c r="C519" s="241">
        <f>Z71</f>
        <v>0</v>
      </c>
      <c r="D519" s="241">
        <f>'Prior Year'!Z59</f>
        <v>0</v>
      </c>
      <c r="E519" s="180">
        <f>Z59</f>
        <v>0</v>
      </c>
      <c r="F519" s="264" t="str">
        <f t="shared" si="18"/>
        <v/>
      </c>
      <c r="G519" s="264" t="str">
        <f t="shared" si="18"/>
        <v/>
      </c>
      <c r="H519" s="266" t="str">
        <f t="shared" si="17"/>
        <v/>
      </c>
      <c r="I519" s="268"/>
      <c r="K519" s="262"/>
      <c r="L519" s="262"/>
    </row>
    <row r="520" spans="1:12" ht="12.65" customHeight="1" x14ac:dyDescent="0.35">
      <c r="A520" s="180" t="s">
        <v>536</v>
      </c>
      <c r="B520" s="241">
        <f>'Prior Year'!AA71</f>
        <v>0</v>
      </c>
      <c r="C520" s="241">
        <f>AA71</f>
        <v>0</v>
      </c>
      <c r="D520" s="241">
        <f>'Prior Year'!AA59</f>
        <v>0</v>
      </c>
      <c r="E520" s="180">
        <f>AA59</f>
        <v>0</v>
      </c>
      <c r="F520" s="264" t="str">
        <f t="shared" si="18"/>
        <v/>
      </c>
      <c r="G520" s="264" t="str">
        <f t="shared" si="18"/>
        <v/>
      </c>
      <c r="H520" s="266" t="str">
        <f t="shared" si="17"/>
        <v/>
      </c>
      <c r="I520" s="268"/>
      <c r="K520" s="262"/>
      <c r="L520" s="262"/>
    </row>
    <row r="521" spans="1:12" ht="12.65" customHeight="1" x14ac:dyDescent="0.35">
      <c r="A521" s="180" t="s">
        <v>537</v>
      </c>
      <c r="B521" s="241">
        <f>'Prior Year'!AB71</f>
        <v>561211.72</v>
      </c>
      <c r="C521" s="241">
        <f>AB71</f>
        <v>1680863.97</v>
      </c>
      <c r="D521" s="181" t="s">
        <v>529</v>
      </c>
      <c r="E521" s="181" t="s">
        <v>529</v>
      </c>
      <c r="F521" s="264" t="str">
        <f t="shared" si="18"/>
        <v/>
      </c>
      <c r="G521" s="264" t="str">
        <f t="shared" si="18"/>
        <v/>
      </c>
      <c r="H521" s="266" t="str">
        <f t="shared" si="17"/>
        <v/>
      </c>
      <c r="I521" s="268"/>
      <c r="K521" s="262"/>
      <c r="L521" s="262"/>
    </row>
    <row r="522" spans="1:12" ht="12.65" customHeight="1" x14ac:dyDescent="0.35">
      <c r="A522" s="180" t="s">
        <v>538</v>
      </c>
      <c r="B522" s="241">
        <f>'Prior Year'!AC71</f>
        <v>63584.81</v>
      </c>
      <c r="C522" s="241">
        <f>AC71</f>
        <v>80573</v>
      </c>
      <c r="D522" s="241">
        <f>'Prior Year'!AC59</f>
        <v>0</v>
      </c>
      <c r="E522" s="180">
        <f>AC59</f>
        <v>669</v>
      </c>
      <c r="F522" s="264" t="str">
        <f t="shared" si="18"/>
        <v/>
      </c>
      <c r="G522" s="264">
        <f t="shared" si="18"/>
        <v>120.43796711509717</v>
      </c>
      <c r="H522" s="266" t="str">
        <f t="shared" si="17"/>
        <v/>
      </c>
      <c r="I522" s="268"/>
      <c r="K522" s="262"/>
      <c r="L522" s="262"/>
    </row>
    <row r="523" spans="1:12" ht="12.65" customHeight="1" x14ac:dyDescent="0.35">
      <c r="A523" s="180" t="s">
        <v>539</v>
      </c>
      <c r="B523" s="241">
        <f>'Prior Year'!AD71</f>
        <v>0</v>
      </c>
      <c r="C523" s="241">
        <f>AD71</f>
        <v>0</v>
      </c>
      <c r="D523" s="241">
        <f>'Prior Year'!AD59</f>
        <v>0</v>
      </c>
      <c r="E523" s="180">
        <f>AD59</f>
        <v>0</v>
      </c>
      <c r="F523" s="264" t="str">
        <f t="shared" si="18"/>
        <v/>
      </c>
      <c r="G523" s="264" t="str">
        <f t="shared" si="18"/>
        <v/>
      </c>
      <c r="H523" s="266" t="str">
        <f t="shared" si="17"/>
        <v/>
      </c>
      <c r="I523" s="268"/>
      <c r="K523" s="262"/>
      <c r="L523" s="262"/>
    </row>
    <row r="524" spans="1:12" ht="12.65" customHeight="1" x14ac:dyDescent="0.35">
      <c r="A524" s="180" t="s">
        <v>540</v>
      </c>
      <c r="B524" s="241">
        <f>'Prior Year'!AE71</f>
        <v>923406.32</v>
      </c>
      <c r="C524" s="241">
        <f>AE71</f>
        <v>1043327.97</v>
      </c>
      <c r="D524" s="241">
        <f>'Prior Year'!AE59</f>
        <v>0</v>
      </c>
      <c r="E524" s="180">
        <f>AE59</f>
        <v>15471</v>
      </c>
      <c r="F524" s="264" t="str">
        <f t="shared" si="18"/>
        <v/>
      </c>
      <c r="G524" s="264">
        <f t="shared" si="18"/>
        <v>67.437655613728907</v>
      </c>
      <c r="H524" s="266" t="str">
        <f t="shared" si="17"/>
        <v/>
      </c>
      <c r="I524" s="268"/>
      <c r="K524" s="262"/>
      <c r="L524" s="262"/>
    </row>
    <row r="525" spans="1:12" ht="12.65" customHeight="1" x14ac:dyDescent="0.35">
      <c r="A525" s="180" t="s">
        <v>541</v>
      </c>
      <c r="B525" s="241">
        <f>'Prior Year'!AF71</f>
        <v>0</v>
      </c>
      <c r="C525" s="241">
        <f>AF71</f>
        <v>0</v>
      </c>
      <c r="D525" s="241">
        <f>'Prior Year'!AF59</f>
        <v>0</v>
      </c>
      <c r="E525" s="180">
        <f>AF59</f>
        <v>0</v>
      </c>
      <c r="F525" s="264" t="str">
        <f t="shared" si="18"/>
        <v/>
      </c>
      <c r="G525" s="264" t="str">
        <f t="shared" si="18"/>
        <v/>
      </c>
      <c r="H525" s="266" t="str">
        <f t="shared" si="17"/>
        <v/>
      </c>
      <c r="I525" s="268"/>
      <c r="K525" s="262"/>
      <c r="L525" s="262"/>
    </row>
    <row r="526" spans="1:12" ht="12.65" customHeight="1" x14ac:dyDescent="0.35">
      <c r="A526" s="180" t="s">
        <v>542</v>
      </c>
      <c r="B526" s="241">
        <f>'Prior Year'!AG71</f>
        <v>2585212.2200000002</v>
      </c>
      <c r="C526" s="241">
        <f>AG71</f>
        <v>2478266.3199999998</v>
      </c>
      <c r="D526" s="241">
        <f>'Prior Year'!AG59</f>
        <v>0</v>
      </c>
      <c r="E526" s="180">
        <f>AG59</f>
        <v>4014</v>
      </c>
      <c r="F526" s="264" t="str">
        <f t="shared" si="18"/>
        <v/>
      </c>
      <c r="G526" s="264">
        <f t="shared" si="18"/>
        <v>617.40566018933725</v>
      </c>
      <c r="H526" s="266" t="str">
        <f t="shared" si="17"/>
        <v/>
      </c>
      <c r="I526" s="268"/>
      <c r="K526" s="262"/>
      <c r="L526" s="262"/>
    </row>
    <row r="527" spans="1:12" ht="12.65" customHeight="1" x14ac:dyDescent="0.35">
      <c r="A527" s="180" t="s">
        <v>543</v>
      </c>
      <c r="B527" s="241">
        <f>'Prior Year'!AH71</f>
        <v>0</v>
      </c>
      <c r="C527" s="241">
        <f>AH71</f>
        <v>0</v>
      </c>
      <c r="D527" s="241">
        <f>'Prior Year'!AH59</f>
        <v>0</v>
      </c>
      <c r="E527" s="180">
        <f>AH59</f>
        <v>0</v>
      </c>
      <c r="F527" s="264" t="str">
        <f t="shared" si="18"/>
        <v/>
      </c>
      <c r="G527" s="264" t="str">
        <f t="shared" si="18"/>
        <v/>
      </c>
      <c r="H527" s="266" t="str">
        <f t="shared" si="17"/>
        <v/>
      </c>
      <c r="I527" s="268"/>
      <c r="K527" s="262"/>
      <c r="L527" s="262"/>
    </row>
    <row r="528" spans="1:12" ht="12.65" customHeight="1" x14ac:dyDescent="0.35">
      <c r="A528" s="180" t="s">
        <v>544</v>
      </c>
      <c r="B528" s="241">
        <f>'Prior Year'!AI71</f>
        <v>0</v>
      </c>
      <c r="C528" s="241">
        <f>AI71</f>
        <v>0</v>
      </c>
      <c r="D528" s="241">
        <f>'Prior Year'!AI59</f>
        <v>0</v>
      </c>
      <c r="E528" s="180">
        <f>AI59</f>
        <v>0</v>
      </c>
      <c r="F528" s="264" t="str">
        <f t="shared" ref="F528:G540" si="19">IF(B528=0,"",IF(D528=0,"",B528/D528))</f>
        <v/>
      </c>
      <c r="G528" s="264" t="str">
        <f t="shared" si="19"/>
        <v/>
      </c>
      <c r="H528" s="266" t="str">
        <f t="shared" si="17"/>
        <v/>
      </c>
      <c r="I528" s="268"/>
      <c r="K528" s="262"/>
      <c r="L528" s="262"/>
    </row>
    <row r="529" spans="1:12" ht="12.65" customHeight="1" x14ac:dyDescent="0.35">
      <c r="A529" s="180" t="s">
        <v>545</v>
      </c>
      <c r="B529" s="241">
        <f>'Prior Year'!AJ71</f>
        <v>4120269.63</v>
      </c>
      <c r="C529" s="241">
        <f>AJ71</f>
        <v>4756986.7399999993</v>
      </c>
      <c r="D529" s="241">
        <f>'Prior Year'!AJ59</f>
        <v>0</v>
      </c>
      <c r="E529" s="180">
        <f>AJ59</f>
        <v>24137</v>
      </c>
      <c r="F529" s="264" t="str">
        <f t="shared" si="19"/>
        <v/>
      </c>
      <c r="G529" s="264">
        <f t="shared" si="19"/>
        <v>197.0827667067158</v>
      </c>
      <c r="H529" s="266" t="str">
        <f t="shared" si="17"/>
        <v/>
      </c>
      <c r="I529" s="268"/>
      <c r="K529" s="262"/>
      <c r="L529" s="262"/>
    </row>
    <row r="530" spans="1:12" ht="12.65" customHeight="1" x14ac:dyDescent="0.35">
      <c r="A530" s="180" t="s">
        <v>546</v>
      </c>
      <c r="B530" s="241">
        <f>'Prior Year'!AK71</f>
        <v>0</v>
      </c>
      <c r="C530" s="241">
        <f>AK71</f>
        <v>0</v>
      </c>
      <c r="D530" s="241">
        <f>'Prior Year'!AK59</f>
        <v>0</v>
      </c>
      <c r="E530" s="180">
        <f>AK59</f>
        <v>0</v>
      </c>
      <c r="F530" s="264" t="str">
        <f t="shared" si="19"/>
        <v/>
      </c>
      <c r="G530" s="264" t="str">
        <f t="shared" si="19"/>
        <v/>
      </c>
      <c r="H530" s="266" t="str">
        <f t="shared" si="17"/>
        <v/>
      </c>
      <c r="I530" s="268"/>
      <c r="K530" s="262"/>
      <c r="L530" s="262"/>
    </row>
    <row r="531" spans="1:12" ht="12.65" customHeight="1" x14ac:dyDescent="0.35">
      <c r="A531" s="180" t="s">
        <v>547</v>
      </c>
      <c r="B531" s="241">
        <f>'Prior Year'!AL71</f>
        <v>0</v>
      </c>
      <c r="C531" s="241">
        <f>AL71</f>
        <v>0</v>
      </c>
      <c r="D531" s="241">
        <f>'Prior Year'!AL59</f>
        <v>0</v>
      </c>
      <c r="E531" s="180">
        <f>AL59</f>
        <v>0</v>
      </c>
      <c r="F531" s="264" t="str">
        <f t="shared" si="19"/>
        <v/>
      </c>
      <c r="G531" s="264" t="str">
        <f t="shared" si="19"/>
        <v/>
      </c>
      <c r="H531" s="266" t="str">
        <f t="shared" si="17"/>
        <v/>
      </c>
      <c r="I531" s="268"/>
      <c r="K531" s="262"/>
      <c r="L531" s="262"/>
    </row>
    <row r="532" spans="1:12" ht="12.65" customHeight="1" x14ac:dyDescent="0.35">
      <c r="A532" s="180" t="s">
        <v>548</v>
      </c>
      <c r="B532" s="241">
        <f>'Prior Year'!AM71</f>
        <v>0</v>
      </c>
      <c r="C532" s="241">
        <f>AM71</f>
        <v>0</v>
      </c>
      <c r="D532" s="241">
        <f>'Prior Year'!AM59</f>
        <v>0</v>
      </c>
      <c r="E532" s="180">
        <f>AM59</f>
        <v>0</v>
      </c>
      <c r="F532" s="264" t="str">
        <f t="shared" si="19"/>
        <v/>
      </c>
      <c r="G532" s="264" t="str">
        <f t="shared" si="19"/>
        <v/>
      </c>
      <c r="H532" s="266" t="str">
        <f t="shared" si="17"/>
        <v/>
      </c>
      <c r="I532" s="268"/>
      <c r="K532" s="262"/>
      <c r="L532" s="262"/>
    </row>
    <row r="533" spans="1:12" ht="12.65" customHeight="1" x14ac:dyDescent="0.35">
      <c r="A533" s="180" t="s">
        <v>1246</v>
      </c>
      <c r="B533" s="241">
        <f>'Prior Year'!AN71</f>
        <v>0</v>
      </c>
      <c r="C533" s="241">
        <f>AN71</f>
        <v>0</v>
      </c>
      <c r="D533" s="241">
        <f>'Prior Year'!AN59</f>
        <v>0</v>
      </c>
      <c r="E533" s="180">
        <f>AN59</f>
        <v>0</v>
      </c>
      <c r="F533" s="264" t="str">
        <f t="shared" si="19"/>
        <v/>
      </c>
      <c r="G533" s="264" t="str">
        <f t="shared" si="19"/>
        <v/>
      </c>
      <c r="H533" s="266" t="str">
        <f t="shared" si="17"/>
        <v/>
      </c>
      <c r="I533" s="268"/>
      <c r="K533" s="262"/>
      <c r="L533" s="262"/>
    </row>
    <row r="534" spans="1:12" ht="12.65" customHeight="1" x14ac:dyDescent="0.35">
      <c r="A534" s="180" t="s">
        <v>549</v>
      </c>
      <c r="B534" s="241">
        <f>'Prior Year'!AO71</f>
        <v>0</v>
      </c>
      <c r="C534" s="241">
        <f>AO71</f>
        <v>0</v>
      </c>
      <c r="D534" s="241">
        <f>'Prior Year'!AO59</f>
        <v>0</v>
      </c>
      <c r="E534" s="180">
        <f>AO59</f>
        <v>0</v>
      </c>
      <c r="F534" s="264" t="str">
        <f t="shared" si="19"/>
        <v/>
      </c>
      <c r="G534" s="264" t="str">
        <f t="shared" si="19"/>
        <v/>
      </c>
      <c r="H534" s="266" t="str">
        <f t="shared" si="17"/>
        <v/>
      </c>
      <c r="I534" s="268"/>
      <c r="K534" s="262"/>
      <c r="L534" s="262"/>
    </row>
    <row r="535" spans="1:12" ht="12.65" customHeight="1" x14ac:dyDescent="0.35">
      <c r="A535" s="180" t="s">
        <v>550</v>
      </c>
      <c r="B535" s="241">
        <f>'Prior Year'!AP71</f>
        <v>0</v>
      </c>
      <c r="C535" s="241">
        <f>AP71</f>
        <v>0</v>
      </c>
      <c r="D535" s="241">
        <f>'Prior Year'!AP59</f>
        <v>0</v>
      </c>
      <c r="E535" s="180">
        <f>AP59</f>
        <v>0</v>
      </c>
      <c r="F535" s="264" t="str">
        <f t="shared" si="19"/>
        <v/>
      </c>
      <c r="G535" s="264" t="str">
        <f t="shared" si="19"/>
        <v/>
      </c>
      <c r="H535" s="266" t="str">
        <f t="shared" si="17"/>
        <v/>
      </c>
      <c r="I535" s="268"/>
      <c r="K535" s="262"/>
      <c r="L535" s="262"/>
    </row>
    <row r="536" spans="1:12" ht="12.65" customHeight="1" x14ac:dyDescent="0.35">
      <c r="A536" s="180" t="s">
        <v>551</v>
      </c>
      <c r="B536" s="241">
        <f>'Prior Year'!AQ71</f>
        <v>0</v>
      </c>
      <c r="C536" s="241">
        <f>AQ71</f>
        <v>0</v>
      </c>
      <c r="D536" s="241">
        <f>'Prior Year'!AQ59</f>
        <v>0</v>
      </c>
      <c r="E536" s="180">
        <f>AQ59</f>
        <v>0</v>
      </c>
      <c r="F536" s="264" t="str">
        <f t="shared" si="19"/>
        <v/>
      </c>
      <c r="G536" s="264" t="str">
        <f t="shared" si="19"/>
        <v/>
      </c>
      <c r="H536" s="266" t="str">
        <f t="shared" si="17"/>
        <v/>
      </c>
      <c r="I536" s="268"/>
      <c r="K536" s="262"/>
      <c r="L536" s="262"/>
    </row>
    <row r="537" spans="1:12" ht="12.65" customHeight="1" x14ac:dyDescent="0.35">
      <c r="A537" s="180" t="s">
        <v>552</v>
      </c>
      <c r="B537" s="241">
        <f>'Prior Year'!AR71</f>
        <v>396737.60000000003</v>
      </c>
      <c r="C537" s="241">
        <f>AR71</f>
        <v>128026.74</v>
      </c>
      <c r="D537" s="241">
        <f>'Prior Year'!AR59</f>
        <v>0</v>
      </c>
      <c r="E537" s="180">
        <f>AR59</f>
        <v>37</v>
      </c>
      <c r="F537" s="264" t="str">
        <f t="shared" si="19"/>
        <v/>
      </c>
      <c r="G537" s="264">
        <f t="shared" si="19"/>
        <v>3460.1821621621625</v>
      </c>
      <c r="H537" s="266" t="str">
        <f t="shared" si="17"/>
        <v/>
      </c>
      <c r="I537" s="268"/>
      <c r="K537" s="262"/>
      <c r="L537" s="262"/>
    </row>
    <row r="538" spans="1:12" ht="12.65" customHeight="1" x14ac:dyDescent="0.35">
      <c r="A538" s="180" t="s">
        <v>553</v>
      </c>
      <c r="B538" s="241">
        <f>'Prior Year'!AS71</f>
        <v>0</v>
      </c>
      <c r="C538" s="241">
        <f>AS71</f>
        <v>0</v>
      </c>
      <c r="D538" s="241">
        <f>'Prior Year'!AS59</f>
        <v>0</v>
      </c>
      <c r="E538" s="180">
        <f>AS59</f>
        <v>0</v>
      </c>
      <c r="F538" s="264" t="str">
        <f t="shared" si="19"/>
        <v/>
      </c>
      <c r="G538" s="264" t="str">
        <f t="shared" si="19"/>
        <v/>
      </c>
      <c r="H538" s="266" t="str">
        <f t="shared" si="17"/>
        <v/>
      </c>
      <c r="I538" s="268"/>
      <c r="K538" s="262"/>
      <c r="L538" s="262"/>
    </row>
    <row r="539" spans="1:12" ht="12.65" customHeight="1" x14ac:dyDescent="0.35">
      <c r="A539" s="180" t="s">
        <v>554</v>
      </c>
      <c r="B539" s="241">
        <f>'Prior Year'!AT71</f>
        <v>0</v>
      </c>
      <c r="C539" s="241">
        <f>AT71</f>
        <v>0</v>
      </c>
      <c r="D539" s="241">
        <f>'Prior Year'!AT59</f>
        <v>0</v>
      </c>
      <c r="E539" s="180">
        <f>AT59</f>
        <v>0</v>
      </c>
      <c r="F539" s="264" t="str">
        <f t="shared" si="19"/>
        <v/>
      </c>
      <c r="G539" s="264" t="str">
        <f t="shared" si="19"/>
        <v/>
      </c>
      <c r="H539" s="266" t="str">
        <f t="shared" si="17"/>
        <v/>
      </c>
      <c r="I539" s="268"/>
      <c r="K539" s="262"/>
      <c r="L539" s="262"/>
    </row>
    <row r="540" spans="1:12" ht="12.65" customHeight="1" x14ac:dyDescent="0.35">
      <c r="A540" s="180" t="s">
        <v>555</v>
      </c>
      <c r="B540" s="241">
        <f>'Prior Year'!AU71</f>
        <v>0</v>
      </c>
      <c r="C540" s="241">
        <f>AU71</f>
        <v>0</v>
      </c>
      <c r="D540" s="241">
        <f>'Prior Year'!AU59</f>
        <v>0</v>
      </c>
      <c r="E540" s="180">
        <f>AU59</f>
        <v>0</v>
      </c>
      <c r="F540" s="264" t="str">
        <f t="shared" si="19"/>
        <v/>
      </c>
      <c r="G540" s="264" t="str">
        <f t="shared" si="19"/>
        <v/>
      </c>
      <c r="H540" s="266" t="str">
        <f t="shared" si="17"/>
        <v/>
      </c>
      <c r="I540" s="268"/>
      <c r="K540" s="262"/>
      <c r="L540" s="262"/>
    </row>
    <row r="541" spans="1:12" ht="12.65" customHeight="1" x14ac:dyDescent="0.35">
      <c r="A541" s="180" t="s">
        <v>556</v>
      </c>
      <c r="B541" s="241">
        <f>'Prior Year'!AV71</f>
        <v>0</v>
      </c>
      <c r="C541" s="241">
        <f>AV71</f>
        <v>0</v>
      </c>
      <c r="D541" s="181" t="s">
        <v>529</v>
      </c>
      <c r="E541" s="181" t="s">
        <v>529</v>
      </c>
      <c r="F541" s="264"/>
      <c r="G541" s="264"/>
      <c r="H541" s="266"/>
      <c r="I541" s="268"/>
      <c r="K541" s="262"/>
      <c r="L541" s="262"/>
    </row>
    <row r="542" spans="1:12" ht="12.65" customHeight="1" x14ac:dyDescent="0.35">
      <c r="A542" s="180" t="s">
        <v>1247</v>
      </c>
      <c r="B542" s="241">
        <f>'Prior Year'!AW71</f>
        <v>114537.46</v>
      </c>
      <c r="C542" s="241">
        <f>AW71</f>
        <v>77605.5</v>
      </c>
      <c r="D542" s="181" t="s">
        <v>529</v>
      </c>
      <c r="E542" s="181" t="s">
        <v>529</v>
      </c>
      <c r="F542" s="264"/>
      <c r="G542" s="264"/>
      <c r="H542" s="266"/>
      <c r="I542" s="268"/>
      <c r="K542" s="262"/>
      <c r="L542" s="262"/>
    </row>
    <row r="543" spans="1:12" ht="12.65" customHeight="1" x14ac:dyDescent="0.35">
      <c r="A543" s="180" t="s">
        <v>557</v>
      </c>
      <c r="B543" s="241">
        <f>'Prior Year'!AX71</f>
        <v>0</v>
      </c>
      <c r="C543" s="241">
        <f>AX71</f>
        <v>0</v>
      </c>
      <c r="D543" s="181" t="s">
        <v>529</v>
      </c>
      <c r="E543" s="181" t="s">
        <v>529</v>
      </c>
      <c r="F543" s="264"/>
      <c r="G543" s="264"/>
      <c r="H543" s="266"/>
      <c r="I543" s="268"/>
      <c r="K543" s="262"/>
      <c r="L543" s="262"/>
    </row>
    <row r="544" spans="1:12" ht="12.65" customHeight="1" x14ac:dyDescent="0.35">
      <c r="A544" s="180" t="s">
        <v>558</v>
      </c>
      <c r="B544" s="241">
        <f>'Prior Year'!AY71</f>
        <v>559951.81999999995</v>
      </c>
      <c r="C544" s="241">
        <f>AY71</f>
        <v>583147.67999999993</v>
      </c>
      <c r="D544" s="241">
        <f>'Prior Year'!AY59</f>
        <v>4752</v>
      </c>
      <c r="E544" s="180">
        <f>AY59</f>
        <v>4581</v>
      </c>
      <c r="F544" s="264">
        <f t="shared" ref="F544:G550" si="20">IF(B544=0,"",IF(D544=0,"",B544/D544))</f>
        <v>117.83497895622895</v>
      </c>
      <c r="G544" s="264">
        <f t="shared" si="20"/>
        <v>127.29702685003274</v>
      </c>
      <c r="H544" s="266" t="str">
        <f t="shared" si="17"/>
        <v/>
      </c>
      <c r="I544" s="268"/>
      <c r="K544" s="262"/>
      <c r="L544" s="262"/>
    </row>
    <row r="545" spans="1:13" ht="12.65" customHeight="1" x14ac:dyDescent="0.35">
      <c r="A545" s="180" t="s">
        <v>559</v>
      </c>
      <c r="B545" s="241">
        <f>'Prior Year'!AZ71</f>
        <v>0</v>
      </c>
      <c r="C545" s="241">
        <f>AZ71</f>
        <v>0</v>
      </c>
      <c r="D545" s="241">
        <f>'Prior Year'!AZ59</f>
        <v>34048</v>
      </c>
      <c r="E545" s="180">
        <f>AZ59</f>
        <v>26627</v>
      </c>
      <c r="F545" s="264" t="str">
        <f t="shared" si="20"/>
        <v/>
      </c>
      <c r="G545" s="264" t="str">
        <f t="shared" si="20"/>
        <v/>
      </c>
      <c r="H545" s="266" t="str">
        <f t="shared" si="17"/>
        <v/>
      </c>
      <c r="I545" s="268"/>
      <c r="K545" s="262"/>
      <c r="L545" s="262"/>
    </row>
    <row r="546" spans="1:13" ht="12.65" customHeight="1" x14ac:dyDescent="0.35">
      <c r="A546" s="180" t="s">
        <v>560</v>
      </c>
      <c r="B546" s="241">
        <f>'Prior Year'!BA71</f>
        <v>0</v>
      </c>
      <c r="C546" s="241">
        <f>BA71</f>
        <v>0</v>
      </c>
      <c r="D546" s="241">
        <f>'Prior Year'!BA59</f>
        <v>0</v>
      </c>
      <c r="E546" s="180">
        <f>BA59</f>
        <v>0</v>
      </c>
      <c r="F546" s="264" t="str">
        <f t="shared" si="20"/>
        <v/>
      </c>
      <c r="G546" s="264" t="str">
        <f t="shared" si="20"/>
        <v/>
      </c>
      <c r="H546" s="266" t="str">
        <f t="shared" si="17"/>
        <v/>
      </c>
      <c r="I546" s="268"/>
      <c r="K546" s="262"/>
      <c r="L546" s="262"/>
    </row>
    <row r="547" spans="1:13" ht="12.65" customHeight="1" x14ac:dyDescent="0.35">
      <c r="A547" s="180" t="s">
        <v>561</v>
      </c>
      <c r="B547" s="241">
        <f>'Prior Year'!BB71</f>
        <v>0</v>
      </c>
      <c r="C547" s="241">
        <f>BB71</f>
        <v>0</v>
      </c>
      <c r="D547" s="181" t="s">
        <v>529</v>
      </c>
      <c r="E547" s="181" t="s">
        <v>529</v>
      </c>
      <c r="F547" s="264"/>
      <c r="G547" s="264"/>
      <c r="H547" s="266"/>
      <c r="I547" s="268"/>
      <c r="K547" s="262"/>
      <c r="L547" s="262"/>
    </row>
    <row r="548" spans="1:13" ht="12.65" customHeight="1" x14ac:dyDescent="0.35">
      <c r="A548" s="180" t="s">
        <v>562</v>
      </c>
      <c r="B548" s="241">
        <f>'Prior Year'!BC71</f>
        <v>16512.71</v>
      </c>
      <c r="C548" s="241">
        <f>BC71</f>
        <v>13620.220000000001</v>
      </c>
      <c r="D548" s="181" t="s">
        <v>529</v>
      </c>
      <c r="E548" s="181" t="s">
        <v>529</v>
      </c>
      <c r="F548" s="264"/>
      <c r="G548" s="264"/>
      <c r="H548" s="266"/>
      <c r="I548" s="268"/>
      <c r="K548" s="262"/>
      <c r="L548" s="262"/>
    </row>
    <row r="549" spans="1:13" ht="12.65" customHeight="1" x14ac:dyDescent="0.35">
      <c r="A549" s="180" t="s">
        <v>563</v>
      </c>
      <c r="B549" s="241">
        <f>'Prior Year'!BD71</f>
        <v>75631.849999999991</v>
      </c>
      <c r="C549" s="241">
        <f>BD71</f>
        <v>85196.48000000001</v>
      </c>
      <c r="D549" s="181" t="s">
        <v>529</v>
      </c>
      <c r="E549" s="181" t="s">
        <v>529</v>
      </c>
      <c r="F549" s="264"/>
      <c r="G549" s="264"/>
      <c r="H549" s="266"/>
      <c r="I549" s="268"/>
      <c r="K549" s="262"/>
      <c r="L549" s="262"/>
    </row>
    <row r="550" spans="1:13" ht="12.65" customHeight="1" x14ac:dyDescent="0.35">
      <c r="A550" s="180" t="s">
        <v>564</v>
      </c>
      <c r="B550" s="241">
        <f>'Prior Year'!BE71</f>
        <v>998523.08999999985</v>
      </c>
      <c r="C550" s="241">
        <f>BE71</f>
        <v>911602.36999999976</v>
      </c>
      <c r="D550" s="241">
        <f>'Prior Year'!BE59</f>
        <v>85625</v>
      </c>
      <c r="E550" s="180">
        <f>BE59</f>
        <v>85625</v>
      </c>
      <c r="F550" s="264">
        <f t="shared" si="20"/>
        <v>11.661583532846713</v>
      </c>
      <c r="G550" s="264">
        <f t="shared" si="20"/>
        <v>10.646451036496348</v>
      </c>
      <c r="H550" s="266" t="str">
        <f t="shared" si="17"/>
        <v/>
      </c>
      <c r="I550" s="268"/>
      <c r="K550" s="262"/>
      <c r="L550" s="262"/>
    </row>
    <row r="551" spans="1:13" ht="12.65" customHeight="1" x14ac:dyDescent="0.35">
      <c r="A551" s="180" t="s">
        <v>565</v>
      </c>
      <c r="B551" s="241">
        <f>'Prior Year'!BF71</f>
        <v>557149.74</v>
      </c>
      <c r="C551" s="241">
        <f>BF71</f>
        <v>606586.75</v>
      </c>
      <c r="D551" s="181" t="s">
        <v>529</v>
      </c>
      <c r="E551" s="181" t="s">
        <v>529</v>
      </c>
      <c r="F551" s="264"/>
      <c r="G551" s="264"/>
      <c r="H551" s="266"/>
      <c r="I551" s="268"/>
      <c r="J551" s="199"/>
      <c r="M551" s="266"/>
    </row>
    <row r="552" spans="1:13" ht="12.65" customHeight="1" x14ac:dyDescent="0.35">
      <c r="A552" s="180" t="s">
        <v>566</v>
      </c>
      <c r="B552" s="241">
        <f>'Prior Year'!BG71</f>
        <v>0</v>
      </c>
      <c r="C552" s="241">
        <f>BG71</f>
        <v>0</v>
      </c>
      <c r="D552" s="181" t="s">
        <v>529</v>
      </c>
      <c r="E552" s="181" t="s">
        <v>529</v>
      </c>
      <c r="F552" s="264"/>
      <c r="G552" s="264"/>
      <c r="H552" s="266"/>
      <c r="J552" s="199"/>
      <c r="M552" s="266"/>
    </row>
    <row r="553" spans="1:13" ht="12.65" customHeight="1" x14ac:dyDescent="0.35">
      <c r="A553" s="180" t="s">
        <v>567</v>
      </c>
      <c r="B553" s="241">
        <f>'Prior Year'!BH71</f>
        <v>985304.39</v>
      </c>
      <c r="C553" s="241">
        <f>BH71</f>
        <v>1263360.6800000002</v>
      </c>
      <c r="D553" s="181" t="s">
        <v>529</v>
      </c>
      <c r="E553" s="181" t="s">
        <v>529</v>
      </c>
      <c r="F553" s="264"/>
      <c r="G553" s="264"/>
      <c r="H553" s="266"/>
      <c r="J553" s="199"/>
      <c r="M553" s="266"/>
    </row>
    <row r="554" spans="1:13" ht="12.65" customHeight="1" x14ac:dyDescent="0.35">
      <c r="A554" s="180" t="s">
        <v>568</v>
      </c>
      <c r="B554" s="241">
        <f>'Prior Year'!BI71</f>
        <v>0</v>
      </c>
      <c r="C554" s="241">
        <f>BI71</f>
        <v>0</v>
      </c>
      <c r="D554" s="181" t="s">
        <v>529</v>
      </c>
      <c r="E554" s="181" t="s">
        <v>529</v>
      </c>
      <c r="F554" s="264"/>
      <c r="G554" s="264"/>
      <c r="H554" s="266"/>
      <c r="J554" s="199"/>
      <c r="M554" s="266"/>
    </row>
    <row r="555" spans="1:13" ht="12.65" customHeight="1" x14ac:dyDescent="0.35">
      <c r="A555" s="180" t="s">
        <v>569</v>
      </c>
      <c r="B555" s="241">
        <f>'Prior Year'!BJ71</f>
        <v>328272.90000000002</v>
      </c>
      <c r="C555" s="241">
        <f>BJ71</f>
        <v>449177.41000000003</v>
      </c>
      <c r="D555" s="181" t="s">
        <v>529</v>
      </c>
      <c r="E555" s="181" t="s">
        <v>529</v>
      </c>
      <c r="F555" s="264"/>
      <c r="G555" s="264"/>
      <c r="H555" s="266"/>
      <c r="J555" s="199"/>
      <c r="M555" s="266"/>
    </row>
    <row r="556" spans="1:13" ht="12.65" customHeight="1" x14ac:dyDescent="0.35">
      <c r="A556" s="180" t="s">
        <v>570</v>
      </c>
      <c r="B556" s="241">
        <f>'Prior Year'!BK71</f>
        <v>980434.08</v>
      </c>
      <c r="C556" s="241">
        <f>BK71</f>
        <v>1017806.93</v>
      </c>
      <c r="D556" s="181" t="s">
        <v>529</v>
      </c>
      <c r="E556" s="181" t="s">
        <v>529</v>
      </c>
      <c r="F556" s="264"/>
      <c r="G556" s="264"/>
      <c r="H556" s="266"/>
      <c r="J556" s="199"/>
      <c r="M556" s="266"/>
    </row>
    <row r="557" spans="1:13" ht="12.65" customHeight="1" x14ac:dyDescent="0.35">
      <c r="A557" s="180" t="s">
        <v>571</v>
      </c>
      <c r="B557" s="241">
        <f>'Prior Year'!BL71</f>
        <v>250080.06</v>
      </c>
      <c r="C557" s="241">
        <f>BL71</f>
        <v>241877.33</v>
      </c>
      <c r="D557" s="181" t="s">
        <v>529</v>
      </c>
      <c r="E557" s="181" t="s">
        <v>529</v>
      </c>
      <c r="F557" s="264"/>
      <c r="G557" s="264"/>
      <c r="H557" s="266"/>
      <c r="J557" s="199"/>
      <c r="M557" s="266"/>
    </row>
    <row r="558" spans="1:13" ht="12.65" customHeight="1" x14ac:dyDescent="0.35">
      <c r="A558" s="180" t="s">
        <v>572</v>
      </c>
      <c r="B558" s="241">
        <f>'Prior Year'!BM71</f>
        <v>0</v>
      </c>
      <c r="C558" s="241">
        <f>BM71</f>
        <v>0</v>
      </c>
      <c r="D558" s="181" t="s">
        <v>529</v>
      </c>
      <c r="E558" s="181" t="s">
        <v>529</v>
      </c>
      <c r="F558" s="264"/>
      <c r="G558" s="264"/>
      <c r="H558" s="266"/>
      <c r="J558" s="199"/>
      <c r="M558" s="266"/>
    </row>
    <row r="559" spans="1:13" ht="12.65" customHeight="1" x14ac:dyDescent="0.35">
      <c r="A559" s="180" t="s">
        <v>573</v>
      </c>
      <c r="B559" s="241">
        <f>'Prior Year'!BN71</f>
        <v>3345605.6399999997</v>
      </c>
      <c r="C559" s="241">
        <f>BN71</f>
        <v>3627233.1999999993</v>
      </c>
      <c r="D559" s="181" t="s">
        <v>529</v>
      </c>
      <c r="E559" s="181" t="s">
        <v>529</v>
      </c>
      <c r="F559" s="264"/>
      <c r="G559" s="264"/>
      <c r="H559" s="266"/>
      <c r="J559" s="199"/>
      <c r="M559" s="266"/>
    </row>
    <row r="560" spans="1:13" ht="12.65" customHeight="1" x14ac:dyDescent="0.35">
      <c r="A560" s="180" t="s">
        <v>574</v>
      </c>
      <c r="B560" s="241">
        <f>'Prior Year'!BO71</f>
        <v>0</v>
      </c>
      <c r="C560" s="241">
        <f>BO71</f>
        <v>0</v>
      </c>
      <c r="D560" s="181" t="s">
        <v>529</v>
      </c>
      <c r="E560" s="181" t="s">
        <v>529</v>
      </c>
      <c r="F560" s="264"/>
      <c r="G560" s="264"/>
      <c r="H560" s="266"/>
      <c r="J560" s="199"/>
      <c r="M560" s="266"/>
    </row>
    <row r="561" spans="1:13" ht="12.65" customHeight="1" x14ac:dyDescent="0.35">
      <c r="A561" s="180" t="s">
        <v>575</v>
      </c>
      <c r="B561" s="241">
        <f>'Prior Year'!BP71</f>
        <v>0</v>
      </c>
      <c r="C561" s="241">
        <f>BP71</f>
        <v>0</v>
      </c>
      <c r="D561" s="181" t="s">
        <v>529</v>
      </c>
      <c r="E561" s="181" t="s">
        <v>529</v>
      </c>
      <c r="F561" s="264"/>
      <c r="G561" s="264"/>
      <c r="H561" s="266"/>
      <c r="J561" s="199"/>
      <c r="M561" s="266"/>
    </row>
    <row r="562" spans="1:13" ht="12.65" customHeight="1" x14ac:dyDescent="0.35">
      <c r="A562" s="180" t="s">
        <v>576</v>
      </c>
      <c r="B562" s="241">
        <f>'Prior Year'!BQ71</f>
        <v>0</v>
      </c>
      <c r="C562" s="241">
        <f>BQ71</f>
        <v>0</v>
      </c>
      <c r="D562" s="181" t="s">
        <v>529</v>
      </c>
      <c r="E562" s="181" t="s">
        <v>529</v>
      </c>
      <c r="F562" s="264"/>
      <c r="G562" s="264"/>
      <c r="H562" s="266"/>
      <c r="J562" s="199"/>
      <c r="M562" s="266"/>
    </row>
    <row r="563" spans="1:13" ht="12.65" customHeight="1" x14ac:dyDescent="0.35">
      <c r="A563" s="180" t="s">
        <v>577</v>
      </c>
      <c r="B563" s="241">
        <f>'Prior Year'!BR71</f>
        <v>0</v>
      </c>
      <c r="C563" s="241">
        <f>BR71</f>
        <v>0</v>
      </c>
      <c r="D563" s="181" t="s">
        <v>529</v>
      </c>
      <c r="E563" s="181" t="s">
        <v>529</v>
      </c>
      <c r="F563" s="264"/>
      <c r="G563" s="264"/>
      <c r="H563" s="266"/>
      <c r="J563" s="199"/>
      <c r="M563" s="266"/>
    </row>
    <row r="564" spans="1:13" ht="12.65" customHeight="1" x14ac:dyDescent="0.35">
      <c r="A564" s="180" t="s">
        <v>1248</v>
      </c>
      <c r="B564" s="241">
        <f>'Prior Year'!BS71</f>
        <v>0</v>
      </c>
      <c r="C564" s="241">
        <f>BS71</f>
        <v>0</v>
      </c>
      <c r="D564" s="181" t="s">
        <v>529</v>
      </c>
      <c r="E564" s="181" t="s">
        <v>529</v>
      </c>
      <c r="F564" s="264"/>
      <c r="G564" s="264"/>
      <c r="H564" s="266"/>
      <c r="J564" s="199"/>
      <c r="M564" s="266"/>
    </row>
    <row r="565" spans="1:13" ht="12.65" customHeight="1" x14ac:dyDescent="0.35">
      <c r="A565" s="180" t="s">
        <v>578</v>
      </c>
      <c r="B565" s="241">
        <f>'Prior Year'!BT71</f>
        <v>0</v>
      </c>
      <c r="C565" s="241">
        <f>BT71</f>
        <v>0</v>
      </c>
      <c r="D565" s="181" t="s">
        <v>529</v>
      </c>
      <c r="E565" s="181" t="s">
        <v>529</v>
      </c>
      <c r="F565" s="264"/>
      <c r="G565" s="264"/>
      <c r="H565" s="266"/>
      <c r="J565" s="199"/>
      <c r="M565" s="266"/>
    </row>
    <row r="566" spans="1:13" ht="12.65" customHeight="1" x14ac:dyDescent="0.35">
      <c r="A566" s="180" t="s">
        <v>579</v>
      </c>
      <c r="B566" s="241">
        <f>'Prior Year'!BU71</f>
        <v>0</v>
      </c>
      <c r="C566" s="241">
        <f>BU71</f>
        <v>0</v>
      </c>
      <c r="D566" s="181" t="s">
        <v>529</v>
      </c>
      <c r="E566" s="181" t="s">
        <v>529</v>
      </c>
      <c r="F566" s="264"/>
      <c r="G566" s="264"/>
      <c r="H566" s="266"/>
      <c r="J566" s="199"/>
      <c r="M566" s="266"/>
    </row>
    <row r="567" spans="1:13" ht="12.65" customHeight="1" x14ac:dyDescent="0.35">
      <c r="A567" s="180" t="s">
        <v>580</v>
      </c>
      <c r="B567" s="241">
        <f>'Prior Year'!BV71</f>
        <v>429789.81999999995</v>
      </c>
      <c r="C567" s="241">
        <f>BV71</f>
        <v>407093.09</v>
      </c>
      <c r="D567" s="181" t="s">
        <v>529</v>
      </c>
      <c r="E567" s="181" t="s">
        <v>529</v>
      </c>
      <c r="F567" s="264"/>
      <c r="G567" s="264"/>
      <c r="H567" s="266"/>
      <c r="J567" s="199"/>
      <c r="M567" s="266"/>
    </row>
    <row r="568" spans="1:13" ht="12.65" customHeight="1" x14ac:dyDescent="0.35">
      <c r="A568" s="180" t="s">
        <v>581</v>
      </c>
      <c r="B568" s="241">
        <f>'Prior Year'!BW71</f>
        <v>0</v>
      </c>
      <c r="C568" s="241">
        <f>BW71</f>
        <v>0</v>
      </c>
      <c r="D568" s="181" t="s">
        <v>529</v>
      </c>
      <c r="E568" s="181" t="s">
        <v>529</v>
      </c>
      <c r="F568" s="264"/>
      <c r="G568" s="264"/>
      <c r="H568" s="266"/>
      <c r="J568" s="199"/>
      <c r="M568" s="266"/>
    </row>
    <row r="569" spans="1:13" ht="12.65" customHeight="1" x14ac:dyDescent="0.35">
      <c r="A569" s="180" t="s">
        <v>582</v>
      </c>
      <c r="B569" s="241">
        <f>'Prior Year'!BX71</f>
        <v>0</v>
      </c>
      <c r="C569" s="241">
        <f>BX71</f>
        <v>0</v>
      </c>
      <c r="D569" s="181" t="s">
        <v>529</v>
      </c>
      <c r="E569" s="181" t="s">
        <v>529</v>
      </c>
      <c r="F569" s="264"/>
      <c r="G569" s="264"/>
      <c r="H569" s="266"/>
      <c r="J569" s="199"/>
      <c r="M569" s="266"/>
    </row>
    <row r="570" spans="1:13" ht="12.65" customHeight="1" x14ac:dyDescent="0.35">
      <c r="A570" s="180" t="s">
        <v>583</v>
      </c>
      <c r="B570" s="241">
        <f>'Prior Year'!BY71</f>
        <v>313227.96000000002</v>
      </c>
      <c r="C570" s="241">
        <f>BY71</f>
        <v>294658.03999999998</v>
      </c>
      <c r="D570" s="181" t="s">
        <v>529</v>
      </c>
      <c r="E570" s="181" t="s">
        <v>529</v>
      </c>
      <c r="F570" s="264"/>
      <c r="G570" s="264"/>
      <c r="H570" s="266"/>
      <c r="J570" s="199"/>
      <c r="M570" s="266"/>
    </row>
    <row r="571" spans="1:13" ht="12.65" customHeight="1" x14ac:dyDescent="0.35">
      <c r="A571" s="180" t="s">
        <v>584</v>
      </c>
      <c r="B571" s="241">
        <f>'Prior Year'!BZ71</f>
        <v>0</v>
      </c>
      <c r="C571" s="241">
        <f>BZ71</f>
        <v>0</v>
      </c>
      <c r="D571" s="181" t="s">
        <v>529</v>
      </c>
      <c r="E571" s="181" t="s">
        <v>529</v>
      </c>
      <c r="F571" s="264"/>
      <c r="G571" s="264"/>
      <c r="H571" s="266"/>
      <c r="J571" s="199"/>
      <c r="M571" s="266"/>
    </row>
    <row r="572" spans="1:13" ht="12.65" customHeight="1" x14ac:dyDescent="0.35">
      <c r="A572" s="180" t="s">
        <v>585</v>
      </c>
      <c r="B572" s="241">
        <f>'Prior Year'!CA71</f>
        <v>0</v>
      </c>
      <c r="C572" s="241">
        <f>CA71</f>
        <v>0</v>
      </c>
      <c r="D572" s="181" t="s">
        <v>529</v>
      </c>
      <c r="E572" s="181" t="s">
        <v>529</v>
      </c>
      <c r="F572" s="264"/>
      <c r="G572" s="264"/>
      <c r="H572" s="266"/>
      <c r="J572" s="199"/>
      <c r="M572" s="266"/>
    </row>
    <row r="573" spans="1:13" ht="12.65" customHeight="1" x14ac:dyDescent="0.35">
      <c r="A573" s="180" t="s">
        <v>586</v>
      </c>
      <c r="B573" s="241">
        <f>'Prior Year'!CB71</f>
        <v>0</v>
      </c>
      <c r="C573" s="241">
        <f>CB71</f>
        <v>0</v>
      </c>
      <c r="D573" s="181" t="s">
        <v>529</v>
      </c>
      <c r="E573" s="181" t="s">
        <v>529</v>
      </c>
      <c r="F573" s="264"/>
      <c r="G573" s="264"/>
      <c r="H573" s="266"/>
      <c r="J573" s="199"/>
      <c r="M573" s="266"/>
    </row>
    <row r="574" spans="1:13" ht="12.65" customHeight="1" x14ac:dyDescent="0.35">
      <c r="A574" s="180" t="s">
        <v>587</v>
      </c>
      <c r="B574" s="241">
        <f>'Prior Year'!CC71</f>
        <v>84179.06</v>
      </c>
      <c r="C574" s="241">
        <f>CC71</f>
        <v>45423.08</v>
      </c>
      <c r="D574" s="181" t="s">
        <v>529</v>
      </c>
      <c r="E574" s="181" t="s">
        <v>529</v>
      </c>
      <c r="F574" s="264"/>
      <c r="G574" s="264"/>
      <c r="H574" s="266"/>
      <c r="J574" s="199"/>
      <c r="M574" s="266"/>
    </row>
    <row r="575" spans="1:13" ht="12.65" customHeight="1" x14ac:dyDescent="0.35">
      <c r="A575" s="180" t="s">
        <v>588</v>
      </c>
      <c r="B575" s="241">
        <f>'Prior Year'!CD71</f>
        <v>0</v>
      </c>
      <c r="C575" s="241">
        <f>CD71</f>
        <v>0</v>
      </c>
      <c r="D575" s="181" t="s">
        <v>529</v>
      </c>
      <c r="E575" s="181" t="s">
        <v>529</v>
      </c>
      <c r="F575" s="264"/>
      <c r="G575" s="264"/>
      <c r="H575" s="266"/>
    </row>
    <row r="576" spans="1:13" ht="12.65" customHeight="1" x14ac:dyDescent="0.35">
      <c r="M576" s="266"/>
    </row>
    <row r="577" spans="13:13" ht="12.65" customHeight="1" x14ac:dyDescent="0.35">
      <c r="M577" s="266"/>
    </row>
    <row r="578" spans="13:13" ht="12.65" customHeight="1" x14ac:dyDescent="0.35">
      <c r="M578" s="266"/>
    </row>
    <row r="612" spans="1:14" ht="12.65" customHeight="1" x14ac:dyDescent="0.35">
      <c r="A612" s="196"/>
      <c r="C612" s="181" t="s">
        <v>589</v>
      </c>
      <c r="D612" s="180">
        <f>CE76-(BE76+CD76)</f>
        <v>54828</v>
      </c>
      <c r="E612" s="180">
        <f>SUM(C624:D647)+SUM(C668:D713)</f>
        <v>24541838.720042676</v>
      </c>
      <c r="F612" s="180">
        <f>CE64-(AX64+BD64+BE64+BG64+BJ64+BN64+BP64+BQ64+CB64+CC64+CD64)</f>
        <v>2180752.790000001</v>
      </c>
      <c r="G612" s="180">
        <f>CE77-(AX77+AY77+BD77+BE77+BG77+BJ77+BN77+BP77+BQ77+CB77+CC77+CD77)</f>
        <v>4581</v>
      </c>
      <c r="H612" s="197">
        <f>CE60-(AX60+AY60+AZ60+BD60+BE60+BG60+BJ60+BN60+BO60+BP60+BQ60+BR60+CB60+CC60+CD60)</f>
        <v>166.11</v>
      </c>
      <c r="I612" s="180">
        <f>CE78-(AX78+AY78+AZ78+BD78+BE78+BF78+BG78+BJ78+BN78+BO78+BP78+BQ78+BR78+CB78+CC78+CD78)</f>
        <v>0</v>
      </c>
      <c r="J612" s="180">
        <f>CE79-(AX79+AY79+AZ79+BA79+BD79+BE79+BF79+BG79+BJ79+BN79+BO79+BP79+BQ79+BR79+CB79+CC79+CD79)</f>
        <v>0</v>
      </c>
      <c r="K612" s="180">
        <f>CE75-(AW75+AX75+AY75+AZ75+BA75+BB75+BC75+BD75+BE75+BF75+BG75+BH75+BI75+BJ75+BK75+BL75+BM75+BN75+BO75+BP75+BQ75+BR75+BS75+BT75+BU75+BV75+BW75+BX75+CB75+CC75+CD75)</f>
        <v>46719620.219999999</v>
      </c>
      <c r="L612" s="197">
        <f>CE80-(AW80+AX80+AY80+AZ80+BA80+BB80+BC80+BD80+BE80+BF80+BG80+BH80+BI80+BJ80+BK80+BL80+BM80+BN80+BO80+BP80+BQ80+BR80+BS80+BT80+BU80+BV80+BW80+BX80+BY80+BZ80+CA80+CB80+CC80+CD80)</f>
        <v>20.69</v>
      </c>
    </row>
    <row r="613" spans="1:14" ht="12.65" customHeight="1" x14ac:dyDescent="0.3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5">
      <c r="A614" s="196">
        <v>8430</v>
      </c>
      <c r="B614" s="198" t="s">
        <v>140</v>
      </c>
      <c r="C614" s="180">
        <f>BE71</f>
        <v>911602.36999999976</v>
      </c>
      <c r="N614" s="199" t="s">
        <v>600</v>
      </c>
    </row>
    <row r="615" spans="1:14" ht="12.65" customHeight="1" x14ac:dyDescent="0.35">
      <c r="A615" s="196"/>
      <c r="B615" s="198" t="s">
        <v>601</v>
      </c>
      <c r="C615" s="274">
        <f>CD69-CD70</f>
        <v>0</v>
      </c>
      <c r="D615" s="267">
        <f>SUM(C614:C615)</f>
        <v>911602.36999999976</v>
      </c>
      <c r="N615" s="199" t="s">
        <v>602</v>
      </c>
    </row>
    <row r="616" spans="1:14" ht="12.65" customHeight="1" x14ac:dyDescent="0.3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5" customHeight="1" x14ac:dyDescent="0.35">
      <c r="A617" s="196">
        <v>8510</v>
      </c>
      <c r="B617" s="200" t="s">
        <v>145</v>
      </c>
      <c r="C617" s="180">
        <f>BJ71</f>
        <v>449177.41000000003</v>
      </c>
      <c r="D617" s="180">
        <f>(D615/D612)*BJ76</f>
        <v>10308.482333844018</v>
      </c>
      <c r="N617" s="199" t="s">
        <v>605</v>
      </c>
    </row>
    <row r="618" spans="1:14" ht="12.65" customHeight="1" x14ac:dyDescent="0.3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5" customHeight="1" x14ac:dyDescent="0.35">
      <c r="A619" s="196">
        <v>8610</v>
      </c>
      <c r="B619" s="200" t="s">
        <v>608</v>
      </c>
      <c r="C619" s="180">
        <f>BN71</f>
        <v>3627233.1999999993</v>
      </c>
      <c r="D619" s="180">
        <f>(D615/D612)*BN76</f>
        <v>100324.81032647549</v>
      </c>
      <c r="N619" s="199" t="s">
        <v>609</v>
      </c>
    </row>
    <row r="620" spans="1:14" ht="12.65" customHeight="1" x14ac:dyDescent="0.35">
      <c r="A620" s="196">
        <v>8790</v>
      </c>
      <c r="B620" s="200" t="s">
        <v>610</v>
      </c>
      <c r="C620" s="180">
        <f>CC71</f>
        <v>45423.08</v>
      </c>
      <c r="D620" s="180">
        <f>(D615/D612)*CC76</f>
        <v>4588.9372970015302</v>
      </c>
      <c r="N620" s="199" t="s">
        <v>611</v>
      </c>
    </row>
    <row r="621" spans="1:14" ht="12.65" customHeight="1" x14ac:dyDescent="0.3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5" customHeight="1" x14ac:dyDescent="0.3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5" customHeight="1" x14ac:dyDescent="0.3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4237055.9199573202</v>
      </c>
      <c r="N623" s="199" t="s">
        <v>617</v>
      </c>
    </row>
    <row r="624" spans="1:14" ht="12.65" customHeight="1" x14ac:dyDescent="0.35">
      <c r="A624" s="196">
        <v>8420</v>
      </c>
      <c r="B624" s="200" t="s">
        <v>139</v>
      </c>
      <c r="C624" s="180">
        <f>BD71</f>
        <v>85196.48000000001</v>
      </c>
      <c r="D624" s="180">
        <f>(D615/D612)*BD76</f>
        <v>14681.274033523012</v>
      </c>
      <c r="E624" s="180">
        <f>(E623/E612)*SUM(C624:D624)</f>
        <v>17243.51764459171</v>
      </c>
      <c r="F624" s="180">
        <f>SUM(C624:E624)</f>
        <v>117121.27167811475</v>
      </c>
      <c r="N624" s="199" t="s">
        <v>618</v>
      </c>
    </row>
    <row r="625" spans="1:14" ht="12.65" customHeight="1" x14ac:dyDescent="0.35">
      <c r="A625" s="196">
        <v>8320</v>
      </c>
      <c r="B625" s="200" t="s">
        <v>135</v>
      </c>
      <c r="C625" s="180">
        <f>AY71</f>
        <v>583147.67999999993</v>
      </c>
      <c r="D625" s="180">
        <f>(D615/D612)*AY76</f>
        <v>19985.154460129852</v>
      </c>
      <c r="E625" s="180">
        <f>(E623/E612)*SUM(C625:D625)</f>
        <v>104128.60975583362</v>
      </c>
      <c r="F625" s="180">
        <f>(F624/F612)*AY64</f>
        <v>9681.7424141849824</v>
      </c>
      <c r="G625" s="180">
        <f>SUM(C625:F625)</f>
        <v>716943.18663014832</v>
      </c>
      <c r="N625" s="199" t="s">
        <v>619</v>
      </c>
    </row>
    <row r="626" spans="1:14" ht="12.65" customHeight="1" x14ac:dyDescent="0.35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5" customHeight="1" x14ac:dyDescent="0.3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5" customHeight="1" x14ac:dyDescent="0.35">
      <c r="A628" s="196">
        <v>8330</v>
      </c>
      <c r="B628" s="200" t="s">
        <v>136</v>
      </c>
      <c r="C628" s="180">
        <f>AZ71</f>
        <v>0</v>
      </c>
      <c r="D628" s="180">
        <f>(D615/D612)*AZ76</f>
        <v>17740.565564857367</v>
      </c>
      <c r="E628" s="180">
        <f>(E623/E612)*SUM(C628:D628)</f>
        <v>3062.8417539302927</v>
      </c>
      <c r="F628" s="180">
        <f>(F624/F612)*AZ64</f>
        <v>0</v>
      </c>
      <c r="G628" s="180">
        <f>(G625/G612)*AZ77</f>
        <v>0</v>
      </c>
      <c r="H628" s="180">
        <f>SUM(C626:G628)</f>
        <v>20803.40731878766</v>
      </c>
      <c r="N628" s="199" t="s">
        <v>623</v>
      </c>
    </row>
    <row r="629" spans="1:14" ht="12.65" customHeight="1" x14ac:dyDescent="0.35">
      <c r="A629" s="196">
        <v>8460</v>
      </c>
      <c r="B629" s="200" t="s">
        <v>141</v>
      </c>
      <c r="C629" s="180">
        <f>BF71</f>
        <v>606586.75</v>
      </c>
      <c r="D629" s="180">
        <f>(D615/D612)*BF76</f>
        <v>22146.61043335521</v>
      </c>
      <c r="E629" s="180">
        <f>(E623/E612)*SUM(C629:D629)</f>
        <v>108548.44403827029</v>
      </c>
      <c r="F629" s="180">
        <f>(F624/F612)*BF64</f>
        <v>2093.6895591477855</v>
      </c>
      <c r="G629" s="180">
        <f>(G625/G612)*BF77</f>
        <v>0</v>
      </c>
      <c r="H629" s="180">
        <f>(H628/H612)*BF60</f>
        <v>1199.7871417373174</v>
      </c>
      <c r="I629" s="180">
        <f>SUM(C629:H629)</f>
        <v>740575.28117251059</v>
      </c>
      <c r="N629" s="199" t="s">
        <v>624</v>
      </c>
    </row>
    <row r="630" spans="1:14" ht="12.65" customHeight="1" x14ac:dyDescent="0.35">
      <c r="A630" s="196">
        <v>8350</v>
      </c>
      <c r="B630" s="200" t="s">
        <v>625</v>
      </c>
      <c r="C630" s="180">
        <f>BA71</f>
        <v>0</v>
      </c>
      <c r="D630" s="180">
        <f>(D615/D612)*BA76</f>
        <v>0</v>
      </c>
      <c r="E630" s="180">
        <f>(E623/E612)*SUM(C630:D630)</f>
        <v>0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 t="e">
        <f>(I629/I612)*BA78</f>
        <v>#DIV/0!</v>
      </c>
      <c r="J630" s="180" t="e">
        <f>SUM(C630:I630)</f>
        <v>#DIV/0!</v>
      </c>
      <c r="N630" s="199" t="s">
        <v>626</v>
      </c>
    </row>
    <row r="631" spans="1:14" ht="12.65" customHeight="1" x14ac:dyDescent="0.35">
      <c r="A631" s="196">
        <v>8200</v>
      </c>
      <c r="B631" s="200" t="s">
        <v>627</v>
      </c>
      <c r="C631" s="180">
        <f>AW71</f>
        <v>77605.5</v>
      </c>
      <c r="D631" s="180">
        <f>(D615/D612)*AW76</f>
        <v>0</v>
      </c>
      <c r="E631" s="180">
        <f>(E623/E612)*SUM(C631:D631)</f>
        <v>13398.296963287843</v>
      </c>
      <c r="F631" s="180">
        <f>(F624/F612)*AW64</f>
        <v>73.287773310260675</v>
      </c>
      <c r="G631" s="180">
        <f>(G625/G612)*AW77</f>
        <v>0</v>
      </c>
      <c r="H631" s="180">
        <f>(H628/H612)*AW60</f>
        <v>95.181443394609715</v>
      </c>
      <c r="I631" s="180" t="e">
        <f>(I629/I612)*AW78</f>
        <v>#DIV/0!</v>
      </c>
      <c r="J631" s="180" t="e">
        <f>(J630/J612)*AW79</f>
        <v>#DIV/0!</v>
      </c>
      <c r="N631" s="199" t="s">
        <v>628</v>
      </c>
    </row>
    <row r="632" spans="1:14" ht="12.65" customHeight="1" x14ac:dyDescent="0.3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 t="e">
        <f>(I629/I612)*BB78</f>
        <v>#DIV/0!</v>
      </c>
      <c r="J632" s="180" t="e">
        <f>(J630/J612)*BB79</f>
        <v>#DIV/0!</v>
      </c>
      <c r="N632" s="199" t="s">
        <v>630</v>
      </c>
    </row>
    <row r="633" spans="1:14" ht="12.65" customHeight="1" x14ac:dyDescent="0.35">
      <c r="A633" s="196">
        <v>8370</v>
      </c>
      <c r="B633" s="200" t="s">
        <v>631</v>
      </c>
      <c r="C633" s="180">
        <f>BC71</f>
        <v>13620.220000000001</v>
      </c>
      <c r="D633" s="180">
        <f>(D615/D612)*BC76</f>
        <v>0</v>
      </c>
      <c r="E633" s="180">
        <f>(E623/E612)*SUM(C633:D633)</f>
        <v>2351.4796279298807</v>
      </c>
      <c r="F633" s="180">
        <f>(F624/F612)*BC64</f>
        <v>89.861694300115843</v>
      </c>
      <c r="G633" s="180">
        <f>(G625/G612)*BC77</f>
        <v>0</v>
      </c>
      <c r="H633" s="180">
        <f>(H628/H612)*BC60</f>
        <v>35.066847566435165</v>
      </c>
      <c r="I633" s="180" t="e">
        <f>(I629/I612)*BC78</f>
        <v>#DIV/0!</v>
      </c>
      <c r="J633" s="180" t="e">
        <f>(J630/J612)*BC79</f>
        <v>#DIV/0!</v>
      </c>
      <c r="N633" s="199" t="s">
        <v>632</v>
      </c>
    </row>
    <row r="634" spans="1:14" ht="12.65" customHeight="1" x14ac:dyDescent="0.3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 t="e">
        <f>(I629/I612)*BI78</f>
        <v>#DIV/0!</v>
      </c>
      <c r="J634" s="180" t="e">
        <f>(J630/J612)*BI79</f>
        <v>#DIV/0!</v>
      </c>
      <c r="N634" s="199" t="s">
        <v>634</v>
      </c>
    </row>
    <row r="635" spans="1:14" ht="12.65" customHeight="1" x14ac:dyDescent="0.35">
      <c r="A635" s="196">
        <v>8530</v>
      </c>
      <c r="B635" s="200" t="s">
        <v>635</v>
      </c>
      <c r="C635" s="180">
        <f>BK71</f>
        <v>1017806.93</v>
      </c>
      <c r="D635" s="180">
        <f>(D615/D612)*BK76</f>
        <v>28614.351768621862</v>
      </c>
      <c r="E635" s="180">
        <f>(E623/E612)*SUM(C635:D635)</f>
        <v>180660.68876355799</v>
      </c>
      <c r="F635" s="180">
        <f>(F624/F612)*BK64</f>
        <v>448.92715316283466</v>
      </c>
      <c r="G635" s="180">
        <f>(G625/G612)*BK77</f>
        <v>0</v>
      </c>
      <c r="H635" s="180">
        <f>(H628/H612)*BK60</f>
        <v>1304.9876844366227</v>
      </c>
      <c r="I635" s="180" t="e">
        <f>(I629/I612)*BK78</f>
        <v>#DIV/0!</v>
      </c>
      <c r="J635" s="180" t="e">
        <f>(J630/J612)*BK79</f>
        <v>#DIV/0!</v>
      </c>
      <c r="N635" s="199" t="s">
        <v>636</v>
      </c>
    </row>
    <row r="636" spans="1:14" ht="12.65" customHeight="1" x14ac:dyDescent="0.35">
      <c r="A636" s="196">
        <v>8480</v>
      </c>
      <c r="B636" s="200" t="s">
        <v>637</v>
      </c>
      <c r="C636" s="180">
        <f>BH71</f>
        <v>1263360.6800000002</v>
      </c>
      <c r="D636" s="180">
        <f>(D615/D612)*BH76</f>
        <v>26120.364107207988</v>
      </c>
      <c r="E636" s="180">
        <f>(E623/E612)*SUM(C636:D636)</f>
        <v>222624.04027393481</v>
      </c>
      <c r="F636" s="180">
        <f>(F624/F612)*BH64</f>
        <v>1297.724049735544</v>
      </c>
      <c r="G636" s="180">
        <f>(G625/G612)*BH77</f>
        <v>0</v>
      </c>
      <c r="H636" s="180">
        <f>(H628/H612)*BH60</f>
        <v>731.39424924279047</v>
      </c>
      <c r="I636" s="180" t="e">
        <f>(I629/I612)*BH78</f>
        <v>#DIV/0!</v>
      </c>
      <c r="J636" s="180" t="e">
        <f>(J630/J612)*BH79</f>
        <v>#DIV/0!</v>
      </c>
      <c r="N636" s="199" t="s">
        <v>638</v>
      </c>
    </row>
    <row r="637" spans="1:14" ht="12.65" customHeight="1" x14ac:dyDescent="0.35">
      <c r="A637" s="196">
        <v>8560</v>
      </c>
      <c r="B637" s="200" t="s">
        <v>147</v>
      </c>
      <c r="C637" s="180">
        <f>BL71</f>
        <v>241877.33</v>
      </c>
      <c r="D637" s="180">
        <f>(D615/D612)*BL76</f>
        <v>6816.8996078645923</v>
      </c>
      <c r="E637" s="180">
        <f>(E623/E612)*SUM(C637:D637)</f>
        <v>42936.121039646183</v>
      </c>
      <c r="F637" s="180">
        <f>(F624/F612)*BL64</f>
        <v>297.49489988284273</v>
      </c>
      <c r="G637" s="180">
        <f>(G625/G612)*BL77</f>
        <v>0</v>
      </c>
      <c r="H637" s="180">
        <f>(H628/H612)*BL60</f>
        <v>641.22235550052869</v>
      </c>
      <c r="I637" s="180" t="e">
        <f>(I629/I612)*BL78</f>
        <v>#DIV/0!</v>
      </c>
      <c r="J637" s="180" t="e">
        <f>(J630/J612)*BL79</f>
        <v>#DIV/0!</v>
      </c>
      <c r="N637" s="199" t="s">
        <v>639</v>
      </c>
    </row>
    <row r="638" spans="1:14" ht="12.65" customHeight="1" x14ac:dyDescent="0.3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 t="e">
        <f>(I629/I612)*BM78</f>
        <v>#DIV/0!</v>
      </c>
      <c r="J638" s="180" t="e">
        <f>(J630/J612)*BM79</f>
        <v>#DIV/0!</v>
      </c>
      <c r="N638" s="199" t="s">
        <v>641</v>
      </c>
    </row>
    <row r="639" spans="1:14" ht="12.65" customHeight="1" x14ac:dyDescent="0.3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 t="e">
        <f>(I629/I612)*BS78</f>
        <v>#DIV/0!</v>
      </c>
      <c r="J639" s="180" t="e">
        <f>(J630/J612)*BS79</f>
        <v>#DIV/0!</v>
      </c>
      <c r="N639" s="199" t="s">
        <v>643</v>
      </c>
    </row>
    <row r="640" spans="1:14" ht="12.65" customHeight="1" x14ac:dyDescent="0.3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 t="e">
        <f>(I629/I612)*BT78</f>
        <v>#DIV/0!</v>
      </c>
      <c r="J640" s="180" t="e">
        <f>(J630/J612)*BT79</f>
        <v>#DIV/0!</v>
      </c>
      <c r="N640" s="199" t="s">
        <v>645</v>
      </c>
    </row>
    <row r="641" spans="1:14" ht="12.65" customHeight="1" x14ac:dyDescent="0.3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 t="e">
        <f>(I629/I612)*BU78</f>
        <v>#DIV/0!</v>
      </c>
      <c r="J641" s="180" t="e">
        <f>(J630/J612)*BU79</f>
        <v>#DIV/0!</v>
      </c>
      <c r="N641" s="199" t="s">
        <v>647</v>
      </c>
    </row>
    <row r="642" spans="1:14" ht="12.65" customHeight="1" x14ac:dyDescent="0.35">
      <c r="A642" s="196">
        <v>8690</v>
      </c>
      <c r="B642" s="200" t="s">
        <v>648</v>
      </c>
      <c r="C642" s="180">
        <f>BV71</f>
        <v>407093.09</v>
      </c>
      <c r="D642" s="180">
        <f>(D615/D612)*BV76</f>
        <v>25305.661471146119</v>
      </c>
      <c r="E642" s="180">
        <f>(E623/E612)*SUM(C642:D642)</f>
        <v>74652.014081029207</v>
      </c>
      <c r="F642" s="180">
        <f>(F624/F612)*BV64</f>
        <v>113.63071637555394</v>
      </c>
      <c r="G642" s="180">
        <f>(G625/G612)*BV77</f>
        <v>0</v>
      </c>
      <c r="H642" s="180">
        <f>(H628/H612)*BV60</f>
        <v>905.4760996618794</v>
      </c>
      <c r="I642" s="180" t="e">
        <f>(I629/I612)*BV78</f>
        <v>#DIV/0!</v>
      </c>
      <c r="J642" s="180" t="e">
        <f>(J630/J612)*BV79</f>
        <v>#DIV/0!</v>
      </c>
      <c r="N642" s="199" t="s">
        <v>649</v>
      </c>
    </row>
    <row r="643" spans="1:14" ht="12.65" customHeight="1" x14ac:dyDescent="0.35">
      <c r="A643" s="196">
        <v>8700</v>
      </c>
      <c r="B643" s="200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 t="e">
        <f>(I629/I612)*BW78</f>
        <v>#DIV/0!</v>
      </c>
      <c r="J643" s="180" t="e">
        <f>(J630/J612)*BW79</f>
        <v>#DIV/0!</v>
      </c>
      <c r="N643" s="199" t="s">
        <v>651</v>
      </c>
    </row>
    <row r="644" spans="1:14" ht="12.65" customHeight="1" x14ac:dyDescent="0.3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 t="e">
        <f>(I629/I612)*BX78</f>
        <v>#DIV/0!</v>
      </c>
      <c r="J644" s="180" t="e">
        <f>(J630/J612)*BX79</f>
        <v>#DIV/0!</v>
      </c>
      <c r="K644" s="180" t="e">
        <f>SUM(C631:J644)</f>
        <v>#DIV/0!</v>
      </c>
      <c r="N644" s="199" t="s">
        <v>653</v>
      </c>
    </row>
    <row r="645" spans="1:14" ht="12.65" customHeight="1" x14ac:dyDescent="0.35">
      <c r="A645" s="196">
        <v>8720</v>
      </c>
      <c r="B645" s="200" t="s">
        <v>654</v>
      </c>
      <c r="C645" s="180">
        <f>BY71</f>
        <v>294658.03999999998</v>
      </c>
      <c r="D645" s="180">
        <f>(D615/D612)*BY76</f>
        <v>1862.1774538556936</v>
      </c>
      <c r="E645" s="180">
        <f>(E623/E612)*SUM(C645:D645)</f>
        <v>51193.097513261891</v>
      </c>
      <c r="F645" s="180">
        <f>(F624/F612)*BY64</f>
        <v>14.406314213605791</v>
      </c>
      <c r="G645" s="180">
        <f>(G625/G612)*BY77</f>
        <v>0</v>
      </c>
      <c r="H645" s="180">
        <f>(H628/H612)*BY60</f>
        <v>409.5306840794392</v>
      </c>
      <c r="I645" s="180" t="e">
        <f>(I629/I612)*BY78</f>
        <v>#DIV/0!</v>
      </c>
      <c r="J645" s="180" t="e">
        <f>(J630/J612)*BY79</f>
        <v>#DIV/0!</v>
      </c>
      <c r="K645" s="180">
        <v>0</v>
      </c>
      <c r="N645" s="199" t="s">
        <v>655</v>
      </c>
    </row>
    <row r="646" spans="1:14" ht="12.65" customHeight="1" x14ac:dyDescent="0.3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 t="e">
        <f>(I629/I612)*BZ78</f>
        <v>#DIV/0!</v>
      </c>
      <c r="J646" s="180" t="e">
        <f>(J630/J612)*BZ79</f>
        <v>#DIV/0!</v>
      </c>
      <c r="K646" s="180">
        <v>0</v>
      </c>
      <c r="N646" s="199" t="s">
        <v>657</v>
      </c>
    </row>
    <row r="647" spans="1:14" ht="12.65" customHeight="1" x14ac:dyDescent="0.3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 t="e">
        <f>(I629/I612)*CA78</f>
        <v>#DIV/0!</v>
      </c>
      <c r="J647" s="180" t="e">
        <f>(J630/J612)*CA79</f>
        <v>#DIV/0!</v>
      </c>
      <c r="K647" s="180">
        <v>0</v>
      </c>
      <c r="L647" s="180" t="e">
        <f>SUM(C645:K647)</f>
        <v>#DIV/0!</v>
      </c>
      <c r="N647" s="199" t="s">
        <v>659</v>
      </c>
    </row>
    <row r="648" spans="1:14" ht="12.65" customHeight="1" x14ac:dyDescent="0.35">
      <c r="A648" s="196"/>
      <c r="B648" s="196"/>
      <c r="C648" s="180">
        <f>SUM(C614:C647)</f>
        <v>9624388.7599999979</v>
      </c>
      <c r="L648" s="267"/>
    </row>
    <row r="666" spans="1:14" ht="12.65" customHeight="1" x14ac:dyDescent="0.35">
      <c r="C666" s="181" t="s">
        <v>660</v>
      </c>
      <c r="M666" s="181" t="s">
        <v>661</v>
      </c>
    </row>
    <row r="667" spans="1:14" ht="12.65" customHeight="1" x14ac:dyDescent="0.3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 t="e">
        <f>(I629/I612)*C78</f>
        <v>#DIV/0!</v>
      </c>
      <c r="J668" s="180" t="e">
        <f>(J630/J612)*C79</f>
        <v>#DIV/0!</v>
      </c>
      <c r="K668" s="180" t="e">
        <f>(K644/K612)*C75</f>
        <v>#DIV/0!</v>
      </c>
      <c r="L668" s="180" t="e">
        <f>(L647/L612)*C80</f>
        <v>#DIV/0!</v>
      </c>
      <c r="M668" s="180" t="e">
        <f t="shared" ref="M668:M713" si="21">ROUND(SUM(D668:L668),0)</f>
        <v>#DIV/0!</v>
      </c>
      <c r="N668" s="198" t="s">
        <v>663</v>
      </c>
    </row>
    <row r="669" spans="1:14" ht="12.65" customHeight="1" x14ac:dyDescent="0.3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 t="e">
        <f>(I629/I612)*D78</f>
        <v>#DIV/0!</v>
      </c>
      <c r="J669" s="180" t="e">
        <f>(J630/J612)*D79</f>
        <v>#DIV/0!</v>
      </c>
      <c r="K669" s="180" t="e">
        <f>(K644/K612)*D75</f>
        <v>#DIV/0!</v>
      </c>
      <c r="L669" s="180" t="e">
        <f>(L647/L612)*D80</f>
        <v>#DIV/0!</v>
      </c>
      <c r="M669" s="180" t="e">
        <f t="shared" si="21"/>
        <v>#DIV/0!</v>
      </c>
      <c r="N669" s="198" t="s">
        <v>664</v>
      </c>
    </row>
    <row r="670" spans="1:14" ht="12.65" customHeight="1" x14ac:dyDescent="0.35">
      <c r="A670" s="196">
        <v>6070</v>
      </c>
      <c r="B670" s="198" t="s">
        <v>665</v>
      </c>
      <c r="C670" s="180">
        <f>E71</f>
        <v>2845351.9199999995</v>
      </c>
      <c r="D670" s="180">
        <f>(D615/D612)*E76</f>
        <v>149423.11408750998</v>
      </c>
      <c r="E670" s="180">
        <f>(E623/E612)*SUM(C670:D670)</f>
        <v>517036.61782921216</v>
      </c>
      <c r="F670" s="180">
        <f>(F624/F612)*E64</f>
        <v>4775.0980903762056</v>
      </c>
      <c r="G670" s="180">
        <f>(G625/G612)*E77</f>
        <v>716943.18663014832</v>
      </c>
      <c r="H670" s="180">
        <f>(H628/H612)*E60</f>
        <v>2340.7120750595473</v>
      </c>
      <c r="I670" s="180" t="e">
        <f>(I629/I612)*E78</f>
        <v>#DIV/0!</v>
      </c>
      <c r="J670" s="180" t="e">
        <f>(J630/J612)*E79</f>
        <v>#DIV/0!</v>
      </c>
      <c r="K670" s="180" t="e">
        <f>(K644/K612)*E75</f>
        <v>#DIV/0!</v>
      </c>
      <c r="L670" s="180" t="e">
        <f>(L647/L612)*E80</f>
        <v>#DIV/0!</v>
      </c>
      <c r="M670" s="180" t="e">
        <f t="shared" si="21"/>
        <v>#DIV/0!</v>
      </c>
      <c r="N670" s="198" t="s">
        <v>666</v>
      </c>
    </row>
    <row r="671" spans="1:14" ht="12.65" customHeight="1" x14ac:dyDescent="0.3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 t="e">
        <f>(I629/I612)*F78</f>
        <v>#DIV/0!</v>
      </c>
      <c r="J671" s="180" t="e">
        <f>(J630/J612)*F79</f>
        <v>#DIV/0!</v>
      </c>
      <c r="K671" s="180" t="e">
        <f>(K644/K612)*F75</f>
        <v>#DIV/0!</v>
      </c>
      <c r="L671" s="180" t="e">
        <f>(L647/L612)*F80</f>
        <v>#DIV/0!</v>
      </c>
      <c r="M671" s="180" t="e">
        <f t="shared" si="21"/>
        <v>#DIV/0!</v>
      </c>
      <c r="N671" s="198" t="s">
        <v>668</v>
      </c>
    </row>
    <row r="672" spans="1:14" ht="12.65" customHeight="1" x14ac:dyDescent="0.3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 t="e">
        <f>(I629/I612)*G78</f>
        <v>#DIV/0!</v>
      </c>
      <c r="J672" s="180" t="e">
        <f>(J630/J612)*G79</f>
        <v>#DIV/0!</v>
      </c>
      <c r="K672" s="180" t="e">
        <f>(K644/K612)*G75</f>
        <v>#DIV/0!</v>
      </c>
      <c r="L672" s="180" t="e">
        <f>(L647/L612)*G80</f>
        <v>#DIV/0!</v>
      </c>
      <c r="M672" s="180" t="e">
        <f t="shared" si="21"/>
        <v>#DIV/0!</v>
      </c>
      <c r="N672" s="198" t="s">
        <v>670</v>
      </c>
    </row>
    <row r="673" spans="1:14" ht="12.65" customHeight="1" x14ac:dyDescent="0.3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 t="e">
        <f>(I629/I612)*H78</f>
        <v>#DIV/0!</v>
      </c>
      <c r="J673" s="180" t="e">
        <f>(J630/J612)*H79</f>
        <v>#DIV/0!</v>
      </c>
      <c r="K673" s="180" t="e">
        <f>(K644/K612)*H75</f>
        <v>#DIV/0!</v>
      </c>
      <c r="L673" s="180" t="e">
        <f>(L647/L612)*H80</f>
        <v>#DIV/0!</v>
      </c>
      <c r="M673" s="180" t="e">
        <f t="shared" si="21"/>
        <v>#DIV/0!</v>
      </c>
      <c r="N673" s="198" t="s">
        <v>672</v>
      </c>
    </row>
    <row r="674" spans="1:14" ht="12.65" customHeight="1" x14ac:dyDescent="0.3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 t="e">
        <f>(I629/I612)*I78</f>
        <v>#DIV/0!</v>
      </c>
      <c r="J674" s="180" t="e">
        <f>(J630/J612)*I79</f>
        <v>#DIV/0!</v>
      </c>
      <c r="K674" s="180" t="e">
        <f>(K644/K612)*I75</f>
        <v>#DIV/0!</v>
      </c>
      <c r="L674" s="180" t="e">
        <f>(L647/L612)*I80</f>
        <v>#DIV/0!</v>
      </c>
      <c r="M674" s="180" t="e">
        <f t="shared" si="21"/>
        <v>#DIV/0!</v>
      </c>
      <c r="N674" s="198" t="s">
        <v>674</v>
      </c>
    </row>
    <row r="675" spans="1:14" ht="12.65" customHeight="1" x14ac:dyDescent="0.3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 t="e">
        <f>(I629/I612)*J78</f>
        <v>#DIV/0!</v>
      </c>
      <c r="J675" s="180" t="e">
        <f>(J630/J612)*J79</f>
        <v>#DIV/0!</v>
      </c>
      <c r="K675" s="180" t="e">
        <f>(K644/K612)*J75</f>
        <v>#DIV/0!</v>
      </c>
      <c r="L675" s="180" t="e">
        <f>(L647/L612)*J80</f>
        <v>#DIV/0!</v>
      </c>
      <c r="M675" s="180" t="e">
        <f t="shared" si="21"/>
        <v>#DIV/0!</v>
      </c>
      <c r="N675" s="198" t="s">
        <v>675</v>
      </c>
    </row>
    <row r="676" spans="1:14" ht="12.65" customHeight="1" x14ac:dyDescent="0.3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 t="e">
        <f>(I629/I612)*K78</f>
        <v>#DIV/0!</v>
      </c>
      <c r="J676" s="180" t="e">
        <f>(J630/J612)*K79</f>
        <v>#DIV/0!</v>
      </c>
      <c r="K676" s="180" t="e">
        <f>(K644/K612)*K75</f>
        <v>#DIV/0!</v>
      </c>
      <c r="L676" s="180" t="e">
        <f>(L647/L612)*K80</f>
        <v>#DIV/0!</v>
      </c>
      <c r="M676" s="180" t="e">
        <f t="shared" si="21"/>
        <v>#DIV/0!</v>
      </c>
      <c r="N676" s="198" t="s">
        <v>676</v>
      </c>
    </row>
    <row r="677" spans="1:14" ht="12.65" customHeight="1" x14ac:dyDescent="0.3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 t="e">
        <f>(I629/I612)*L78</f>
        <v>#DIV/0!</v>
      </c>
      <c r="J677" s="180" t="e">
        <f>(J630/J612)*L79</f>
        <v>#DIV/0!</v>
      </c>
      <c r="K677" s="180" t="e">
        <f>(K644/K612)*L75</f>
        <v>#DIV/0!</v>
      </c>
      <c r="L677" s="180" t="e">
        <f>(L647/L612)*L80</f>
        <v>#DIV/0!</v>
      </c>
      <c r="M677" s="180" t="e">
        <f t="shared" si="21"/>
        <v>#DIV/0!</v>
      </c>
      <c r="N677" s="198" t="s">
        <v>677</v>
      </c>
    </row>
    <row r="678" spans="1:14" ht="12.65" customHeight="1" x14ac:dyDescent="0.35">
      <c r="A678" s="196">
        <v>6330</v>
      </c>
      <c r="B678" s="198" t="s">
        <v>678</v>
      </c>
      <c r="C678" s="180">
        <f>M71</f>
        <v>544368.03999999992</v>
      </c>
      <c r="D678" s="180">
        <f>(D615/D612)*M76</f>
        <v>0</v>
      </c>
      <c r="E678" s="180">
        <f>(E623/E612)*SUM(C678:D678)</f>
        <v>93983.089565081784</v>
      </c>
      <c r="F678" s="180">
        <f>(F624/F612)*M64</f>
        <v>2847.0188447874525</v>
      </c>
      <c r="G678" s="180">
        <f>(G625/G612)*M77</f>
        <v>0</v>
      </c>
      <c r="H678" s="180">
        <f>(H628/H612)*M60</f>
        <v>763.95632198305168</v>
      </c>
      <c r="I678" s="180" t="e">
        <f>(I629/I612)*M78</f>
        <v>#DIV/0!</v>
      </c>
      <c r="J678" s="180" t="e">
        <f>(J630/J612)*M79</f>
        <v>#DIV/0!</v>
      </c>
      <c r="K678" s="180" t="e">
        <f>(K644/K612)*M75</f>
        <v>#DIV/0!</v>
      </c>
      <c r="L678" s="180" t="e">
        <f>(L647/L612)*M80</f>
        <v>#DIV/0!</v>
      </c>
      <c r="M678" s="180" t="e">
        <f t="shared" si="21"/>
        <v>#DIV/0!</v>
      </c>
      <c r="N678" s="198" t="s">
        <v>679</v>
      </c>
    </row>
    <row r="679" spans="1:14" ht="12.65" customHeight="1" x14ac:dyDescent="0.35">
      <c r="A679" s="196">
        <v>6400</v>
      </c>
      <c r="B679" s="198" t="s">
        <v>680</v>
      </c>
      <c r="C679" s="180">
        <f>N71</f>
        <v>335559.51999999996</v>
      </c>
      <c r="D679" s="180">
        <f>(D615/D612)*N76</f>
        <v>0</v>
      </c>
      <c r="E679" s="180">
        <f>(E623/E612)*SUM(C679:D679)</f>
        <v>57933.085900075719</v>
      </c>
      <c r="F679" s="180">
        <f>(F624/F612)*N64</f>
        <v>8.3707431156151166</v>
      </c>
      <c r="G679" s="180">
        <f>(G625/G612)*N77</f>
        <v>0</v>
      </c>
      <c r="H679" s="180">
        <f>(H628/H612)*N60</f>
        <v>310.59207844556857</v>
      </c>
      <c r="I679" s="180" t="e">
        <f>(I629/I612)*N78</f>
        <v>#DIV/0!</v>
      </c>
      <c r="J679" s="180" t="e">
        <f>(J630/J612)*N79</f>
        <v>#DIV/0!</v>
      </c>
      <c r="K679" s="180" t="e">
        <f>(K644/K612)*N75</f>
        <v>#DIV/0!</v>
      </c>
      <c r="L679" s="180" t="e">
        <f>(L647/L612)*N80</f>
        <v>#DIV/0!</v>
      </c>
      <c r="M679" s="180" t="e">
        <f t="shared" si="21"/>
        <v>#DIV/0!</v>
      </c>
      <c r="N679" s="198" t="s">
        <v>681</v>
      </c>
    </row>
    <row r="680" spans="1:14" ht="12.65" customHeight="1" x14ac:dyDescent="0.3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 t="e">
        <f>(I629/I612)*O78</f>
        <v>#DIV/0!</v>
      </c>
      <c r="J680" s="180" t="e">
        <f>(J630/J612)*O79</f>
        <v>#DIV/0!</v>
      </c>
      <c r="K680" s="180" t="e">
        <f>(K644/K612)*O75</f>
        <v>#DIV/0!</v>
      </c>
      <c r="L680" s="180" t="e">
        <f>(L647/L612)*O80</f>
        <v>#DIV/0!</v>
      </c>
      <c r="M680" s="180" t="e">
        <f t="shared" si="21"/>
        <v>#DIV/0!</v>
      </c>
      <c r="N680" s="198" t="s">
        <v>683</v>
      </c>
    </row>
    <row r="681" spans="1:14" ht="12.65" customHeight="1" x14ac:dyDescent="0.35">
      <c r="A681" s="196">
        <v>7020</v>
      </c>
      <c r="B681" s="198" t="s">
        <v>684</v>
      </c>
      <c r="C681" s="180">
        <f>P71</f>
        <v>1572299.72</v>
      </c>
      <c r="D681" s="180">
        <f>(D615/D612)*P76</f>
        <v>81437.010437367746</v>
      </c>
      <c r="E681" s="180">
        <f>(E623/E612)*SUM(C681:D681)</f>
        <v>285511.41109195288</v>
      </c>
      <c r="F681" s="180">
        <f>(F624/F612)*P64</f>
        <v>7027.1926577038948</v>
      </c>
      <c r="G681" s="180">
        <f>(G625/G612)*P77</f>
        <v>0</v>
      </c>
      <c r="H681" s="180">
        <f>(H628/H612)*P60</f>
        <v>1010.6766423611848</v>
      </c>
      <c r="I681" s="180" t="e">
        <f>(I629/I612)*P78</f>
        <v>#DIV/0!</v>
      </c>
      <c r="J681" s="180" t="e">
        <f>(J630/J612)*P79</f>
        <v>#DIV/0!</v>
      </c>
      <c r="K681" s="180" t="e">
        <f>(K644/K612)*P75</f>
        <v>#DIV/0!</v>
      </c>
      <c r="L681" s="180" t="e">
        <f>(L647/L612)*P80</f>
        <v>#DIV/0!</v>
      </c>
      <c r="M681" s="180" t="e">
        <f t="shared" si="21"/>
        <v>#DIV/0!</v>
      </c>
      <c r="N681" s="198" t="s">
        <v>685</v>
      </c>
    </row>
    <row r="682" spans="1:14" ht="12.65" customHeight="1" x14ac:dyDescent="0.35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 t="e">
        <f>(I629/I612)*Q78</f>
        <v>#DIV/0!</v>
      </c>
      <c r="J682" s="180" t="e">
        <f>(J630/J612)*Q79</f>
        <v>#DIV/0!</v>
      </c>
      <c r="K682" s="180" t="e">
        <f>(K644/K612)*Q75</f>
        <v>#DIV/0!</v>
      </c>
      <c r="L682" s="180" t="e">
        <f>(L647/L612)*Q80</f>
        <v>#DIV/0!</v>
      </c>
      <c r="M682" s="180" t="e">
        <f t="shared" si="21"/>
        <v>#DIV/0!</v>
      </c>
      <c r="N682" s="198" t="s">
        <v>687</v>
      </c>
    </row>
    <row r="683" spans="1:14" ht="12.65" customHeight="1" x14ac:dyDescent="0.35">
      <c r="A683" s="196">
        <v>7040</v>
      </c>
      <c r="B683" s="198" t="s">
        <v>107</v>
      </c>
      <c r="C683" s="180">
        <f>R71</f>
        <v>293047.01999999996</v>
      </c>
      <c r="D683" s="180">
        <f>(D615/D612)*R76</f>
        <v>0</v>
      </c>
      <c r="E683" s="180">
        <f>(E623/E612)*SUM(C683:D683)</f>
        <v>50593.463068552504</v>
      </c>
      <c r="F683" s="180">
        <f>(F624/F612)*R64</f>
        <v>575.07155583338624</v>
      </c>
      <c r="G683" s="180">
        <f>(G625/G612)*R77</f>
        <v>0</v>
      </c>
      <c r="H683" s="180">
        <f>(H628/H612)*R60</f>
        <v>112.7148671778273</v>
      </c>
      <c r="I683" s="180" t="e">
        <f>(I629/I612)*R78</f>
        <v>#DIV/0!</v>
      </c>
      <c r="J683" s="180" t="e">
        <f>(J630/J612)*R79</f>
        <v>#DIV/0!</v>
      </c>
      <c r="K683" s="180" t="e">
        <f>(K644/K612)*R75</f>
        <v>#DIV/0!</v>
      </c>
      <c r="L683" s="180" t="e">
        <f>(L647/L612)*R80</f>
        <v>#DIV/0!</v>
      </c>
      <c r="M683" s="180" t="e">
        <f t="shared" si="21"/>
        <v>#DIV/0!</v>
      </c>
      <c r="N683" s="198" t="s">
        <v>688</v>
      </c>
    </row>
    <row r="684" spans="1:14" ht="12.65" customHeight="1" x14ac:dyDescent="0.35">
      <c r="A684" s="196">
        <v>7050</v>
      </c>
      <c r="B684" s="198" t="s">
        <v>689</v>
      </c>
      <c r="C684" s="180">
        <f>S71</f>
        <v>0</v>
      </c>
      <c r="D684" s="180">
        <f>(D615/D612)*S76</f>
        <v>0</v>
      </c>
      <c r="E684" s="180">
        <f>(E623/E612)*SUM(C684:D684)</f>
        <v>0</v>
      </c>
      <c r="F684" s="180">
        <f>(F624/F612)*S64</f>
        <v>0</v>
      </c>
      <c r="G684" s="180">
        <f>(G625/G612)*S77</f>
        <v>0</v>
      </c>
      <c r="H684" s="180">
        <f>(H628/H612)*S60</f>
        <v>0</v>
      </c>
      <c r="I684" s="180" t="e">
        <f>(I629/I612)*S78</f>
        <v>#DIV/0!</v>
      </c>
      <c r="J684" s="180" t="e">
        <f>(J630/J612)*S79</f>
        <v>#DIV/0!</v>
      </c>
      <c r="K684" s="180" t="e">
        <f>(K644/K612)*S75</f>
        <v>#DIV/0!</v>
      </c>
      <c r="L684" s="180" t="e">
        <f>(L647/L612)*S80</f>
        <v>#DIV/0!</v>
      </c>
      <c r="M684" s="180" t="e">
        <f t="shared" si="21"/>
        <v>#DIV/0!</v>
      </c>
      <c r="N684" s="198" t="s">
        <v>690</v>
      </c>
    </row>
    <row r="685" spans="1:14" ht="12.65" customHeight="1" x14ac:dyDescent="0.3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 t="e">
        <f>(I629/I612)*T78</f>
        <v>#DIV/0!</v>
      </c>
      <c r="J685" s="180" t="e">
        <f>(J630/J612)*T79</f>
        <v>#DIV/0!</v>
      </c>
      <c r="K685" s="180" t="e">
        <f>(K644/K612)*T75</f>
        <v>#DIV/0!</v>
      </c>
      <c r="L685" s="180" t="e">
        <f>(L647/L612)*T80</f>
        <v>#DIV/0!</v>
      </c>
      <c r="M685" s="180" t="e">
        <f t="shared" si="21"/>
        <v>#DIV/0!</v>
      </c>
      <c r="N685" s="198" t="s">
        <v>692</v>
      </c>
    </row>
    <row r="686" spans="1:14" ht="12.65" customHeight="1" x14ac:dyDescent="0.35">
      <c r="A686" s="196">
        <v>7070</v>
      </c>
      <c r="B686" s="198" t="s">
        <v>109</v>
      </c>
      <c r="C686" s="180">
        <f>U71</f>
        <v>1596606.72</v>
      </c>
      <c r="D686" s="180">
        <f>(D615/D612)*U76</f>
        <v>29661.826586415689</v>
      </c>
      <c r="E686" s="180">
        <f>(E623/E612)*SUM(C686:D686)</f>
        <v>280769.13271893497</v>
      </c>
      <c r="F686" s="180">
        <f>(F624/F612)*U64</f>
        <v>25194.587125913113</v>
      </c>
      <c r="G686" s="180">
        <f>(G625/G612)*U77</f>
        <v>0</v>
      </c>
      <c r="H686" s="180">
        <f>(H628/H612)*U60</f>
        <v>1158.4583571054472</v>
      </c>
      <c r="I686" s="180" t="e">
        <f>(I629/I612)*U78</f>
        <v>#DIV/0!</v>
      </c>
      <c r="J686" s="180" t="e">
        <f>(J630/J612)*U79</f>
        <v>#DIV/0!</v>
      </c>
      <c r="K686" s="180" t="e">
        <f>(K644/K612)*U75</f>
        <v>#DIV/0!</v>
      </c>
      <c r="L686" s="180" t="e">
        <f>(L647/L612)*U80</f>
        <v>#DIV/0!</v>
      </c>
      <c r="M686" s="180" t="e">
        <f t="shared" si="21"/>
        <v>#DIV/0!</v>
      </c>
      <c r="N686" s="198" t="s">
        <v>693</v>
      </c>
    </row>
    <row r="687" spans="1:14" ht="12.65" customHeight="1" x14ac:dyDescent="0.35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 t="e">
        <f>(I629/I612)*V78</f>
        <v>#DIV/0!</v>
      </c>
      <c r="J687" s="180" t="e">
        <f>(J630/J612)*V79</f>
        <v>#DIV/0!</v>
      </c>
      <c r="K687" s="180" t="e">
        <f>(K644/K612)*V75</f>
        <v>#DIV/0!</v>
      </c>
      <c r="L687" s="180" t="e">
        <f>(L647/L612)*V80</f>
        <v>#DIV/0!</v>
      </c>
      <c r="M687" s="180" t="e">
        <f t="shared" si="21"/>
        <v>#DIV/0!</v>
      </c>
      <c r="N687" s="198" t="s">
        <v>695</v>
      </c>
    </row>
    <row r="688" spans="1:14" ht="12.65" customHeight="1" x14ac:dyDescent="0.35">
      <c r="A688" s="196">
        <v>7120</v>
      </c>
      <c r="B688" s="198" t="s">
        <v>696</v>
      </c>
      <c r="C688" s="180">
        <f>W71</f>
        <v>288434.71999999997</v>
      </c>
      <c r="D688" s="180">
        <f>(D615/D612)*W76</f>
        <v>0</v>
      </c>
      <c r="E688" s="180">
        <f>(E623/E612)*SUM(C688:D688)</f>
        <v>49797.166864240025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 t="e">
        <f>(I629/I612)*W78</f>
        <v>#DIV/0!</v>
      </c>
      <c r="J688" s="180" t="e">
        <f>(J630/J612)*W79</f>
        <v>#DIV/0!</v>
      </c>
      <c r="K688" s="180" t="e">
        <f>(K644/K612)*W75</f>
        <v>#DIV/0!</v>
      </c>
      <c r="L688" s="180" t="e">
        <f>(L647/L612)*W80</f>
        <v>#DIV/0!</v>
      </c>
      <c r="M688" s="180" t="e">
        <f t="shared" si="21"/>
        <v>#DIV/0!</v>
      </c>
      <c r="N688" s="198" t="s">
        <v>697</v>
      </c>
    </row>
    <row r="689" spans="1:14" ht="12.65" customHeight="1" x14ac:dyDescent="0.35">
      <c r="A689" s="196">
        <v>7130</v>
      </c>
      <c r="B689" s="198" t="s">
        <v>698</v>
      </c>
      <c r="C689" s="180">
        <f>X71</f>
        <v>366231.07999999996</v>
      </c>
      <c r="D689" s="180">
        <f>(D615/D612)*X76</f>
        <v>10325.108918253443</v>
      </c>
      <c r="E689" s="180">
        <f>(E623/E612)*SUM(C689:D689)</f>
        <v>65011.00621077988</v>
      </c>
      <c r="F689" s="180">
        <f>(F624/F612)*X64</f>
        <v>3002.0102482424209</v>
      </c>
      <c r="G689" s="180">
        <f>(G625/G612)*X77</f>
        <v>0</v>
      </c>
      <c r="H689" s="180">
        <f>(H628/H612)*X60</f>
        <v>186.60572454995852</v>
      </c>
      <c r="I689" s="180" t="e">
        <f>(I629/I612)*X78</f>
        <v>#DIV/0!</v>
      </c>
      <c r="J689" s="180" t="e">
        <f>(J630/J612)*X79</f>
        <v>#DIV/0!</v>
      </c>
      <c r="K689" s="180" t="e">
        <f>(K644/K612)*X75</f>
        <v>#DIV/0!</v>
      </c>
      <c r="L689" s="180" t="e">
        <f>(L647/L612)*X80</f>
        <v>#DIV/0!</v>
      </c>
      <c r="M689" s="180" t="e">
        <f t="shared" si="21"/>
        <v>#DIV/0!</v>
      </c>
      <c r="N689" s="198" t="s">
        <v>699</v>
      </c>
    </row>
    <row r="690" spans="1:14" ht="12.65" customHeight="1" x14ac:dyDescent="0.35">
      <c r="A690" s="196">
        <v>7140</v>
      </c>
      <c r="B690" s="198" t="s">
        <v>1249</v>
      </c>
      <c r="C690" s="180">
        <f>Y71</f>
        <v>1144562.3999999999</v>
      </c>
      <c r="D690" s="180">
        <f>(D615/D612)*Y76</f>
        <v>37526.201012074111</v>
      </c>
      <c r="E690" s="180">
        <f>(E623/E612)*SUM(C690:D690)</f>
        <v>204083.13989700787</v>
      </c>
      <c r="F690" s="180">
        <f>(F624/F612)*Y64</f>
        <v>1092.051142649673</v>
      </c>
      <c r="G690" s="180">
        <f>(G625/G612)*Y77</f>
        <v>0</v>
      </c>
      <c r="H690" s="180">
        <f>(H628/H612)*Y60</f>
        <v>938.03817240214062</v>
      </c>
      <c r="I690" s="180" t="e">
        <f>(I629/I612)*Y78</f>
        <v>#DIV/0!</v>
      </c>
      <c r="J690" s="180" t="e">
        <f>(J630/J612)*Y79</f>
        <v>#DIV/0!</v>
      </c>
      <c r="K690" s="180" t="e">
        <f>(K644/K612)*Y75</f>
        <v>#DIV/0!</v>
      </c>
      <c r="L690" s="180" t="e">
        <f>(L647/L612)*Y80</f>
        <v>#DIV/0!</v>
      </c>
      <c r="M690" s="180" t="e">
        <f t="shared" si="21"/>
        <v>#DIV/0!</v>
      </c>
      <c r="N690" s="198" t="s">
        <v>700</v>
      </c>
    </row>
    <row r="691" spans="1:14" ht="12.65" customHeight="1" x14ac:dyDescent="0.3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 t="e">
        <f>(I629/I612)*Z78</f>
        <v>#DIV/0!</v>
      </c>
      <c r="J691" s="180" t="e">
        <f>(J630/J612)*Z79</f>
        <v>#DIV/0!</v>
      </c>
      <c r="K691" s="180" t="e">
        <f>(K644/K612)*Z75</f>
        <v>#DIV/0!</v>
      </c>
      <c r="L691" s="180" t="e">
        <f>(L647/L612)*Z80</f>
        <v>#DIV/0!</v>
      </c>
      <c r="M691" s="180" t="e">
        <f t="shared" si="21"/>
        <v>#DIV/0!</v>
      </c>
      <c r="N691" s="198" t="s">
        <v>702</v>
      </c>
    </row>
    <row r="692" spans="1:14" ht="12.65" customHeight="1" x14ac:dyDescent="0.35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 t="e">
        <f>(I629/I612)*AA78</f>
        <v>#DIV/0!</v>
      </c>
      <c r="J692" s="180" t="e">
        <f>(J630/J612)*AA79</f>
        <v>#DIV/0!</v>
      </c>
      <c r="K692" s="180" t="e">
        <f>(K644/K612)*AA75</f>
        <v>#DIV/0!</v>
      </c>
      <c r="L692" s="180" t="e">
        <f>(L647/L612)*AA80</f>
        <v>#DIV/0!</v>
      </c>
      <c r="M692" s="180" t="e">
        <f t="shared" si="21"/>
        <v>#DIV/0!</v>
      </c>
      <c r="N692" s="198" t="s">
        <v>704</v>
      </c>
    </row>
    <row r="693" spans="1:14" ht="12.65" customHeight="1" x14ac:dyDescent="0.35">
      <c r="A693" s="196">
        <v>7170</v>
      </c>
      <c r="B693" s="198" t="s">
        <v>115</v>
      </c>
      <c r="C693" s="180">
        <f>AB71</f>
        <v>1680863.97</v>
      </c>
      <c r="D693" s="180">
        <f>(D615/D612)*AB76</f>
        <v>7382.2034777850704</v>
      </c>
      <c r="E693" s="180">
        <f>(E623/E612)*SUM(C693:D693)</f>
        <v>291469.33631494839</v>
      </c>
      <c r="F693" s="180">
        <f>(F624/F612)*AB64</f>
        <v>43752.860817850735</v>
      </c>
      <c r="G693" s="180">
        <f>(G625/G612)*AB77</f>
        <v>0</v>
      </c>
      <c r="H693" s="180">
        <f>(H628/H612)*AB60</f>
        <v>588.62208415087593</v>
      </c>
      <c r="I693" s="180" t="e">
        <f>(I629/I612)*AB78</f>
        <v>#DIV/0!</v>
      </c>
      <c r="J693" s="180" t="e">
        <f>(J630/J612)*AB79</f>
        <v>#DIV/0!</v>
      </c>
      <c r="K693" s="180" t="e">
        <f>(K644/K612)*AB75</f>
        <v>#DIV/0!</v>
      </c>
      <c r="L693" s="180" t="e">
        <f>(L647/L612)*AB80</f>
        <v>#DIV/0!</v>
      </c>
      <c r="M693" s="180" t="e">
        <f t="shared" si="21"/>
        <v>#DIV/0!</v>
      </c>
      <c r="N693" s="198" t="s">
        <v>705</v>
      </c>
    </row>
    <row r="694" spans="1:14" ht="12.65" customHeight="1" x14ac:dyDescent="0.35">
      <c r="A694" s="196">
        <v>7180</v>
      </c>
      <c r="B694" s="198" t="s">
        <v>706</v>
      </c>
      <c r="C694" s="180">
        <f>AC71</f>
        <v>80573</v>
      </c>
      <c r="D694" s="180">
        <f>(D615/D612)*AC76</f>
        <v>0</v>
      </c>
      <c r="E694" s="180">
        <f>(E623/E612)*SUM(C694:D694)</f>
        <v>13910.624649322424</v>
      </c>
      <c r="F694" s="180">
        <f>(F624/F612)*AC64</f>
        <v>143.52392578240222</v>
      </c>
      <c r="G694" s="180">
        <f>(G625/G612)*AC77</f>
        <v>0</v>
      </c>
      <c r="H694" s="180">
        <f>(H628/H612)*AC60</f>
        <v>97.686218220783658</v>
      </c>
      <c r="I694" s="180" t="e">
        <f>(I629/I612)*AC78</f>
        <v>#DIV/0!</v>
      </c>
      <c r="J694" s="180" t="e">
        <f>(J630/J612)*AC79</f>
        <v>#DIV/0!</v>
      </c>
      <c r="K694" s="180" t="e">
        <f>(K644/K612)*AC75</f>
        <v>#DIV/0!</v>
      </c>
      <c r="L694" s="180" t="e">
        <f>(L647/L612)*AC80</f>
        <v>#DIV/0!</v>
      </c>
      <c r="M694" s="180" t="e">
        <f t="shared" si="21"/>
        <v>#DIV/0!</v>
      </c>
      <c r="N694" s="198" t="s">
        <v>707</v>
      </c>
    </row>
    <row r="695" spans="1:14" ht="12.65" customHeight="1" x14ac:dyDescent="0.3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 t="e">
        <f>(I629/I612)*AD78</f>
        <v>#DIV/0!</v>
      </c>
      <c r="J695" s="180" t="e">
        <f>(J630/J612)*AD79</f>
        <v>#DIV/0!</v>
      </c>
      <c r="K695" s="180" t="e">
        <f>(K644/K612)*AD75</f>
        <v>#DIV/0!</v>
      </c>
      <c r="L695" s="180" t="e">
        <f>(L647/L612)*AD80</f>
        <v>#DIV/0!</v>
      </c>
      <c r="M695" s="180" t="e">
        <f t="shared" si="21"/>
        <v>#DIV/0!</v>
      </c>
      <c r="N695" s="198" t="s">
        <v>708</v>
      </c>
    </row>
    <row r="696" spans="1:14" ht="12.65" customHeight="1" x14ac:dyDescent="0.35">
      <c r="A696" s="196">
        <v>7200</v>
      </c>
      <c r="B696" s="198" t="s">
        <v>709</v>
      </c>
      <c r="C696" s="180">
        <f>AE71</f>
        <v>1043327.97</v>
      </c>
      <c r="D696" s="180">
        <f>(D615/D612)*AE76</f>
        <v>71693.831973444205</v>
      </c>
      <c r="E696" s="180">
        <f>(E623/E612)*SUM(C696:D696)</f>
        <v>192504.30991850497</v>
      </c>
      <c r="F696" s="180">
        <f>(F624/F612)*AE64</f>
        <v>1207.1314057767377</v>
      </c>
      <c r="G696" s="180">
        <f>(G625/G612)*AE77</f>
        <v>0</v>
      </c>
      <c r="H696" s="180">
        <f>(H628/H612)*AE60</f>
        <v>1249.8826382607961</v>
      </c>
      <c r="I696" s="180" t="e">
        <f>(I629/I612)*AE78</f>
        <v>#DIV/0!</v>
      </c>
      <c r="J696" s="180" t="e">
        <f>(J630/J612)*AE79</f>
        <v>#DIV/0!</v>
      </c>
      <c r="K696" s="180" t="e">
        <f>(K644/K612)*AE75</f>
        <v>#DIV/0!</v>
      </c>
      <c r="L696" s="180" t="e">
        <f>(L647/L612)*AE80</f>
        <v>#DIV/0!</v>
      </c>
      <c r="M696" s="180" t="e">
        <f t="shared" si="21"/>
        <v>#DIV/0!</v>
      </c>
      <c r="N696" s="198" t="s">
        <v>710</v>
      </c>
    </row>
    <row r="697" spans="1:14" ht="12.65" customHeight="1" x14ac:dyDescent="0.3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 t="e">
        <f>(I629/I612)*AF78</f>
        <v>#DIV/0!</v>
      </c>
      <c r="J697" s="180" t="e">
        <f>(J630/J612)*AF79</f>
        <v>#DIV/0!</v>
      </c>
      <c r="K697" s="180" t="e">
        <f>(K644/K612)*AF75</f>
        <v>#DIV/0!</v>
      </c>
      <c r="L697" s="180" t="e">
        <f>(L647/L612)*AF80</f>
        <v>#DIV/0!</v>
      </c>
      <c r="M697" s="180" t="e">
        <f t="shared" si="21"/>
        <v>#DIV/0!</v>
      </c>
      <c r="N697" s="198" t="s">
        <v>712</v>
      </c>
    </row>
    <row r="698" spans="1:14" ht="12.65" customHeight="1" x14ac:dyDescent="0.35">
      <c r="A698" s="196">
        <v>7230</v>
      </c>
      <c r="B698" s="198" t="s">
        <v>713</v>
      </c>
      <c r="C698" s="180">
        <f>AG71</f>
        <v>2478266.3199999998</v>
      </c>
      <c r="D698" s="180">
        <f>(D615/D612)*AG76</f>
        <v>34151.004376960664</v>
      </c>
      <c r="E698" s="180">
        <f>(E623/E612)*SUM(C698:D698)</f>
        <v>433759.37797851436</v>
      </c>
      <c r="F698" s="180">
        <f>(F624/F612)*AG64</f>
        <v>2789.4816670983678</v>
      </c>
      <c r="G698" s="180">
        <f>(G625/G612)*AG77</f>
        <v>0</v>
      </c>
      <c r="H698" s="180">
        <f>(H628/H612)*AG60</f>
        <v>1614.3273754691045</v>
      </c>
      <c r="I698" s="180" t="e">
        <f>(I629/I612)*AG78</f>
        <v>#DIV/0!</v>
      </c>
      <c r="J698" s="180" t="e">
        <f>(J630/J612)*AG79</f>
        <v>#DIV/0!</v>
      </c>
      <c r="K698" s="180" t="e">
        <f>(K644/K612)*AG75</f>
        <v>#DIV/0!</v>
      </c>
      <c r="L698" s="180" t="e">
        <f>(L647/L612)*AG80</f>
        <v>#DIV/0!</v>
      </c>
      <c r="M698" s="180" t="e">
        <f t="shared" si="21"/>
        <v>#DIV/0!</v>
      </c>
      <c r="N698" s="198" t="s">
        <v>714</v>
      </c>
    </row>
    <row r="699" spans="1:14" ht="12.65" customHeight="1" x14ac:dyDescent="0.3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 t="e">
        <f>(I629/I612)*AH78</f>
        <v>#DIV/0!</v>
      </c>
      <c r="J699" s="180" t="e">
        <f>(J630/J612)*AH79</f>
        <v>#DIV/0!</v>
      </c>
      <c r="K699" s="180" t="e">
        <f>(K644/K612)*AH75</f>
        <v>#DIV/0!</v>
      </c>
      <c r="L699" s="180" t="e">
        <f>(L647/L612)*AH80</f>
        <v>#DIV/0!</v>
      </c>
      <c r="M699" s="180" t="e">
        <f t="shared" si="21"/>
        <v>#DIV/0!</v>
      </c>
      <c r="N699" s="198" t="s">
        <v>715</v>
      </c>
    </row>
    <row r="700" spans="1:14" ht="12.65" customHeight="1" x14ac:dyDescent="0.3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 t="e">
        <f>(I629/I612)*AI78</f>
        <v>#DIV/0!</v>
      </c>
      <c r="J700" s="180" t="e">
        <f>(J630/J612)*AI79</f>
        <v>#DIV/0!</v>
      </c>
      <c r="K700" s="180" t="e">
        <f>(K644/K612)*AI75</f>
        <v>#DIV/0!</v>
      </c>
      <c r="L700" s="180" t="e">
        <f>(L647/L612)*AI80</f>
        <v>#DIV/0!</v>
      </c>
      <c r="M700" s="180" t="e">
        <f t="shared" si="21"/>
        <v>#DIV/0!</v>
      </c>
      <c r="N700" s="198" t="s">
        <v>717</v>
      </c>
    </row>
    <row r="701" spans="1:14" ht="12.65" customHeight="1" x14ac:dyDescent="0.35">
      <c r="A701" s="196">
        <v>7260</v>
      </c>
      <c r="B701" s="198" t="s">
        <v>121</v>
      </c>
      <c r="C701" s="180">
        <f>AJ71</f>
        <v>4756986.7399999993</v>
      </c>
      <c r="D701" s="180">
        <f>(D615/D612)*AJ76</f>
        <v>199502.38632870058</v>
      </c>
      <c r="E701" s="180">
        <f>(E623/E612)*SUM(C701:D701)</f>
        <v>855719.15920726035</v>
      </c>
      <c r="F701" s="180">
        <f>(F624/F612)*AJ64</f>
        <v>10240.938237534245</v>
      </c>
      <c r="G701" s="180">
        <f>(G625/G612)*AJ77</f>
        <v>0</v>
      </c>
      <c r="H701" s="180">
        <f>(H628/H612)*AJ60</f>
        <v>4953.1922187589662</v>
      </c>
      <c r="I701" s="180" t="e">
        <f>(I629/I612)*AJ78</f>
        <v>#DIV/0!</v>
      </c>
      <c r="J701" s="180" t="e">
        <f>(J630/J612)*AJ79</f>
        <v>#DIV/0!</v>
      </c>
      <c r="K701" s="180" t="e">
        <f>(K644/K612)*AJ75</f>
        <v>#DIV/0!</v>
      </c>
      <c r="L701" s="180" t="e">
        <f>(L647/L612)*AJ80</f>
        <v>#DIV/0!</v>
      </c>
      <c r="M701" s="180" t="e">
        <f t="shared" si="21"/>
        <v>#DIV/0!</v>
      </c>
      <c r="N701" s="198" t="s">
        <v>718</v>
      </c>
    </row>
    <row r="702" spans="1:14" ht="12.65" customHeight="1" x14ac:dyDescent="0.3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 t="e">
        <f>(I629/I612)*AK78</f>
        <v>#DIV/0!</v>
      </c>
      <c r="J702" s="180" t="e">
        <f>(J630/J612)*AK79</f>
        <v>#DIV/0!</v>
      </c>
      <c r="K702" s="180" t="e">
        <f>(K644/K612)*AK75</f>
        <v>#DIV/0!</v>
      </c>
      <c r="L702" s="180" t="e">
        <f>(L647/L612)*AK80</f>
        <v>#DIV/0!</v>
      </c>
      <c r="M702" s="180" t="e">
        <f t="shared" si="21"/>
        <v>#DIV/0!</v>
      </c>
      <c r="N702" s="198" t="s">
        <v>720</v>
      </c>
    </row>
    <row r="703" spans="1:14" ht="12.65" customHeight="1" x14ac:dyDescent="0.3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 t="e">
        <f>(I629/I612)*AL78</f>
        <v>#DIV/0!</v>
      </c>
      <c r="J703" s="180" t="e">
        <f>(J630/J612)*AL79</f>
        <v>#DIV/0!</v>
      </c>
      <c r="K703" s="180" t="e">
        <f>(K644/K612)*AL75</f>
        <v>#DIV/0!</v>
      </c>
      <c r="L703" s="180" t="e">
        <f>(L647/L612)*AL80</f>
        <v>#DIV/0!</v>
      </c>
      <c r="M703" s="180" t="e">
        <f t="shared" si="21"/>
        <v>#DIV/0!</v>
      </c>
      <c r="N703" s="198" t="s">
        <v>722</v>
      </c>
    </row>
    <row r="704" spans="1:14" ht="12.65" customHeight="1" x14ac:dyDescent="0.3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 t="e">
        <f>(I629/I612)*AM78</f>
        <v>#DIV/0!</v>
      </c>
      <c r="J704" s="180" t="e">
        <f>(J630/J612)*AM79</f>
        <v>#DIV/0!</v>
      </c>
      <c r="K704" s="180" t="e">
        <f>(K644/K612)*AM75</f>
        <v>#DIV/0!</v>
      </c>
      <c r="L704" s="180" t="e">
        <f>(L647/L612)*AM80</f>
        <v>#DIV/0!</v>
      </c>
      <c r="M704" s="180" t="e">
        <f t="shared" si="21"/>
        <v>#DIV/0!</v>
      </c>
      <c r="N704" s="198" t="s">
        <v>724</v>
      </c>
    </row>
    <row r="705" spans="1:83" ht="12.65" customHeight="1" x14ac:dyDescent="0.3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 t="e">
        <f>(I629/I612)*AN78</f>
        <v>#DIV/0!</v>
      </c>
      <c r="J705" s="180" t="e">
        <f>(J630/J612)*AN79</f>
        <v>#DIV/0!</v>
      </c>
      <c r="K705" s="180" t="e">
        <f>(K644/K612)*AN75</f>
        <v>#DIV/0!</v>
      </c>
      <c r="L705" s="180" t="e">
        <f>(L647/L612)*AN80</f>
        <v>#DIV/0!</v>
      </c>
      <c r="M705" s="180" t="e">
        <f t="shared" si="21"/>
        <v>#DIV/0!</v>
      </c>
      <c r="N705" s="198" t="s">
        <v>726</v>
      </c>
    </row>
    <row r="706" spans="1:83" ht="12.65" customHeight="1" x14ac:dyDescent="0.3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 t="e">
        <f>(I629/I612)*AO78</f>
        <v>#DIV/0!</v>
      </c>
      <c r="J706" s="180" t="e">
        <f>(J630/J612)*AO79</f>
        <v>#DIV/0!</v>
      </c>
      <c r="K706" s="180" t="e">
        <f>(K644/K612)*AO75</f>
        <v>#DIV/0!</v>
      </c>
      <c r="L706" s="180" t="e">
        <f>(L647/L612)*AO80</f>
        <v>#DIV/0!</v>
      </c>
      <c r="M706" s="180" t="e">
        <f t="shared" si="21"/>
        <v>#DIV/0!</v>
      </c>
      <c r="N706" s="198" t="s">
        <v>728</v>
      </c>
    </row>
    <row r="707" spans="1:83" ht="12.65" customHeight="1" x14ac:dyDescent="0.3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 t="e">
        <f>(I629/I612)*AP78</f>
        <v>#DIV/0!</v>
      </c>
      <c r="J707" s="180" t="e">
        <f>(J630/J612)*AP79</f>
        <v>#DIV/0!</v>
      </c>
      <c r="K707" s="180" t="e">
        <f>(K644/K612)*AP75</f>
        <v>#DIV/0!</v>
      </c>
      <c r="L707" s="180" t="e">
        <f>(L647/L612)*AP80</f>
        <v>#DIV/0!</v>
      </c>
      <c r="M707" s="180" t="e">
        <f t="shared" si="21"/>
        <v>#DIV/0!</v>
      </c>
      <c r="N707" s="198" t="s">
        <v>730</v>
      </c>
    </row>
    <row r="708" spans="1:83" ht="12.65" customHeight="1" x14ac:dyDescent="0.3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 t="e">
        <f>(I629/I612)*AQ78</f>
        <v>#DIV/0!</v>
      </c>
      <c r="J708" s="180" t="e">
        <f>(J630/J612)*AQ79</f>
        <v>#DIV/0!</v>
      </c>
      <c r="K708" s="180" t="e">
        <f>(K644/K612)*AQ75</f>
        <v>#DIV/0!</v>
      </c>
      <c r="L708" s="180" t="e">
        <f>(L647/L612)*AQ80</f>
        <v>#DIV/0!</v>
      </c>
      <c r="M708" s="180" t="e">
        <f t="shared" si="21"/>
        <v>#DIV/0!</v>
      </c>
      <c r="N708" s="198" t="s">
        <v>732</v>
      </c>
    </row>
    <row r="709" spans="1:83" ht="12.65" customHeight="1" x14ac:dyDescent="0.35">
      <c r="A709" s="196">
        <v>7400</v>
      </c>
      <c r="B709" s="198" t="s">
        <v>733</v>
      </c>
      <c r="C709" s="180">
        <f>AR71</f>
        <v>128026.74</v>
      </c>
      <c r="D709" s="180">
        <f>(D615/D612)*AR76</f>
        <v>12004.393943605453</v>
      </c>
      <c r="E709" s="180">
        <f>(E623/E612)*SUM(C709:D709)</f>
        <v>24175.847287658253</v>
      </c>
      <c r="F709" s="180">
        <f>(F624/F612)*AR64</f>
        <v>355.170641136911</v>
      </c>
      <c r="G709" s="180">
        <f>(G625/G612)*AR77</f>
        <v>0</v>
      </c>
      <c r="H709" s="180">
        <f>(H628/H612)*AR60</f>
        <v>155.29603922278429</v>
      </c>
      <c r="I709" s="180" t="e">
        <f>(I629/I612)*AR78</f>
        <v>#DIV/0!</v>
      </c>
      <c r="J709" s="180" t="e">
        <f>(J630/J612)*AR79</f>
        <v>#DIV/0!</v>
      </c>
      <c r="K709" s="180" t="e">
        <f>(K644/K612)*AR75</f>
        <v>#DIV/0!</v>
      </c>
      <c r="L709" s="180" t="e">
        <f>(L647/L612)*AR80</f>
        <v>#DIV/0!</v>
      </c>
      <c r="M709" s="180" t="e">
        <f t="shared" si="21"/>
        <v>#DIV/0!</v>
      </c>
      <c r="N709" s="198" t="s">
        <v>734</v>
      </c>
    </row>
    <row r="710" spans="1:83" ht="12.65" customHeight="1" x14ac:dyDescent="0.3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 t="e">
        <f>(I629/I612)*AS78</f>
        <v>#DIV/0!</v>
      </c>
      <c r="J710" s="180" t="e">
        <f>(J630/J612)*AS79</f>
        <v>#DIV/0!</v>
      </c>
      <c r="K710" s="180" t="e">
        <f>(K644/K612)*AS75</f>
        <v>#DIV/0!</v>
      </c>
      <c r="L710" s="180" t="e">
        <f>(L647/L612)*AS80</f>
        <v>#DIV/0!</v>
      </c>
      <c r="M710" s="180" t="e">
        <f t="shared" si="21"/>
        <v>#DIV/0!</v>
      </c>
      <c r="N710" s="198" t="s">
        <v>735</v>
      </c>
    </row>
    <row r="711" spans="1:83" ht="12.65" customHeight="1" x14ac:dyDescent="0.3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 t="e">
        <f>(I629/I612)*AT78</f>
        <v>#DIV/0!</v>
      </c>
      <c r="J711" s="180" t="e">
        <f>(J630/J612)*AT79</f>
        <v>#DIV/0!</v>
      </c>
      <c r="K711" s="180" t="e">
        <f>(K644/K612)*AT75</f>
        <v>#DIV/0!</v>
      </c>
      <c r="L711" s="180" t="e">
        <f>(L647/L612)*AT80</f>
        <v>#DIV/0!</v>
      </c>
      <c r="M711" s="180" t="e">
        <f t="shared" si="21"/>
        <v>#DIV/0!</v>
      </c>
      <c r="N711" s="198" t="s">
        <v>737</v>
      </c>
    </row>
    <row r="712" spans="1:83" ht="12.65" customHeight="1" x14ac:dyDescent="0.3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 t="e">
        <f>(I629/I612)*AU78</f>
        <v>#DIV/0!</v>
      </c>
      <c r="J712" s="180" t="e">
        <f>(J630/J612)*AU79</f>
        <v>#DIV/0!</v>
      </c>
      <c r="K712" s="180" t="e">
        <f>(K644/K612)*AU75</f>
        <v>#DIV/0!</v>
      </c>
      <c r="L712" s="180" t="e">
        <f>(L647/L612)*AU80</f>
        <v>#DIV/0!</v>
      </c>
      <c r="M712" s="180" t="e">
        <f t="shared" si="21"/>
        <v>#DIV/0!</v>
      </c>
      <c r="N712" s="198" t="s">
        <v>739</v>
      </c>
    </row>
    <row r="713" spans="1:83" ht="12.65" customHeight="1" x14ac:dyDescent="0.35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 t="e">
        <f>(I629/I612)*AV78</f>
        <v>#DIV/0!</v>
      </c>
      <c r="J713" s="180" t="e">
        <f>(J630/J612)*AV79</f>
        <v>#DIV/0!</v>
      </c>
      <c r="K713" s="180" t="e">
        <f>(K644/K612)*AV75</f>
        <v>#DIV/0!</v>
      </c>
      <c r="L713" s="180" t="e">
        <f>(L647/L612)*AV80</f>
        <v>#DIV/0!</v>
      </c>
      <c r="M713" s="180" t="e">
        <f t="shared" si="21"/>
        <v>#DIV/0!</v>
      </c>
      <c r="N713" s="199" t="s">
        <v>741</v>
      </c>
    </row>
    <row r="715" spans="1:83" ht="12.65" customHeight="1" x14ac:dyDescent="0.35">
      <c r="C715" s="180">
        <f>SUM(C614:C647)+SUM(C668:C713)</f>
        <v>28778894.639999997</v>
      </c>
      <c r="D715" s="180">
        <f>SUM(D616:D647)+SUM(D668:D713)</f>
        <v>911602.36999999965</v>
      </c>
      <c r="E715" s="180">
        <f>SUM(E624:E647)+SUM(E668:E713)</f>
        <v>4237055.9199573202</v>
      </c>
      <c r="F715" s="180">
        <f>SUM(F625:F648)+SUM(F668:F713)</f>
        <v>117121.27167811467</v>
      </c>
      <c r="G715" s="180">
        <f>SUM(G626:G647)+SUM(G668:G713)</f>
        <v>716943.18663014832</v>
      </c>
      <c r="H715" s="180">
        <f>SUM(H629:H647)+SUM(H668:H713)</f>
        <v>20803.40731878766</v>
      </c>
      <c r="I715" s="180" t="e">
        <f>SUM(I630:I647)+SUM(I668:I713)</f>
        <v>#DIV/0!</v>
      </c>
      <c r="J715" s="180" t="e">
        <f>SUM(J631:J647)+SUM(J668:J713)</f>
        <v>#DIV/0!</v>
      </c>
      <c r="K715" s="180" t="e">
        <f>SUM(K668:K713)</f>
        <v>#DIV/0!</v>
      </c>
      <c r="L715" s="180" t="e">
        <f>SUM(L668:L713)</f>
        <v>#DIV/0!</v>
      </c>
      <c r="M715" s="180" t="e">
        <f>SUM(M668:M713)</f>
        <v>#DIV/0!</v>
      </c>
      <c r="N715" s="198" t="s">
        <v>742</v>
      </c>
    </row>
    <row r="716" spans="1:83" ht="12.65" customHeight="1" x14ac:dyDescent="0.35">
      <c r="C716" s="180">
        <f>CE71</f>
        <v>28778894.640000001</v>
      </c>
      <c r="D716" s="180">
        <f>D615</f>
        <v>911602.36999999976</v>
      </c>
      <c r="E716" s="180">
        <f>E623</f>
        <v>4237055.9199573202</v>
      </c>
      <c r="F716" s="180">
        <f>F624</f>
        <v>117121.27167811475</v>
      </c>
      <c r="G716" s="180">
        <f>G625</f>
        <v>716943.18663014832</v>
      </c>
      <c r="H716" s="180">
        <f>H628</f>
        <v>20803.40731878766</v>
      </c>
      <c r="I716" s="180">
        <f>I629</f>
        <v>740575.28117251059</v>
      </c>
      <c r="J716" s="180" t="e">
        <f>J630</f>
        <v>#DIV/0!</v>
      </c>
      <c r="K716" s="180" t="e">
        <f>K644</f>
        <v>#DIV/0!</v>
      </c>
      <c r="L716" s="180" t="e">
        <f>L647</f>
        <v>#DIV/0!</v>
      </c>
      <c r="M716" s="180">
        <f>C648</f>
        <v>9624388.7599999979</v>
      </c>
      <c r="N716" s="198" t="s">
        <v>743</v>
      </c>
    </row>
    <row r="717" spans="1:83" ht="12.65" customHeight="1" x14ac:dyDescent="0.35">
      <c r="O717" s="198"/>
    </row>
    <row r="718" spans="1:83" ht="12.65" customHeight="1" x14ac:dyDescent="0.35">
      <c r="O718" s="198"/>
    </row>
    <row r="719" spans="1:83" ht="12.65" customHeight="1" x14ac:dyDescent="0.35">
      <c r="O719" s="198"/>
    </row>
    <row r="720" spans="1:83" s="201" customFormat="1" ht="12.65" customHeight="1" x14ac:dyDescent="0.35">
      <c r="A720" s="201" t="s">
        <v>744</v>
      </c>
      <c r="B720" s="277"/>
      <c r="C720" s="277"/>
      <c r="D720" s="277"/>
      <c r="E720" s="277"/>
      <c r="F720" s="277"/>
      <c r="G720" s="277"/>
      <c r="H720" s="277"/>
      <c r="I720" s="277"/>
      <c r="J720" s="277"/>
      <c r="K720" s="277"/>
      <c r="L720" s="277"/>
      <c r="M720" s="277"/>
      <c r="N720" s="277"/>
      <c r="O720" s="277"/>
      <c r="P720" s="277"/>
      <c r="Q720" s="277"/>
      <c r="R720" s="277"/>
      <c r="S720" s="277"/>
      <c r="T720" s="277"/>
      <c r="U720" s="277"/>
      <c r="V720" s="277"/>
      <c r="W720" s="277"/>
      <c r="X720" s="277"/>
      <c r="Y720" s="277"/>
      <c r="Z720" s="277"/>
      <c r="AA720" s="277"/>
      <c r="AB720" s="277"/>
      <c r="AC720" s="277"/>
      <c r="AD720" s="277"/>
      <c r="AE720" s="277"/>
      <c r="AF720" s="277"/>
      <c r="AG720" s="277"/>
      <c r="AH720" s="277"/>
      <c r="AI720" s="277"/>
      <c r="AJ720" s="277"/>
      <c r="AK720" s="277"/>
      <c r="AL720" s="277"/>
      <c r="AM720" s="277"/>
      <c r="AN720" s="277"/>
      <c r="AO720" s="277"/>
      <c r="AP720" s="277"/>
      <c r="AQ720" s="277"/>
      <c r="AR720" s="277"/>
      <c r="AS720" s="277"/>
      <c r="AT720" s="277"/>
      <c r="AU720" s="277"/>
      <c r="AV720" s="277"/>
      <c r="AW720" s="277"/>
      <c r="AX720" s="277"/>
      <c r="AY720" s="277"/>
      <c r="AZ720" s="277"/>
      <c r="BA720" s="277"/>
      <c r="BB720" s="277"/>
      <c r="BC720" s="277"/>
      <c r="BD720" s="277"/>
      <c r="BE720" s="277"/>
      <c r="BF720" s="277"/>
      <c r="BG720" s="277"/>
      <c r="BH720" s="277"/>
      <c r="BI720" s="277"/>
      <c r="BJ720" s="277"/>
      <c r="BK720" s="277"/>
      <c r="BL720" s="277"/>
      <c r="BM720" s="277"/>
      <c r="BN720" s="277"/>
      <c r="BO720" s="277"/>
      <c r="BP720" s="277"/>
      <c r="BQ720" s="277"/>
      <c r="BR720" s="277"/>
      <c r="BS720" s="277"/>
      <c r="BT720" s="277"/>
      <c r="BU720" s="277"/>
      <c r="BV720" s="277"/>
      <c r="BW720" s="277"/>
      <c r="BX720" s="277"/>
      <c r="BY720" s="277"/>
      <c r="BZ720" s="277"/>
      <c r="CA720" s="277"/>
      <c r="CB720" s="277"/>
      <c r="CC720" s="277"/>
      <c r="CD720" s="277"/>
      <c r="CE720" s="277"/>
    </row>
    <row r="721" spans="1:84" s="203" customFormat="1" ht="12.65" customHeight="1" x14ac:dyDescent="0.3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1255</v>
      </c>
    </row>
    <row r="722" spans="1:84" s="201" customFormat="1" ht="12.65" customHeight="1" x14ac:dyDescent="0.35">
      <c r="A722" s="202" t="str">
        <f>RIGHT(C83,3)&amp;"*"&amp;RIGHT(C82,4)&amp;"*"&amp;"A"</f>
        <v>008*2020*A</v>
      </c>
      <c r="B722" s="277">
        <f>ROUND(C165,0)</f>
        <v>1024758</v>
      </c>
      <c r="C722" s="277">
        <f>ROUND(C166,0)</f>
        <v>24308</v>
      </c>
      <c r="D722" s="277">
        <f>ROUND(C167,0)</f>
        <v>100644</v>
      </c>
      <c r="E722" s="277">
        <f>ROUND(C168,0)</f>
        <v>1429821</v>
      </c>
      <c r="F722" s="277">
        <f>ROUND(C169,0)</f>
        <v>12619</v>
      </c>
      <c r="G722" s="277">
        <f>ROUND(C170,0)</f>
        <v>389627</v>
      </c>
      <c r="H722" s="277">
        <f>ROUND(C171+C172,0)</f>
        <v>39964</v>
      </c>
      <c r="I722" s="277">
        <f>ROUND(C175,0)</f>
        <v>2833</v>
      </c>
      <c r="J722" s="277">
        <f>ROUND(C176,0)</f>
        <v>413543</v>
      </c>
      <c r="K722" s="277">
        <f>ROUND(C179,0)</f>
        <v>124476</v>
      </c>
      <c r="L722" s="277">
        <f>ROUND(C180,0)</f>
        <v>63451</v>
      </c>
      <c r="M722" s="277">
        <f>ROUND(C183,0)</f>
        <v>25805</v>
      </c>
      <c r="N722" s="277">
        <f>ROUND(C184,0)</f>
        <v>0</v>
      </c>
      <c r="O722" s="277">
        <f>ROUND(C185,0)</f>
        <v>0</v>
      </c>
      <c r="P722" s="277">
        <f>ROUND(C188,0)</f>
        <v>224242</v>
      </c>
      <c r="Q722" s="277">
        <f>ROUND(C189,0)</f>
        <v>0</v>
      </c>
      <c r="R722" s="277">
        <f>ROUND(B195,0)</f>
        <v>203706</v>
      </c>
      <c r="S722" s="277">
        <f>ROUND(C195,0)</f>
        <v>0</v>
      </c>
      <c r="T722" s="277">
        <f>ROUND(D195,0)</f>
        <v>0</v>
      </c>
      <c r="U722" s="277">
        <f>ROUND(B196,0)</f>
        <v>1782696</v>
      </c>
      <c r="V722" s="277">
        <f>ROUND(C196,0)</f>
        <v>8033</v>
      </c>
      <c r="W722" s="277">
        <f>ROUND(D196,0)</f>
        <v>18776</v>
      </c>
      <c r="X722" s="277">
        <f>ROUND(B197,0)</f>
        <v>13659331</v>
      </c>
      <c r="Y722" s="277">
        <f>ROUND(C197,0)</f>
        <v>11679</v>
      </c>
      <c r="Z722" s="277">
        <f>ROUND(D197,0)</f>
        <v>13231</v>
      </c>
      <c r="AA722" s="277">
        <f>ROUND(B198,0)</f>
        <v>6824098</v>
      </c>
      <c r="AB722" s="277">
        <f>ROUND(C198,0)</f>
        <v>108285</v>
      </c>
      <c r="AC722" s="277">
        <f>ROUND(D198,0)</f>
        <v>0</v>
      </c>
      <c r="AD722" s="277">
        <f>ROUND(B199,0)</f>
        <v>337148</v>
      </c>
      <c r="AE722" s="277">
        <f>ROUND(C199,0)</f>
        <v>31362</v>
      </c>
      <c r="AF722" s="277">
        <f>ROUND(D199,0)</f>
        <v>6500</v>
      </c>
      <c r="AG722" s="277">
        <f>ROUND(B200,0)</f>
        <v>7139246</v>
      </c>
      <c r="AH722" s="277">
        <f>ROUND(C200,0)</f>
        <v>898283</v>
      </c>
      <c r="AI722" s="277">
        <f>ROUND(D200,0)</f>
        <v>853171</v>
      </c>
      <c r="AJ722" s="277">
        <f>ROUND(B201,0)</f>
        <v>0</v>
      </c>
      <c r="AK722" s="277">
        <f>ROUND(C201,0)</f>
        <v>0</v>
      </c>
      <c r="AL722" s="277">
        <f>ROUND(D201,0)</f>
        <v>0</v>
      </c>
      <c r="AM722" s="277">
        <f>ROUND(B202,0)</f>
        <v>0</v>
      </c>
      <c r="AN722" s="277">
        <f>ROUND(C202,0)</f>
        <v>0</v>
      </c>
      <c r="AO722" s="277">
        <f>ROUND(D202,0)</f>
        <v>0</v>
      </c>
      <c r="AP722" s="277">
        <f>ROUND(B203,0)</f>
        <v>211510</v>
      </c>
      <c r="AQ722" s="277">
        <f>ROUND(C203,0)</f>
        <v>599790</v>
      </c>
      <c r="AR722" s="277">
        <f>ROUND(D203,0)</f>
        <v>475658</v>
      </c>
      <c r="AS722" s="277"/>
      <c r="AT722" s="277"/>
      <c r="AU722" s="277"/>
      <c r="AV722" s="277">
        <f>ROUND(B209,0)</f>
        <v>1339497</v>
      </c>
      <c r="AW722" s="277">
        <f>ROUND(C209,0)</f>
        <v>109701</v>
      </c>
      <c r="AX722" s="277">
        <f>ROUND(D209,0)</f>
        <v>18776</v>
      </c>
      <c r="AY722" s="277">
        <f>ROUND(B210,0)</f>
        <v>7731121</v>
      </c>
      <c r="AZ722" s="277">
        <f>ROUND(C210,0)</f>
        <v>378314</v>
      </c>
      <c r="BA722" s="277">
        <f>ROUND(D210,0)</f>
        <v>13231</v>
      </c>
      <c r="BB722" s="277">
        <f>ROUND(B211,0)</f>
        <v>4363254</v>
      </c>
      <c r="BC722" s="277">
        <f>ROUND(C211,0)</f>
        <v>398677</v>
      </c>
      <c r="BD722" s="277">
        <f>ROUND(D211,0)</f>
        <v>0</v>
      </c>
      <c r="BE722" s="277">
        <f>ROUND(B212,0)</f>
        <v>225917</v>
      </c>
      <c r="BF722" s="277">
        <f>ROUND(C212,0)</f>
        <v>14188</v>
      </c>
      <c r="BG722" s="277">
        <f>ROUND(D212,0)</f>
        <v>6500</v>
      </c>
      <c r="BH722" s="277">
        <f>ROUND(B213,0)</f>
        <v>6124524</v>
      </c>
      <c r="BI722" s="277">
        <f>ROUND(C213,0)</f>
        <v>396722</v>
      </c>
      <c r="BJ722" s="277">
        <f>ROUND(D213,0)</f>
        <v>853171</v>
      </c>
      <c r="BK722" s="277">
        <f>ROUND(B214,0)</f>
        <v>0</v>
      </c>
      <c r="BL722" s="277">
        <f>ROUND(C214,0)</f>
        <v>0</v>
      </c>
      <c r="BM722" s="277">
        <f>ROUND(D214,0)</f>
        <v>0</v>
      </c>
      <c r="BN722" s="277">
        <f>ROUND(B215,0)</f>
        <v>0</v>
      </c>
      <c r="BO722" s="277">
        <f>ROUND(C215,0)</f>
        <v>0</v>
      </c>
      <c r="BP722" s="277">
        <f>ROUND(D215,0)</f>
        <v>0</v>
      </c>
      <c r="BQ722" s="277">
        <f>ROUND(B216,0)</f>
        <v>0</v>
      </c>
      <c r="BR722" s="277">
        <f>ROUND(C216,0)</f>
        <v>0</v>
      </c>
      <c r="BS722" s="277">
        <f>ROUND(D216,0)</f>
        <v>0</v>
      </c>
      <c r="BT722" s="277">
        <f>ROUND(C223,0)</f>
        <v>9222786</v>
      </c>
      <c r="BU722" s="277">
        <f>ROUND(C224,0)</f>
        <v>5427148</v>
      </c>
      <c r="BV722" s="277">
        <f>ROUND(C225,0)</f>
        <v>120016</v>
      </c>
      <c r="BW722" s="277">
        <f>ROUND(C226,0)</f>
        <v>0</v>
      </c>
      <c r="BX722" s="277">
        <f>ROUND(C227,0)</f>
        <v>0</v>
      </c>
      <c r="BY722" s="277">
        <f>ROUND(C228,0)</f>
        <v>3886287</v>
      </c>
      <c r="BZ722" s="277">
        <f>ROUND(C231,0)</f>
        <v>0</v>
      </c>
      <c r="CA722" s="277">
        <f>ROUND(C233,0)</f>
        <v>0</v>
      </c>
      <c r="CB722" s="277">
        <f>ROUND(C234,0)</f>
        <v>400922</v>
      </c>
      <c r="CC722" s="277">
        <f>ROUND(C238+C239,0)</f>
        <v>937643</v>
      </c>
      <c r="CD722" s="277">
        <f>D221</f>
        <v>1466324.23</v>
      </c>
      <c r="CE722" s="277"/>
    </row>
    <row r="723" spans="1:84" ht="12.65" customHeight="1" x14ac:dyDescent="0.35">
      <c r="B723" s="278"/>
      <c r="C723" s="278"/>
      <c r="D723" s="278"/>
      <c r="E723" s="278"/>
      <c r="F723" s="278"/>
      <c r="G723" s="278"/>
      <c r="H723" s="278"/>
      <c r="I723" s="278"/>
      <c r="J723" s="278"/>
      <c r="K723" s="278"/>
      <c r="L723" s="278"/>
      <c r="M723" s="278"/>
      <c r="N723" s="278"/>
      <c r="O723" s="278"/>
      <c r="P723" s="278"/>
      <c r="Q723" s="278"/>
      <c r="R723" s="278"/>
      <c r="S723" s="278"/>
      <c r="T723" s="278"/>
      <c r="U723" s="278"/>
      <c r="V723" s="278"/>
      <c r="W723" s="278"/>
      <c r="X723" s="278"/>
      <c r="Y723" s="278"/>
      <c r="Z723" s="278"/>
      <c r="AA723" s="278"/>
      <c r="AB723" s="278"/>
      <c r="AC723" s="278"/>
      <c r="AD723" s="278"/>
      <c r="AE723" s="278"/>
      <c r="AF723" s="278"/>
      <c r="AG723" s="278"/>
      <c r="AH723" s="278"/>
      <c r="AI723" s="278"/>
      <c r="AJ723" s="278"/>
      <c r="AK723" s="278"/>
      <c r="AL723" s="278"/>
      <c r="AM723" s="278"/>
      <c r="AN723" s="278"/>
      <c r="AO723" s="278"/>
      <c r="AP723" s="278"/>
      <c r="AQ723" s="278"/>
      <c r="AR723" s="278"/>
      <c r="AS723" s="278"/>
      <c r="AT723" s="278"/>
      <c r="AU723" s="278"/>
      <c r="AV723" s="278"/>
      <c r="AW723" s="278"/>
      <c r="AX723" s="278"/>
      <c r="AY723" s="278"/>
      <c r="AZ723" s="278"/>
      <c r="BA723" s="278"/>
      <c r="BB723" s="278"/>
      <c r="BC723" s="278"/>
      <c r="BD723" s="278"/>
      <c r="BE723" s="278"/>
      <c r="BF723" s="278"/>
      <c r="BG723" s="278"/>
      <c r="BH723" s="278"/>
      <c r="BI723" s="278"/>
      <c r="BJ723" s="278"/>
      <c r="BK723" s="278"/>
      <c r="BL723" s="278"/>
      <c r="BM723" s="278"/>
      <c r="BN723" s="278"/>
      <c r="BO723" s="278"/>
      <c r="BP723" s="278"/>
      <c r="BQ723" s="278"/>
      <c r="BR723" s="278"/>
      <c r="BS723" s="278"/>
      <c r="BT723" s="278"/>
      <c r="BU723" s="278"/>
      <c r="BV723" s="278"/>
      <c r="BW723" s="278"/>
      <c r="BX723" s="278"/>
      <c r="BY723" s="278"/>
      <c r="BZ723" s="278"/>
      <c r="CA723" s="278"/>
      <c r="CB723" s="278"/>
      <c r="CC723" s="278"/>
      <c r="CD723" s="278"/>
      <c r="CE723" s="278"/>
    </row>
    <row r="724" spans="1:84" s="201" customFormat="1" ht="12.65" customHeight="1" x14ac:dyDescent="0.35">
      <c r="A724" s="201" t="s">
        <v>148</v>
      </c>
      <c r="B724" s="277"/>
      <c r="C724" s="277"/>
      <c r="D724" s="277"/>
      <c r="E724" s="277"/>
      <c r="F724" s="277"/>
      <c r="G724" s="277"/>
      <c r="H724" s="277"/>
      <c r="I724" s="277"/>
      <c r="J724" s="277"/>
      <c r="K724" s="277"/>
      <c r="L724" s="277"/>
      <c r="M724" s="277"/>
      <c r="N724" s="277"/>
      <c r="O724" s="277"/>
      <c r="P724" s="277"/>
      <c r="Q724" s="277"/>
      <c r="R724" s="277"/>
      <c r="S724" s="277"/>
      <c r="T724" s="277"/>
      <c r="U724" s="277"/>
      <c r="V724" s="277"/>
      <c r="W724" s="277"/>
      <c r="X724" s="277"/>
      <c r="Y724" s="277"/>
      <c r="Z724" s="277"/>
      <c r="AA724" s="277"/>
      <c r="AB724" s="277"/>
      <c r="AC724" s="277"/>
      <c r="AD724" s="277"/>
      <c r="AE724" s="277"/>
      <c r="AF724" s="277"/>
      <c r="AG724" s="277"/>
      <c r="AH724" s="277"/>
      <c r="AI724" s="277"/>
      <c r="AJ724" s="277"/>
      <c r="AK724" s="277"/>
      <c r="AL724" s="277"/>
      <c r="AM724" s="277"/>
      <c r="AN724" s="277"/>
      <c r="AO724" s="277"/>
      <c r="AP724" s="277"/>
      <c r="AQ724" s="277"/>
      <c r="AR724" s="277"/>
      <c r="AS724" s="277"/>
      <c r="AT724" s="277"/>
      <c r="AU724" s="277"/>
      <c r="AV724" s="277"/>
      <c r="AW724" s="277"/>
      <c r="AX724" s="277"/>
      <c r="AY724" s="277"/>
      <c r="AZ724" s="277"/>
      <c r="BA724" s="277"/>
      <c r="BB724" s="277"/>
      <c r="BC724" s="277"/>
      <c r="BD724" s="277"/>
      <c r="BE724" s="277"/>
      <c r="BF724" s="277"/>
      <c r="BG724" s="277"/>
      <c r="BH724" s="277"/>
      <c r="BI724" s="277"/>
      <c r="BJ724" s="277"/>
      <c r="BK724" s="277"/>
      <c r="BL724" s="277"/>
      <c r="BM724" s="277"/>
      <c r="BN724" s="277"/>
      <c r="BO724" s="277"/>
      <c r="BP724" s="277"/>
      <c r="BQ724" s="277"/>
      <c r="BR724" s="277"/>
      <c r="BS724" s="277"/>
      <c r="BT724" s="277"/>
      <c r="BU724" s="277"/>
      <c r="BV724" s="277"/>
      <c r="BW724" s="277"/>
      <c r="BX724" s="277"/>
      <c r="BY724" s="277"/>
      <c r="BZ724" s="277"/>
      <c r="CA724" s="277"/>
      <c r="CB724" s="277"/>
      <c r="CC724" s="277"/>
      <c r="CD724" s="277"/>
      <c r="CE724" s="277"/>
    </row>
    <row r="725" spans="1:84" s="203" customFormat="1" ht="12.65" customHeight="1" x14ac:dyDescent="0.3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5" customHeight="1" x14ac:dyDescent="0.35">
      <c r="A726" s="202" t="str">
        <f>RIGHT(C83,3)&amp;"*"&amp;RIGHT(C82,4)&amp;"*"&amp;"A"</f>
        <v>008*2020*A</v>
      </c>
      <c r="B726" s="277">
        <f>ROUND(C111,0)</f>
        <v>153</v>
      </c>
      <c r="C726" s="277">
        <f>ROUND(C112,0)</f>
        <v>62</v>
      </c>
      <c r="D726" s="277">
        <f>ROUND(C113,0)</f>
        <v>0</v>
      </c>
      <c r="E726" s="277">
        <f>ROUND(C114,0)</f>
        <v>0</v>
      </c>
      <c r="F726" s="277">
        <f>ROUND(D111,0)</f>
        <v>526</v>
      </c>
      <c r="G726" s="277">
        <f>ROUND(D112,0)</f>
        <v>770</v>
      </c>
      <c r="H726" s="277">
        <f>ROUND(D113,0)</f>
        <v>0</v>
      </c>
      <c r="I726" s="277">
        <f>ROUND(D114,0)</f>
        <v>0</v>
      </c>
      <c r="J726" s="277">
        <f>ROUND(C116,0)</f>
        <v>0</v>
      </c>
      <c r="K726" s="277">
        <f>ROUND(C117,0)</f>
        <v>10</v>
      </c>
      <c r="L726" s="277">
        <f>ROUND(C118,0)</f>
        <v>0</v>
      </c>
      <c r="M726" s="277">
        <f>ROUND(C119,0)</f>
        <v>0</v>
      </c>
      <c r="N726" s="277">
        <f>ROUND(C120,0)</f>
        <v>0</v>
      </c>
      <c r="O726" s="277">
        <f>ROUND(C121,0)</f>
        <v>0</v>
      </c>
      <c r="P726" s="277">
        <f>ROUND(C122,0)</f>
        <v>0</v>
      </c>
      <c r="Q726" s="277">
        <f>ROUND(C123,0)</f>
        <v>0</v>
      </c>
      <c r="R726" s="277">
        <f>ROUND(C124,0)</f>
        <v>7</v>
      </c>
      <c r="S726" s="277">
        <f>ROUND(C125,0)</f>
        <v>0</v>
      </c>
      <c r="T726" s="277"/>
      <c r="U726" s="277">
        <f>ROUND(C126,0)</f>
        <v>0</v>
      </c>
      <c r="V726" s="277">
        <f>ROUND(C128,0)</f>
        <v>25</v>
      </c>
      <c r="W726" s="277">
        <f>ROUND(C129,0)</f>
        <v>0</v>
      </c>
      <c r="X726" s="277">
        <f>ROUND(B138,0)</f>
        <v>105</v>
      </c>
      <c r="Y726" s="277">
        <f>ROUND(B139,0)</f>
        <v>351</v>
      </c>
      <c r="Z726" s="277">
        <f>ROUND(B140,0)</f>
        <v>0</v>
      </c>
      <c r="AA726" s="277">
        <f>ROUND(B141,0)</f>
        <v>2314479</v>
      </c>
      <c r="AB726" s="277">
        <f>ROUND(B142,0)</f>
        <v>20057692</v>
      </c>
      <c r="AC726" s="277">
        <f>ROUND(C138,0)</f>
        <v>13</v>
      </c>
      <c r="AD726" s="277">
        <f>ROUND(C139,0)</f>
        <v>35</v>
      </c>
      <c r="AE726" s="277">
        <f>ROUND(C140,0)</f>
        <v>0</v>
      </c>
      <c r="AF726" s="277">
        <f>ROUND(C141,0)</f>
        <v>482527</v>
      </c>
      <c r="AG726" s="277">
        <f>ROUND(C142,0)</f>
        <v>9875758</v>
      </c>
      <c r="AH726" s="277">
        <f>ROUND(D138,0)</f>
        <v>35</v>
      </c>
      <c r="AI726" s="277">
        <f>ROUND(D139,0)</f>
        <v>140</v>
      </c>
      <c r="AJ726" s="277">
        <f>ROUND(D140,0)</f>
        <v>0</v>
      </c>
      <c r="AK726" s="277">
        <f>ROUND(D141,0)</f>
        <v>839914</v>
      </c>
      <c r="AL726" s="277">
        <f>ROUND(D142,0)</f>
        <v>11789472</v>
      </c>
      <c r="AM726" s="277">
        <f>ROUND(B144,0)</f>
        <v>36</v>
      </c>
      <c r="AN726" s="277">
        <f>ROUND(B145,0)</f>
        <v>420</v>
      </c>
      <c r="AO726" s="277">
        <f>ROUND(B146,0)</f>
        <v>0</v>
      </c>
      <c r="AP726" s="277">
        <f>ROUND(B147,0)</f>
        <v>0</v>
      </c>
      <c r="AQ726" s="277">
        <f>ROUND(B148,0)</f>
        <v>0</v>
      </c>
      <c r="AR726" s="277">
        <f>ROUND(C144,0)</f>
        <v>12</v>
      </c>
      <c r="AS726" s="277">
        <f>ROUND(C145,0)</f>
        <v>130</v>
      </c>
      <c r="AT726" s="277">
        <f>ROUND(C146,0)</f>
        <v>0</v>
      </c>
      <c r="AU726" s="277">
        <f>ROUND(C147,0)</f>
        <v>0</v>
      </c>
      <c r="AV726" s="277">
        <f>ROUND(C148,0)</f>
        <v>0</v>
      </c>
      <c r="AW726" s="277">
        <f>ROUND(D144,0)</f>
        <v>14</v>
      </c>
      <c r="AX726" s="277">
        <f>ROUND(D145,0)</f>
        <v>220</v>
      </c>
      <c r="AY726" s="277">
        <f>ROUND(D146,0)</f>
        <v>0</v>
      </c>
      <c r="AZ726" s="277">
        <f>ROUND(D147,0)</f>
        <v>0</v>
      </c>
      <c r="BA726" s="277">
        <f>ROUND(D148,0)</f>
        <v>0</v>
      </c>
      <c r="BB726" s="277">
        <f>ROUND(B150,0)</f>
        <v>0</v>
      </c>
      <c r="BC726" s="277">
        <f>ROUND(B151,0)</f>
        <v>0</v>
      </c>
      <c r="BD726" s="277">
        <f>ROUND(B152,0)</f>
        <v>0</v>
      </c>
      <c r="BE726" s="277">
        <f>ROUND(B153,0)</f>
        <v>0</v>
      </c>
      <c r="BF726" s="277">
        <f>ROUND(B154,0)</f>
        <v>0</v>
      </c>
      <c r="BG726" s="277">
        <f>ROUND(C150,0)</f>
        <v>0</v>
      </c>
      <c r="BH726" s="277">
        <f>ROUND(C151,0)</f>
        <v>0</v>
      </c>
      <c r="BI726" s="277">
        <f>ROUND(C152,0)</f>
        <v>0</v>
      </c>
      <c r="BJ726" s="277">
        <f>ROUND(C153,0)</f>
        <v>0</v>
      </c>
      <c r="BK726" s="277">
        <f>ROUND(C154,0)</f>
        <v>0</v>
      </c>
      <c r="BL726" s="277">
        <f>ROUND(D150,0)</f>
        <v>0</v>
      </c>
      <c r="BM726" s="277">
        <f>ROUND(D151,0)</f>
        <v>0</v>
      </c>
      <c r="BN726" s="277">
        <f>ROUND(D152,0)</f>
        <v>0</v>
      </c>
      <c r="BO726" s="277">
        <f>ROUND(D153,0)</f>
        <v>0</v>
      </c>
      <c r="BP726" s="277">
        <f>ROUND(D154,0)</f>
        <v>0</v>
      </c>
      <c r="BQ726" s="277">
        <f>ROUND(B157,0)</f>
        <v>0</v>
      </c>
      <c r="BR726" s="277">
        <f>ROUND(C157,0)</f>
        <v>0</v>
      </c>
      <c r="BS726" s="277"/>
      <c r="BT726" s="277"/>
      <c r="BU726" s="277"/>
      <c r="BV726" s="277"/>
      <c r="BW726" s="277"/>
      <c r="BX726" s="277"/>
      <c r="BY726" s="277"/>
      <c r="BZ726" s="277"/>
      <c r="CA726" s="277"/>
      <c r="CB726" s="277"/>
      <c r="CC726" s="277"/>
      <c r="CD726" s="277"/>
      <c r="CE726" s="277"/>
    </row>
    <row r="727" spans="1:84" ht="12.65" customHeight="1" x14ac:dyDescent="0.35">
      <c r="B727" s="278"/>
      <c r="C727" s="278"/>
      <c r="D727" s="278"/>
      <c r="E727" s="278"/>
      <c r="F727" s="278"/>
      <c r="G727" s="278"/>
      <c r="H727" s="278"/>
      <c r="I727" s="278"/>
      <c r="J727" s="278"/>
      <c r="K727" s="278"/>
      <c r="L727" s="278"/>
      <c r="M727" s="278"/>
      <c r="N727" s="278"/>
      <c r="O727" s="278"/>
      <c r="P727" s="278"/>
      <c r="Q727" s="278"/>
      <c r="R727" s="278"/>
      <c r="S727" s="278"/>
      <c r="T727" s="278"/>
      <c r="U727" s="278"/>
      <c r="V727" s="278"/>
      <c r="W727" s="278"/>
      <c r="X727" s="278"/>
      <c r="Y727" s="278"/>
      <c r="Z727" s="278"/>
      <c r="AA727" s="278"/>
      <c r="AB727" s="278"/>
      <c r="AC727" s="278"/>
      <c r="AD727" s="278"/>
      <c r="AE727" s="278"/>
      <c r="AF727" s="278"/>
      <c r="AG727" s="278"/>
      <c r="AH727" s="278"/>
      <c r="AI727" s="278"/>
      <c r="AJ727" s="278"/>
      <c r="AK727" s="278"/>
      <c r="AL727" s="278"/>
      <c r="AM727" s="278"/>
      <c r="AN727" s="278"/>
      <c r="AO727" s="278"/>
      <c r="AP727" s="278"/>
      <c r="AQ727" s="278"/>
      <c r="AR727" s="278"/>
      <c r="AS727" s="278"/>
      <c r="AT727" s="278"/>
      <c r="AU727" s="278"/>
      <c r="AV727" s="278"/>
      <c r="AW727" s="278"/>
      <c r="AX727" s="278"/>
      <c r="AY727" s="278"/>
      <c r="AZ727" s="278"/>
      <c r="BA727" s="278"/>
      <c r="BB727" s="278"/>
      <c r="BC727" s="278"/>
      <c r="BD727" s="278"/>
      <c r="BE727" s="278"/>
      <c r="BF727" s="278"/>
      <c r="BG727" s="278"/>
      <c r="BH727" s="278"/>
      <c r="BI727" s="278"/>
      <c r="BJ727" s="278"/>
      <c r="BK727" s="278"/>
      <c r="BL727" s="278"/>
      <c r="BM727" s="278"/>
      <c r="BN727" s="278"/>
      <c r="BO727" s="278"/>
      <c r="BP727" s="278"/>
      <c r="BQ727" s="278"/>
      <c r="BR727" s="278"/>
      <c r="BS727" s="278"/>
      <c r="BT727" s="278"/>
      <c r="BU727" s="278"/>
      <c r="BV727" s="278"/>
      <c r="BW727" s="278"/>
      <c r="BX727" s="278"/>
      <c r="BY727" s="278"/>
      <c r="BZ727" s="278"/>
      <c r="CA727" s="278"/>
      <c r="CB727" s="278"/>
      <c r="CC727" s="278"/>
      <c r="CD727" s="278"/>
      <c r="CE727" s="278"/>
    </row>
    <row r="728" spans="1:84" s="201" customFormat="1" ht="12.65" customHeight="1" x14ac:dyDescent="0.35">
      <c r="A728" s="201" t="s">
        <v>895</v>
      </c>
      <c r="B728" s="277"/>
      <c r="C728" s="277"/>
      <c r="D728" s="277"/>
      <c r="E728" s="277"/>
      <c r="F728" s="277"/>
      <c r="G728" s="277"/>
      <c r="H728" s="277"/>
      <c r="I728" s="277"/>
      <c r="J728" s="277"/>
      <c r="K728" s="277"/>
      <c r="L728" s="277"/>
      <c r="M728" s="277"/>
      <c r="N728" s="277"/>
      <c r="O728" s="277"/>
      <c r="P728" s="277"/>
      <c r="Q728" s="277"/>
      <c r="R728" s="277"/>
      <c r="S728" s="277"/>
      <c r="T728" s="277"/>
      <c r="U728" s="277"/>
      <c r="V728" s="277"/>
      <c r="W728" s="277"/>
      <c r="X728" s="277"/>
      <c r="Y728" s="277"/>
      <c r="Z728" s="277"/>
      <c r="AA728" s="277"/>
      <c r="AB728" s="277"/>
      <c r="AC728" s="277"/>
      <c r="AD728" s="277"/>
      <c r="AE728" s="277"/>
      <c r="AF728" s="277"/>
      <c r="AG728" s="277"/>
      <c r="AH728" s="277"/>
      <c r="AI728" s="277"/>
      <c r="AJ728" s="277"/>
      <c r="AK728" s="277"/>
      <c r="AL728" s="277"/>
      <c r="AM728" s="277"/>
      <c r="AN728" s="277"/>
      <c r="AO728" s="277"/>
      <c r="AP728" s="277"/>
      <c r="AQ728" s="277"/>
      <c r="AR728" s="277"/>
      <c r="AS728" s="277"/>
      <c r="AT728" s="277"/>
      <c r="AU728" s="277"/>
      <c r="AV728" s="277"/>
      <c r="AW728" s="277"/>
      <c r="AX728" s="277"/>
      <c r="AY728" s="277"/>
      <c r="AZ728" s="277"/>
      <c r="BA728" s="277"/>
      <c r="BB728" s="277"/>
      <c r="BC728" s="277"/>
      <c r="BD728" s="277"/>
      <c r="BE728" s="277"/>
      <c r="BF728" s="277"/>
      <c r="BG728" s="277"/>
      <c r="BH728" s="277"/>
      <c r="BI728" s="277"/>
      <c r="BJ728" s="277"/>
      <c r="BK728" s="277"/>
      <c r="BL728" s="277"/>
      <c r="BM728" s="277"/>
      <c r="BN728" s="277"/>
      <c r="BO728" s="277"/>
      <c r="BP728" s="277"/>
      <c r="BQ728" s="277"/>
      <c r="BR728" s="277"/>
      <c r="BS728" s="277"/>
      <c r="BT728" s="277"/>
      <c r="BU728" s="277"/>
      <c r="BV728" s="277"/>
      <c r="BW728" s="277"/>
      <c r="BX728" s="277"/>
      <c r="BY728" s="277"/>
      <c r="BZ728" s="277"/>
      <c r="CA728" s="277"/>
      <c r="CB728" s="277"/>
      <c r="CC728" s="277"/>
      <c r="CD728" s="277"/>
      <c r="CE728" s="277"/>
    </row>
    <row r="729" spans="1:84" s="203" customFormat="1" ht="12.65" customHeight="1" x14ac:dyDescent="0.3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5" customHeight="1" x14ac:dyDescent="0.35">
      <c r="A730" s="202" t="str">
        <f>RIGHT(C83,3)&amp;"*"&amp;RIGHT(C82,4)&amp;"*"&amp;"A"</f>
        <v>008*2020*A</v>
      </c>
      <c r="B730" s="277">
        <f>ROUND(C250,0)</f>
        <v>15935819</v>
      </c>
      <c r="C730" s="277">
        <f>ROUND(C251,0)</f>
        <v>0</v>
      </c>
      <c r="D730" s="277">
        <f>ROUND(C252,0)</f>
        <v>7543236</v>
      </c>
      <c r="E730" s="277">
        <f>ROUND(C253,0)</f>
        <v>4441311</v>
      </c>
      <c r="F730" s="277">
        <f>ROUND(C254,0)</f>
        <v>139968</v>
      </c>
      <c r="G730" s="277">
        <f>ROUND(C255,0)</f>
        <v>636023</v>
      </c>
      <c r="H730" s="277">
        <f>ROUND(C256,0)</f>
        <v>0</v>
      </c>
      <c r="I730" s="277">
        <f>ROUND(C257,0)</f>
        <v>400047</v>
      </c>
      <c r="J730" s="277">
        <f>ROUND(C258,0)</f>
        <v>126241</v>
      </c>
      <c r="K730" s="277">
        <f>ROUND(C259,0)</f>
        <v>0</v>
      </c>
      <c r="L730" s="277">
        <f>ROUND(C262,0)</f>
        <v>0</v>
      </c>
      <c r="M730" s="277">
        <f>ROUND(C263,0)</f>
        <v>0</v>
      </c>
      <c r="N730" s="277">
        <f>ROUND(C264,0)</f>
        <v>376827</v>
      </c>
      <c r="O730" s="277">
        <f>ROUND(C267,0)</f>
        <v>203706</v>
      </c>
      <c r="P730" s="277">
        <f>ROUND(C268,0)</f>
        <v>1771953</v>
      </c>
      <c r="Q730" s="277">
        <f>ROUND(C269,0)</f>
        <v>13657778</v>
      </c>
      <c r="R730" s="277">
        <f>ROUND(C270,0)</f>
        <v>6932383</v>
      </c>
      <c r="S730" s="277">
        <f>ROUND(C271,0)</f>
        <v>362010</v>
      </c>
      <c r="T730" s="277">
        <f>ROUND(C272,0)</f>
        <v>7184358</v>
      </c>
      <c r="U730" s="277">
        <f>ROUND(C273,0)</f>
        <v>0</v>
      </c>
      <c r="V730" s="277">
        <f>ROUND(C274,0)</f>
        <v>335643</v>
      </c>
      <c r="W730" s="277">
        <f>ROUND(C275,0)</f>
        <v>0</v>
      </c>
      <c r="X730" s="277">
        <f>ROUND(C276,0)</f>
        <v>20190235</v>
      </c>
      <c r="Y730" s="277">
        <f>ROUND(C279,0)</f>
        <v>0</v>
      </c>
      <c r="Z730" s="277">
        <f>ROUND(C280,0)</f>
        <v>0</v>
      </c>
      <c r="AA730" s="277">
        <f>ROUND(C281,0)</f>
        <v>0</v>
      </c>
      <c r="AB730" s="277">
        <f>ROUND(C282,0)</f>
        <v>0</v>
      </c>
      <c r="AC730" s="277">
        <f>ROUND(C286,0)</f>
        <v>0</v>
      </c>
      <c r="AD730" s="277">
        <f>ROUND(C287,0)</f>
        <v>0</v>
      </c>
      <c r="AE730" s="277">
        <f>ROUND(C288,0)</f>
        <v>0</v>
      </c>
      <c r="AF730" s="277">
        <f>ROUND(C289,0)</f>
        <v>0</v>
      </c>
      <c r="AG730" s="277">
        <f>ROUND(C304,0)</f>
        <v>2911052</v>
      </c>
      <c r="AH730" s="277">
        <f>ROUND(C305,0)</f>
        <v>1065299</v>
      </c>
      <c r="AI730" s="277">
        <f>ROUND(C306,0)</f>
        <v>1440947</v>
      </c>
      <c r="AJ730" s="277">
        <f>ROUND(C307,0)</f>
        <v>13799</v>
      </c>
      <c r="AK730" s="277">
        <f>ROUND(C308,0)</f>
        <v>0</v>
      </c>
      <c r="AL730" s="277">
        <f>ROUND(C309,0)</f>
        <v>5681602</v>
      </c>
      <c r="AM730" s="277">
        <f>ROUND(C310,0)</f>
        <v>0</v>
      </c>
      <c r="AN730" s="277">
        <f>ROUND(C311,0)</f>
        <v>665772</v>
      </c>
      <c r="AO730" s="277">
        <f>ROUND(C312,0)</f>
        <v>552428</v>
      </c>
      <c r="AP730" s="277">
        <f>ROUND(C313,0)</f>
        <v>574481</v>
      </c>
      <c r="AQ730" s="277">
        <f>ROUND(C316,0)</f>
        <v>0</v>
      </c>
      <c r="AR730" s="277">
        <f>ROUND(C317,0)</f>
        <v>0</v>
      </c>
      <c r="AS730" s="277">
        <f>ROUND(C318,0)</f>
        <v>0</v>
      </c>
      <c r="AT730" s="277">
        <f>ROUND(C321,0)</f>
        <v>0</v>
      </c>
      <c r="AU730" s="277">
        <f>ROUND(C322,0)</f>
        <v>0</v>
      </c>
      <c r="AV730" s="277">
        <f>ROUND(C323,0)</f>
        <v>0</v>
      </c>
      <c r="AW730" s="277">
        <f>ROUND(C324,0)</f>
        <v>0</v>
      </c>
      <c r="AX730" s="277">
        <f>ROUND(C325,0)</f>
        <v>4550768</v>
      </c>
      <c r="AY730" s="277">
        <f>ROUND(C326,0)</f>
        <v>0</v>
      </c>
      <c r="AZ730" s="277">
        <f>ROUND(C327,0)</f>
        <v>189181</v>
      </c>
      <c r="BA730" s="277">
        <f>ROUND(C328,0)</f>
        <v>0</v>
      </c>
      <c r="BB730" s="277">
        <f>ROUND(C332,0)</f>
        <v>9426490</v>
      </c>
      <c r="BC730" s="277"/>
      <c r="BD730" s="277"/>
      <c r="BE730" s="277">
        <f>ROUND(C337,0)</f>
        <v>3913666</v>
      </c>
      <c r="BF730" s="277">
        <f>ROUND(C336,0)</f>
        <v>0</v>
      </c>
      <c r="BG730" s="277"/>
      <c r="BH730" s="277"/>
      <c r="BI730" s="277">
        <f>ROUND(CE60,2)</f>
        <v>195.48</v>
      </c>
      <c r="BJ730" s="277">
        <f>ROUND(C359,0)</f>
        <v>3422587</v>
      </c>
      <c r="BK730" s="277">
        <f>ROUND(C360,0)</f>
        <v>43297033</v>
      </c>
      <c r="BL730" s="277">
        <f>ROUND(C364,0)</f>
        <v>19736503</v>
      </c>
      <c r="BM730" s="277">
        <f>ROUND(C365,0)</f>
        <v>400922</v>
      </c>
      <c r="BN730" s="277">
        <f>ROUND(C366,0)</f>
        <v>-142624</v>
      </c>
      <c r="BO730" s="277">
        <f>ROUND(C370,0)</f>
        <v>0</v>
      </c>
      <c r="BP730" s="277">
        <f>ROUND(C371,0)</f>
        <v>0</v>
      </c>
      <c r="BQ730" s="277">
        <f>ROUND(C378,0)</f>
        <v>14293532</v>
      </c>
      <c r="BR730" s="277">
        <f>ROUND(C379,0)</f>
        <v>3021740</v>
      </c>
      <c r="BS730" s="277">
        <f>ROUND(C380,0)</f>
        <v>2990765</v>
      </c>
      <c r="BT730" s="277">
        <f>ROUND(C381,0)</f>
        <v>2631968</v>
      </c>
      <c r="BU730" s="277">
        <f>ROUND(C382,0)</f>
        <v>267414</v>
      </c>
      <c r="BV730" s="277">
        <f>ROUND(C383,0)</f>
        <v>2693618</v>
      </c>
      <c r="BW730" s="277">
        <f>ROUND(C384,0)</f>
        <v>1288739</v>
      </c>
      <c r="BX730" s="277">
        <f>ROUND(C385,0)</f>
        <v>416377</v>
      </c>
      <c r="BY730" s="277">
        <f>ROUND(C386,0)</f>
        <v>187927</v>
      </c>
      <c r="BZ730" s="277">
        <f>ROUND(C387,0)</f>
        <v>25805</v>
      </c>
      <c r="CA730" s="277">
        <f>ROUND(C388,0)</f>
        <v>224242</v>
      </c>
      <c r="CB730" s="277">
        <f>C363</f>
        <v>1466324.23</v>
      </c>
      <c r="CC730" s="277">
        <f>ROUND(C389,0)</f>
        <v>736763</v>
      </c>
      <c r="CD730" s="277">
        <f>ROUND(C392,0)</f>
        <v>7434063</v>
      </c>
      <c r="CE730" s="277">
        <f>ROUND(C394,0)</f>
        <v>0</v>
      </c>
      <c r="CF730" s="201">
        <f>ROUND(C395,0)</f>
        <v>0</v>
      </c>
    </row>
    <row r="731" spans="1:84" ht="12.65" customHeight="1" x14ac:dyDescent="0.35">
      <c r="B731" s="278"/>
      <c r="C731" s="278"/>
      <c r="D731" s="278"/>
      <c r="E731" s="278"/>
      <c r="F731" s="278"/>
      <c r="G731" s="278"/>
      <c r="H731" s="278"/>
      <c r="I731" s="278"/>
      <c r="J731" s="278"/>
      <c r="K731" s="278"/>
      <c r="L731" s="278"/>
      <c r="M731" s="278"/>
      <c r="N731" s="278"/>
      <c r="O731" s="278"/>
      <c r="P731" s="278"/>
      <c r="Q731" s="278"/>
      <c r="R731" s="278"/>
      <c r="S731" s="278"/>
      <c r="T731" s="278"/>
      <c r="U731" s="278"/>
      <c r="V731" s="278"/>
      <c r="W731" s="278"/>
      <c r="X731" s="278"/>
      <c r="Y731" s="278"/>
      <c r="Z731" s="278"/>
      <c r="AA731" s="278"/>
      <c r="AB731" s="278"/>
      <c r="AC731" s="278"/>
      <c r="AD731" s="278"/>
      <c r="AE731" s="278"/>
      <c r="AF731" s="278"/>
      <c r="AG731" s="278"/>
      <c r="AH731" s="278"/>
      <c r="AI731" s="278"/>
      <c r="AJ731" s="278"/>
      <c r="AK731" s="278"/>
      <c r="AL731" s="278"/>
      <c r="AM731" s="278"/>
      <c r="AN731" s="278"/>
      <c r="AO731" s="278"/>
      <c r="AP731" s="278"/>
      <c r="AQ731" s="278"/>
      <c r="AR731" s="278"/>
      <c r="AS731" s="278"/>
      <c r="AT731" s="278"/>
      <c r="AU731" s="278"/>
      <c r="AV731" s="278"/>
      <c r="AW731" s="278"/>
      <c r="AX731" s="278"/>
      <c r="AY731" s="278"/>
      <c r="AZ731" s="278"/>
      <c r="BA731" s="278"/>
      <c r="BB731" s="278"/>
      <c r="BC731" s="278"/>
      <c r="BD731" s="278"/>
      <c r="BE731" s="278"/>
      <c r="BF731" s="278"/>
      <c r="BG731" s="278"/>
      <c r="BH731" s="278"/>
      <c r="BI731" s="278"/>
      <c r="BJ731" s="278"/>
      <c r="BK731" s="278"/>
      <c r="BL731" s="278"/>
      <c r="BM731" s="278"/>
      <c r="BN731" s="278"/>
      <c r="BO731" s="278"/>
      <c r="BP731" s="278"/>
      <c r="BQ731" s="278"/>
      <c r="BR731" s="278"/>
      <c r="BS731" s="278"/>
      <c r="BT731" s="278"/>
      <c r="BU731" s="278"/>
      <c r="BV731" s="278"/>
      <c r="BW731" s="278"/>
      <c r="BX731" s="278"/>
      <c r="BY731" s="278"/>
      <c r="BZ731" s="278"/>
      <c r="CA731" s="278"/>
      <c r="CB731" s="278"/>
      <c r="CC731" s="278"/>
      <c r="CD731" s="278"/>
      <c r="CE731" s="278"/>
    </row>
    <row r="732" spans="1:84" s="201" customFormat="1" ht="12.65" customHeight="1" x14ac:dyDescent="0.35">
      <c r="A732" s="201" t="s">
        <v>979</v>
      </c>
      <c r="B732" s="277"/>
      <c r="C732" s="277"/>
      <c r="D732" s="277"/>
      <c r="E732" s="277"/>
      <c r="F732" s="277"/>
      <c r="G732" s="277"/>
      <c r="H732" s="277"/>
      <c r="I732" s="277"/>
      <c r="J732" s="277"/>
      <c r="K732" s="277"/>
      <c r="L732" s="277"/>
      <c r="M732" s="277"/>
      <c r="N732" s="277"/>
      <c r="O732" s="277"/>
      <c r="P732" s="277"/>
      <c r="Q732" s="277"/>
      <c r="R732" s="277"/>
      <c r="S732" s="277"/>
      <c r="T732" s="277"/>
      <c r="U732" s="277"/>
      <c r="V732" s="277"/>
      <c r="W732" s="277"/>
      <c r="X732" s="277"/>
      <c r="Y732" s="277"/>
      <c r="Z732" s="277"/>
      <c r="AA732" s="277"/>
      <c r="AB732" s="277"/>
      <c r="AC732" s="277"/>
      <c r="AD732" s="277"/>
      <c r="AE732" s="277"/>
      <c r="AF732" s="277"/>
      <c r="AG732" s="277"/>
      <c r="AH732" s="277"/>
      <c r="AI732" s="277"/>
      <c r="AJ732" s="277"/>
      <c r="AK732" s="277"/>
      <c r="AL732" s="277"/>
      <c r="AM732" s="277"/>
      <c r="AN732" s="277"/>
      <c r="AO732" s="277"/>
      <c r="AP732" s="277"/>
      <c r="AQ732" s="277"/>
      <c r="AR732" s="277"/>
      <c r="AS732" s="277"/>
      <c r="AT732" s="277"/>
      <c r="AU732" s="277"/>
      <c r="AV732" s="277"/>
      <c r="AW732" s="277"/>
      <c r="AX732" s="277"/>
      <c r="AY732" s="277"/>
      <c r="AZ732" s="277"/>
      <c r="BA732" s="277"/>
      <c r="BB732" s="277"/>
      <c r="BC732" s="277"/>
      <c r="BD732" s="277"/>
      <c r="BE732" s="277"/>
      <c r="BF732" s="277"/>
      <c r="BG732" s="277"/>
      <c r="BH732" s="277"/>
      <c r="BI732" s="277"/>
      <c r="BJ732" s="277"/>
      <c r="BK732" s="277"/>
      <c r="BL732" s="277"/>
      <c r="BM732" s="277"/>
      <c r="BN732" s="277"/>
      <c r="BO732" s="277"/>
      <c r="BP732" s="277"/>
      <c r="BQ732" s="277"/>
      <c r="BR732" s="277"/>
      <c r="BS732" s="277"/>
      <c r="BT732" s="277"/>
      <c r="BU732" s="277"/>
      <c r="BV732" s="277"/>
      <c r="BW732" s="277"/>
      <c r="BX732" s="277"/>
      <c r="BY732" s="277"/>
      <c r="BZ732" s="277"/>
      <c r="CA732" s="277"/>
      <c r="CB732" s="277"/>
      <c r="CC732" s="277"/>
      <c r="CD732" s="277"/>
      <c r="CE732" s="277"/>
    </row>
    <row r="733" spans="1:84" s="203" customFormat="1" ht="12.65" customHeight="1" x14ac:dyDescent="0.3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5" customHeight="1" x14ac:dyDescent="0.35">
      <c r="A734" s="202" t="str">
        <f>RIGHT($C$83,3)&amp;"*"&amp;RIGHT($C$82,4)&amp;"*"&amp;C$55&amp;"*"&amp;"A"</f>
        <v>008*2020*6010*A</v>
      </c>
      <c r="B734" s="277">
        <f>ROUND(C59,0)</f>
        <v>0</v>
      </c>
      <c r="C734" s="277">
        <f>ROUND(C60,2)</f>
        <v>0</v>
      </c>
      <c r="D734" s="277">
        <f>ROUND(C61,0)</f>
        <v>0</v>
      </c>
      <c r="E734" s="277">
        <f>ROUND(C62,0)</f>
        <v>0</v>
      </c>
      <c r="F734" s="277">
        <f>ROUND(C63,0)</f>
        <v>0</v>
      </c>
      <c r="G734" s="277">
        <f>ROUND(C64,0)</f>
        <v>0</v>
      </c>
      <c r="H734" s="277">
        <f>ROUND(C65,0)</f>
        <v>0</v>
      </c>
      <c r="I734" s="277">
        <f>ROUND(C66,0)</f>
        <v>0</v>
      </c>
      <c r="J734" s="277">
        <f>ROUND(C67,0)</f>
        <v>0</v>
      </c>
      <c r="K734" s="277">
        <f>ROUND(C68,0)</f>
        <v>0</v>
      </c>
      <c r="L734" s="277">
        <f>ROUND(C69,0)</f>
        <v>0</v>
      </c>
      <c r="M734" s="277">
        <f>ROUND(C70,0)</f>
        <v>0</v>
      </c>
      <c r="N734" s="277">
        <f>ROUND(C75,0)</f>
        <v>0</v>
      </c>
      <c r="O734" s="277">
        <f>ROUND(C73,0)</f>
        <v>0</v>
      </c>
      <c r="P734" s="277">
        <f>IF(C76&gt;0,ROUND(C76,0),0)</f>
        <v>0</v>
      </c>
      <c r="Q734" s="277">
        <f>IF(C77&gt;0,ROUND(C77,0),0)</f>
        <v>0</v>
      </c>
      <c r="R734" s="277">
        <f>IF(C78&gt;0,ROUND(C78,0),0)</f>
        <v>0</v>
      </c>
      <c r="S734" s="277">
        <f>IF(C79&gt;0,ROUND(C79,0),0)</f>
        <v>0</v>
      </c>
      <c r="T734" s="277">
        <f>IF(C80&gt;0,ROUND(C80,2),0)</f>
        <v>0</v>
      </c>
      <c r="U734" s="277"/>
      <c r="V734" s="277"/>
      <c r="W734" s="277"/>
      <c r="X734" s="277"/>
      <c r="Y734" s="277" t="e">
        <f>IF(M668&lt;&gt;0,ROUND(M668,0),0)</f>
        <v>#DIV/0!</v>
      </c>
      <c r="Z734" s="277"/>
      <c r="AA734" s="277"/>
      <c r="AB734" s="277"/>
      <c r="AC734" s="277"/>
      <c r="AD734" s="277"/>
      <c r="AE734" s="277"/>
      <c r="AF734" s="277"/>
      <c r="AG734" s="277"/>
      <c r="AH734" s="277"/>
      <c r="AI734" s="277"/>
      <c r="AJ734" s="277"/>
      <c r="AK734" s="277"/>
      <c r="AL734" s="277"/>
      <c r="AM734" s="277"/>
      <c r="AN734" s="277"/>
      <c r="AO734" s="277"/>
      <c r="AP734" s="277"/>
      <c r="AQ734" s="277"/>
      <c r="AR734" s="277"/>
      <c r="AS734" s="277"/>
      <c r="AT734" s="277"/>
      <c r="AU734" s="277"/>
      <c r="AV734" s="277"/>
      <c r="AW734" s="277"/>
      <c r="AX734" s="277"/>
      <c r="AY734" s="277"/>
      <c r="AZ734" s="277"/>
      <c r="BA734" s="277"/>
      <c r="BB734" s="277"/>
      <c r="BC734" s="277"/>
      <c r="BD734" s="277"/>
      <c r="BE734" s="277"/>
      <c r="BF734" s="277"/>
      <c r="BG734" s="277"/>
      <c r="BH734" s="277"/>
      <c r="BI734" s="277"/>
      <c r="BJ734" s="277"/>
      <c r="BK734" s="277"/>
      <c r="BL734" s="277"/>
      <c r="BM734" s="277"/>
      <c r="BN734" s="277"/>
      <c r="BO734" s="277"/>
      <c r="BP734" s="277"/>
      <c r="BQ734" s="277"/>
      <c r="BR734" s="277"/>
      <c r="BS734" s="277"/>
      <c r="BT734" s="277"/>
      <c r="BU734" s="277"/>
      <c r="BV734" s="277"/>
      <c r="BW734" s="277"/>
      <c r="BX734" s="277"/>
      <c r="BY734" s="277"/>
      <c r="BZ734" s="277"/>
      <c r="CA734" s="277"/>
      <c r="CB734" s="277"/>
      <c r="CC734" s="277"/>
      <c r="CD734" s="277"/>
      <c r="CE734" s="277"/>
    </row>
    <row r="735" spans="1:84" ht="12.65" customHeight="1" x14ac:dyDescent="0.35">
      <c r="A735" s="209" t="str">
        <f>RIGHT($C$83,3)&amp;"*"&amp;RIGHT($C$82,4)&amp;"*"&amp;D$55&amp;"*"&amp;"A"</f>
        <v>008*2020*6030*A</v>
      </c>
      <c r="B735" s="277">
        <f>ROUND(D59,0)</f>
        <v>0</v>
      </c>
      <c r="C735" s="279">
        <f>ROUND(D60,2)</f>
        <v>0</v>
      </c>
      <c r="D735" s="277">
        <f>ROUND(D61,0)</f>
        <v>0</v>
      </c>
      <c r="E735" s="277">
        <f>ROUND(D62,0)</f>
        <v>0</v>
      </c>
      <c r="F735" s="277">
        <f>ROUND(D63,0)</f>
        <v>0</v>
      </c>
      <c r="G735" s="277">
        <f>ROUND(D64,0)</f>
        <v>0</v>
      </c>
      <c r="H735" s="277">
        <f>ROUND(D65,0)</f>
        <v>0</v>
      </c>
      <c r="I735" s="277">
        <f>ROUND(D66,0)</f>
        <v>0</v>
      </c>
      <c r="J735" s="277">
        <f>ROUND(D67,0)</f>
        <v>0</v>
      </c>
      <c r="K735" s="277">
        <f>ROUND(D68,0)</f>
        <v>0</v>
      </c>
      <c r="L735" s="277">
        <f>ROUND(D69,0)</f>
        <v>0</v>
      </c>
      <c r="M735" s="277">
        <f>ROUND(D70,0)</f>
        <v>0</v>
      </c>
      <c r="N735" s="277">
        <f>ROUND(D75,0)</f>
        <v>0</v>
      </c>
      <c r="O735" s="277">
        <f>ROUND(D73,0)</f>
        <v>0</v>
      </c>
      <c r="P735" s="277">
        <f>IF(D76&gt;0,ROUND(D76,0),0)</f>
        <v>0</v>
      </c>
      <c r="Q735" s="277">
        <f>IF(D77&gt;0,ROUND(D77,0),0)</f>
        <v>0</v>
      </c>
      <c r="R735" s="277">
        <f>IF(D78&gt;0,ROUND(D78,0),0)</f>
        <v>0</v>
      </c>
      <c r="S735" s="277">
        <f>IF(D79&gt;0,ROUND(D79,0),0)</f>
        <v>0</v>
      </c>
      <c r="T735" s="279">
        <f>IF(D80&gt;0,ROUND(D80,2),0)</f>
        <v>0</v>
      </c>
      <c r="U735" s="277"/>
      <c r="V735" s="278"/>
      <c r="W735" s="277"/>
      <c r="X735" s="277"/>
      <c r="Y735" s="277" t="e">
        <f t="shared" ref="Y735:Y779" si="22">IF(M669&lt;&gt;0,ROUND(M669,0),0)</f>
        <v>#DIV/0!</v>
      </c>
      <c r="Z735" s="278"/>
      <c r="AA735" s="278"/>
      <c r="AB735" s="278"/>
      <c r="AC735" s="278"/>
      <c r="AD735" s="278"/>
      <c r="AE735" s="278"/>
      <c r="AF735" s="278"/>
      <c r="AG735" s="278"/>
      <c r="AH735" s="278"/>
      <c r="AI735" s="278"/>
      <c r="AJ735" s="278"/>
      <c r="AK735" s="278"/>
      <c r="AL735" s="278"/>
      <c r="AM735" s="278"/>
      <c r="AN735" s="278"/>
      <c r="AO735" s="278"/>
      <c r="AP735" s="278"/>
      <c r="AQ735" s="278"/>
      <c r="AR735" s="278"/>
      <c r="AS735" s="278"/>
      <c r="AT735" s="278"/>
      <c r="AU735" s="278"/>
      <c r="AV735" s="278"/>
      <c r="AW735" s="278"/>
      <c r="AX735" s="278"/>
      <c r="AY735" s="278"/>
      <c r="AZ735" s="278"/>
      <c r="BA735" s="278"/>
      <c r="BB735" s="278"/>
      <c r="BC735" s="278"/>
      <c r="BD735" s="278"/>
      <c r="BE735" s="278"/>
      <c r="BF735" s="278"/>
      <c r="BG735" s="278"/>
      <c r="BH735" s="278"/>
      <c r="BI735" s="278"/>
      <c r="BJ735" s="278"/>
      <c r="BK735" s="278"/>
      <c r="BL735" s="278"/>
      <c r="BM735" s="278"/>
      <c r="BN735" s="278"/>
      <c r="BO735" s="278"/>
      <c r="BP735" s="278"/>
      <c r="BQ735" s="278"/>
      <c r="BR735" s="278"/>
      <c r="BS735" s="278"/>
      <c r="BT735" s="278"/>
      <c r="BU735" s="278"/>
      <c r="BV735" s="278"/>
      <c r="BW735" s="278"/>
      <c r="BX735" s="278"/>
      <c r="BY735" s="278"/>
      <c r="BZ735" s="278"/>
      <c r="CA735" s="278"/>
      <c r="CB735" s="278"/>
      <c r="CC735" s="278"/>
      <c r="CD735" s="278"/>
      <c r="CE735" s="278"/>
    </row>
    <row r="736" spans="1:84" ht="12.65" customHeight="1" x14ac:dyDescent="0.35">
      <c r="A736" s="209" t="str">
        <f>RIGHT($C$83,3)&amp;"*"&amp;RIGHT($C$82,4)&amp;"*"&amp;E$55&amp;"*"&amp;"A"</f>
        <v>008*2020*6070*A</v>
      </c>
      <c r="B736" s="277">
        <f>ROUND(E59,0)</f>
        <v>526</v>
      </c>
      <c r="C736" s="279">
        <f>ROUND(E60,2)</f>
        <v>18.690000000000001</v>
      </c>
      <c r="D736" s="277">
        <f>ROUND(E61,0)</f>
        <v>1219969</v>
      </c>
      <c r="E736" s="277">
        <f>ROUND(E62,0)</f>
        <v>314238</v>
      </c>
      <c r="F736" s="277">
        <f>ROUND(E63,0)</f>
        <v>1115547</v>
      </c>
      <c r="G736" s="277">
        <f>ROUND(E64,0)</f>
        <v>88910</v>
      </c>
      <c r="H736" s="277">
        <f>ROUND(E65,0)</f>
        <v>9209</v>
      </c>
      <c r="I736" s="277">
        <f>ROUND(E66,0)</f>
        <v>35401</v>
      </c>
      <c r="J736" s="277">
        <f>ROUND(E67,0)</f>
        <v>0</v>
      </c>
      <c r="K736" s="277">
        <f>ROUND(E68,0)</f>
        <v>48800</v>
      </c>
      <c r="L736" s="277">
        <f>ROUND(E69,0)</f>
        <v>13278</v>
      </c>
      <c r="M736" s="277">
        <f>ROUND(E70,0)</f>
        <v>0</v>
      </c>
      <c r="N736" s="277">
        <f>ROUND(E75,0)</f>
        <v>2407958</v>
      </c>
      <c r="O736" s="277">
        <f>ROUND(E73,0)</f>
        <v>1646019</v>
      </c>
      <c r="P736" s="277">
        <f>IF(E76&gt;0,ROUND(E76,0),0)</f>
        <v>8987</v>
      </c>
      <c r="Q736" s="277">
        <f>IF(E77&gt;0,ROUND(E77,0),0)</f>
        <v>4581</v>
      </c>
      <c r="R736" s="277">
        <f>IF(E78&gt;0,ROUND(E78,0),0)</f>
        <v>0</v>
      </c>
      <c r="S736" s="277">
        <f>IF(E79&gt;0,ROUND(E79,0),0)</f>
        <v>0</v>
      </c>
      <c r="T736" s="279">
        <f>IF(E80&gt;0,ROUND(E80,2),0)</f>
        <v>9.44</v>
      </c>
      <c r="U736" s="277"/>
      <c r="V736" s="278"/>
      <c r="W736" s="277"/>
      <c r="X736" s="277"/>
      <c r="Y736" s="277" t="e">
        <f t="shared" si="22"/>
        <v>#DIV/0!</v>
      </c>
      <c r="Z736" s="278"/>
      <c r="AA736" s="278"/>
      <c r="AB736" s="278"/>
      <c r="AC736" s="278"/>
      <c r="AD736" s="278"/>
      <c r="AE736" s="278"/>
      <c r="AF736" s="278"/>
      <c r="AG736" s="278"/>
      <c r="AH736" s="278"/>
      <c r="AI736" s="278"/>
      <c r="AJ736" s="278"/>
      <c r="AK736" s="278"/>
      <c r="AL736" s="278"/>
      <c r="AM736" s="278"/>
      <c r="AN736" s="278"/>
      <c r="AO736" s="278"/>
      <c r="AP736" s="278"/>
      <c r="AQ736" s="278"/>
      <c r="AR736" s="278"/>
      <c r="AS736" s="278"/>
      <c r="AT736" s="278"/>
      <c r="AU736" s="278"/>
      <c r="AV736" s="278"/>
      <c r="AW736" s="278"/>
      <c r="AX736" s="278"/>
      <c r="AY736" s="278"/>
      <c r="AZ736" s="278"/>
      <c r="BA736" s="278"/>
      <c r="BB736" s="278"/>
      <c r="BC736" s="278"/>
      <c r="BD736" s="278"/>
      <c r="BE736" s="278"/>
      <c r="BF736" s="278"/>
      <c r="BG736" s="278"/>
      <c r="BH736" s="278"/>
      <c r="BI736" s="278"/>
      <c r="BJ736" s="278"/>
      <c r="BK736" s="278"/>
      <c r="BL736" s="278"/>
      <c r="BM736" s="278"/>
      <c r="BN736" s="278"/>
      <c r="BO736" s="278"/>
      <c r="BP736" s="278"/>
      <c r="BQ736" s="278"/>
      <c r="BR736" s="278"/>
      <c r="BS736" s="278"/>
      <c r="BT736" s="278"/>
      <c r="BU736" s="278"/>
      <c r="BV736" s="278"/>
      <c r="BW736" s="278"/>
      <c r="BX736" s="278"/>
      <c r="BY736" s="278"/>
      <c r="BZ736" s="278"/>
      <c r="CA736" s="278"/>
      <c r="CB736" s="278"/>
      <c r="CC736" s="278"/>
      <c r="CD736" s="278"/>
      <c r="CE736" s="278"/>
    </row>
    <row r="737" spans="1:83" ht="12.65" customHeight="1" x14ac:dyDescent="0.35">
      <c r="A737" s="209" t="str">
        <f>RIGHT($C$83,3)&amp;"*"&amp;RIGHT($C$82,4)&amp;"*"&amp;F$55&amp;"*"&amp;"A"</f>
        <v>008*2020*6100*A</v>
      </c>
      <c r="B737" s="277">
        <f>ROUND(F59,0)</f>
        <v>0</v>
      </c>
      <c r="C737" s="279">
        <f>ROUND(F60,2)</f>
        <v>0</v>
      </c>
      <c r="D737" s="277">
        <f>ROUND(F61,0)</f>
        <v>0</v>
      </c>
      <c r="E737" s="277">
        <f>ROUND(F62,0)</f>
        <v>0</v>
      </c>
      <c r="F737" s="277">
        <f>ROUND(F63,0)</f>
        <v>0</v>
      </c>
      <c r="G737" s="277">
        <f>ROUND(F64,0)</f>
        <v>0</v>
      </c>
      <c r="H737" s="277">
        <f>ROUND(F65,0)</f>
        <v>0</v>
      </c>
      <c r="I737" s="277">
        <f>ROUND(F66,0)</f>
        <v>0</v>
      </c>
      <c r="J737" s="277">
        <f>ROUND(F67,0)</f>
        <v>0</v>
      </c>
      <c r="K737" s="277">
        <f>ROUND(F68,0)</f>
        <v>0</v>
      </c>
      <c r="L737" s="277">
        <f>ROUND(F69,0)</f>
        <v>0</v>
      </c>
      <c r="M737" s="277">
        <f>ROUND(F70,0)</f>
        <v>0</v>
      </c>
      <c r="N737" s="277">
        <f>ROUND(F75,0)</f>
        <v>0</v>
      </c>
      <c r="O737" s="277">
        <f>ROUND(F73,0)</f>
        <v>0</v>
      </c>
      <c r="P737" s="277">
        <f>IF(F76&gt;0,ROUND(F76,0),0)</f>
        <v>0</v>
      </c>
      <c r="Q737" s="277">
        <f>IF(F77&gt;0,ROUND(F77,0),0)</f>
        <v>0</v>
      </c>
      <c r="R737" s="277">
        <f>IF(F78&gt;0,ROUND(F78,0),0)</f>
        <v>0</v>
      </c>
      <c r="S737" s="277">
        <f>IF(F79&gt;0,ROUND(F79,0),0)</f>
        <v>0</v>
      </c>
      <c r="T737" s="279">
        <f>IF(F80&gt;0,ROUND(F80,2),0)</f>
        <v>0</v>
      </c>
      <c r="U737" s="277"/>
      <c r="V737" s="278"/>
      <c r="W737" s="277"/>
      <c r="X737" s="277"/>
      <c r="Y737" s="277" t="e">
        <f t="shared" si="22"/>
        <v>#DIV/0!</v>
      </c>
      <c r="Z737" s="278"/>
      <c r="AA737" s="278"/>
      <c r="AB737" s="278"/>
      <c r="AC737" s="278"/>
      <c r="AD737" s="278"/>
      <c r="AE737" s="278"/>
      <c r="AF737" s="278"/>
      <c r="AG737" s="278"/>
      <c r="AH737" s="278"/>
      <c r="AI737" s="278"/>
      <c r="AJ737" s="278"/>
      <c r="AK737" s="278"/>
      <c r="AL737" s="278"/>
      <c r="AM737" s="278"/>
      <c r="AN737" s="278"/>
      <c r="AO737" s="278"/>
      <c r="AP737" s="278"/>
      <c r="AQ737" s="278"/>
      <c r="AR737" s="278"/>
      <c r="AS737" s="278"/>
      <c r="AT737" s="278"/>
      <c r="AU737" s="278"/>
      <c r="AV737" s="278"/>
      <c r="AW737" s="278"/>
      <c r="AX737" s="278"/>
      <c r="AY737" s="278"/>
      <c r="AZ737" s="278"/>
      <c r="BA737" s="278"/>
      <c r="BB737" s="278"/>
      <c r="BC737" s="278"/>
      <c r="BD737" s="278"/>
      <c r="BE737" s="278"/>
      <c r="BF737" s="278"/>
      <c r="BG737" s="278"/>
      <c r="BH737" s="278"/>
      <c r="BI737" s="278"/>
      <c r="BJ737" s="278"/>
      <c r="BK737" s="278"/>
      <c r="BL737" s="278"/>
      <c r="BM737" s="278"/>
      <c r="BN737" s="278"/>
      <c r="BO737" s="278"/>
      <c r="BP737" s="278"/>
      <c r="BQ737" s="278"/>
      <c r="BR737" s="278"/>
      <c r="BS737" s="278"/>
      <c r="BT737" s="278"/>
      <c r="BU737" s="278"/>
      <c r="BV737" s="278"/>
      <c r="BW737" s="278"/>
      <c r="BX737" s="278"/>
      <c r="BY737" s="278"/>
      <c r="BZ737" s="278"/>
      <c r="CA737" s="278"/>
      <c r="CB737" s="278"/>
      <c r="CC737" s="278"/>
      <c r="CD737" s="278"/>
      <c r="CE737" s="278"/>
    </row>
    <row r="738" spans="1:83" ht="12.65" customHeight="1" x14ac:dyDescent="0.35">
      <c r="A738" s="209" t="str">
        <f>RIGHT($C$83,3)&amp;"*"&amp;RIGHT($C$82,4)&amp;"*"&amp;G$55&amp;"*"&amp;"A"</f>
        <v>008*2020*6120*A</v>
      </c>
      <c r="B738" s="277">
        <f>ROUND(G59,0)</f>
        <v>0</v>
      </c>
      <c r="C738" s="279">
        <f>ROUND(G60,2)</f>
        <v>0</v>
      </c>
      <c r="D738" s="277">
        <f>ROUND(G61,0)</f>
        <v>0</v>
      </c>
      <c r="E738" s="277">
        <f>ROUND(G62,0)</f>
        <v>0</v>
      </c>
      <c r="F738" s="277">
        <f>ROUND(G63,0)</f>
        <v>0</v>
      </c>
      <c r="G738" s="277">
        <f>ROUND(G64,0)</f>
        <v>0</v>
      </c>
      <c r="H738" s="277">
        <f>ROUND(G65,0)</f>
        <v>0</v>
      </c>
      <c r="I738" s="277">
        <f>ROUND(G66,0)</f>
        <v>0</v>
      </c>
      <c r="J738" s="277">
        <f>ROUND(G67,0)</f>
        <v>0</v>
      </c>
      <c r="K738" s="277">
        <f>ROUND(G68,0)</f>
        <v>0</v>
      </c>
      <c r="L738" s="277">
        <f>ROUND(G69,0)</f>
        <v>0</v>
      </c>
      <c r="M738" s="277">
        <f>ROUND(G70,0)</f>
        <v>0</v>
      </c>
      <c r="N738" s="277">
        <f>ROUND(G75,0)</f>
        <v>0</v>
      </c>
      <c r="O738" s="277">
        <f>ROUND(G73,0)</f>
        <v>0</v>
      </c>
      <c r="P738" s="277">
        <f>IF(G76&gt;0,ROUND(G76,0),0)</f>
        <v>0</v>
      </c>
      <c r="Q738" s="277">
        <f>IF(G77&gt;0,ROUND(G77,0),0)</f>
        <v>0</v>
      </c>
      <c r="R738" s="277">
        <f>IF(G78&gt;0,ROUND(G78,0),0)</f>
        <v>0</v>
      </c>
      <c r="S738" s="277">
        <f>IF(G79&gt;0,ROUND(G79,0),0)</f>
        <v>0</v>
      </c>
      <c r="T738" s="279">
        <f>IF(G80&gt;0,ROUND(G80,2),0)</f>
        <v>0</v>
      </c>
      <c r="U738" s="277"/>
      <c r="V738" s="278"/>
      <c r="W738" s="277"/>
      <c r="X738" s="277"/>
      <c r="Y738" s="277" t="e">
        <f t="shared" si="22"/>
        <v>#DIV/0!</v>
      </c>
      <c r="Z738" s="278"/>
      <c r="AA738" s="278"/>
      <c r="AB738" s="278"/>
      <c r="AC738" s="278"/>
      <c r="AD738" s="278"/>
      <c r="AE738" s="278"/>
      <c r="AF738" s="278"/>
      <c r="AG738" s="278"/>
      <c r="AH738" s="278"/>
      <c r="AI738" s="278"/>
      <c r="AJ738" s="278"/>
      <c r="AK738" s="278"/>
      <c r="AL738" s="278"/>
      <c r="AM738" s="278"/>
      <c r="AN738" s="278"/>
      <c r="AO738" s="278"/>
      <c r="AP738" s="278"/>
      <c r="AQ738" s="278"/>
      <c r="AR738" s="278"/>
      <c r="AS738" s="278"/>
      <c r="AT738" s="278"/>
      <c r="AU738" s="278"/>
      <c r="AV738" s="278"/>
      <c r="AW738" s="278"/>
      <c r="AX738" s="278"/>
      <c r="AY738" s="278"/>
      <c r="AZ738" s="278"/>
      <c r="BA738" s="278"/>
      <c r="BB738" s="278"/>
      <c r="BC738" s="278"/>
      <c r="BD738" s="278"/>
      <c r="BE738" s="278"/>
      <c r="BF738" s="278"/>
      <c r="BG738" s="278"/>
      <c r="BH738" s="278"/>
      <c r="BI738" s="278"/>
      <c r="BJ738" s="278"/>
      <c r="BK738" s="278"/>
      <c r="BL738" s="278"/>
      <c r="BM738" s="278"/>
      <c r="BN738" s="278"/>
      <c r="BO738" s="278"/>
      <c r="BP738" s="278"/>
      <c r="BQ738" s="278"/>
      <c r="BR738" s="278"/>
      <c r="BS738" s="278"/>
      <c r="BT738" s="278"/>
      <c r="BU738" s="278"/>
      <c r="BV738" s="278"/>
      <c r="BW738" s="278"/>
      <c r="BX738" s="278"/>
      <c r="BY738" s="278"/>
      <c r="BZ738" s="278"/>
      <c r="CA738" s="278"/>
      <c r="CB738" s="278"/>
      <c r="CC738" s="278"/>
      <c r="CD738" s="278"/>
      <c r="CE738" s="278"/>
    </row>
    <row r="739" spans="1:83" ht="12.65" customHeight="1" x14ac:dyDescent="0.35">
      <c r="A739" s="209" t="str">
        <f>RIGHT($C$83,3)&amp;"*"&amp;RIGHT($C$82,4)&amp;"*"&amp;H$55&amp;"*"&amp;"A"</f>
        <v>008*2020*6140*A</v>
      </c>
      <c r="B739" s="277">
        <f>ROUND(H59,0)</f>
        <v>0</v>
      </c>
      <c r="C739" s="279">
        <f>ROUND(H60,2)</f>
        <v>0</v>
      </c>
      <c r="D739" s="277">
        <f>ROUND(H61,0)</f>
        <v>0</v>
      </c>
      <c r="E739" s="277">
        <f>ROUND(H62,0)</f>
        <v>0</v>
      </c>
      <c r="F739" s="277">
        <f>ROUND(H63,0)</f>
        <v>0</v>
      </c>
      <c r="G739" s="277">
        <f>ROUND(H64,0)</f>
        <v>0</v>
      </c>
      <c r="H739" s="277">
        <f>ROUND(H65,0)</f>
        <v>0</v>
      </c>
      <c r="I739" s="277">
        <f>ROUND(H66,0)</f>
        <v>0</v>
      </c>
      <c r="J739" s="277">
        <f>ROUND(H67,0)</f>
        <v>0</v>
      </c>
      <c r="K739" s="277">
        <f>ROUND(H68,0)</f>
        <v>0</v>
      </c>
      <c r="L739" s="277">
        <f>ROUND(H69,0)</f>
        <v>0</v>
      </c>
      <c r="M739" s="277">
        <f>ROUND(H70,0)</f>
        <v>0</v>
      </c>
      <c r="N739" s="277">
        <f>ROUND(H75,0)</f>
        <v>0</v>
      </c>
      <c r="O739" s="277">
        <f>ROUND(H73,0)</f>
        <v>0</v>
      </c>
      <c r="P739" s="277">
        <f>IF(H76&gt;0,ROUND(H76,0),0)</f>
        <v>0</v>
      </c>
      <c r="Q739" s="277">
        <f>IF(H77&gt;0,ROUND(H77,0),0)</f>
        <v>0</v>
      </c>
      <c r="R739" s="277">
        <f>IF(H78&gt;0,ROUND(H78,0),0)</f>
        <v>0</v>
      </c>
      <c r="S739" s="277">
        <f>IF(H79&gt;0,ROUND(H79,0),0)</f>
        <v>0</v>
      </c>
      <c r="T739" s="279">
        <f>IF(H80&gt;0,ROUND(H80,2),0)</f>
        <v>0</v>
      </c>
      <c r="U739" s="277"/>
      <c r="V739" s="278"/>
      <c r="W739" s="277"/>
      <c r="X739" s="277"/>
      <c r="Y739" s="277" t="e">
        <f t="shared" si="22"/>
        <v>#DIV/0!</v>
      </c>
      <c r="Z739" s="278"/>
      <c r="AA739" s="278"/>
      <c r="AB739" s="278"/>
      <c r="AC739" s="278"/>
      <c r="AD739" s="278"/>
      <c r="AE739" s="278"/>
      <c r="AF739" s="278"/>
      <c r="AG739" s="278"/>
      <c r="AH739" s="278"/>
      <c r="AI739" s="278"/>
      <c r="AJ739" s="278"/>
      <c r="AK739" s="278"/>
      <c r="AL739" s="278"/>
      <c r="AM739" s="278"/>
      <c r="AN739" s="278"/>
      <c r="AO739" s="278"/>
      <c r="AP739" s="278"/>
      <c r="AQ739" s="278"/>
      <c r="AR739" s="278"/>
      <c r="AS739" s="278"/>
      <c r="AT739" s="278"/>
      <c r="AU739" s="278"/>
      <c r="AV739" s="278"/>
      <c r="AW739" s="278"/>
      <c r="AX739" s="278"/>
      <c r="AY739" s="278"/>
      <c r="AZ739" s="278"/>
      <c r="BA739" s="278"/>
      <c r="BB739" s="278"/>
      <c r="BC739" s="278"/>
      <c r="BD739" s="278"/>
      <c r="BE739" s="278"/>
      <c r="BF739" s="278"/>
      <c r="BG739" s="278"/>
      <c r="BH739" s="278"/>
      <c r="BI739" s="278"/>
      <c r="BJ739" s="278"/>
      <c r="BK739" s="278"/>
      <c r="BL739" s="278"/>
      <c r="BM739" s="278"/>
      <c r="BN739" s="278"/>
      <c r="BO739" s="278"/>
      <c r="BP739" s="278"/>
      <c r="BQ739" s="278"/>
      <c r="BR739" s="278"/>
      <c r="BS739" s="278"/>
      <c r="BT739" s="278"/>
      <c r="BU739" s="278"/>
      <c r="BV739" s="278"/>
      <c r="BW739" s="278"/>
      <c r="BX739" s="278"/>
      <c r="BY739" s="278"/>
      <c r="BZ739" s="278"/>
      <c r="CA739" s="278"/>
      <c r="CB739" s="278"/>
      <c r="CC739" s="278"/>
      <c r="CD739" s="278"/>
      <c r="CE739" s="278"/>
    </row>
    <row r="740" spans="1:83" ht="12.65" customHeight="1" x14ac:dyDescent="0.35">
      <c r="A740" s="209" t="str">
        <f>RIGHT($C$83,3)&amp;"*"&amp;RIGHT($C$82,4)&amp;"*"&amp;I$55&amp;"*"&amp;"A"</f>
        <v>008*2020*6150*A</v>
      </c>
      <c r="B740" s="277">
        <f>ROUND(I59,0)</f>
        <v>0</v>
      </c>
      <c r="C740" s="279">
        <f>ROUND(I60,2)</f>
        <v>0</v>
      </c>
      <c r="D740" s="277">
        <f>ROUND(I61,0)</f>
        <v>0</v>
      </c>
      <c r="E740" s="277">
        <f>ROUND(I62,0)</f>
        <v>0</v>
      </c>
      <c r="F740" s="277">
        <f>ROUND(I63,0)</f>
        <v>0</v>
      </c>
      <c r="G740" s="277">
        <f>ROUND(I64,0)</f>
        <v>0</v>
      </c>
      <c r="H740" s="277">
        <f>ROUND(I65,0)</f>
        <v>0</v>
      </c>
      <c r="I740" s="277">
        <f>ROUND(I66,0)</f>
        <v>0</v>
      </c>
      <c r="J740" s="277">
        <f>ROUND(I67,0)</f>
        <v>0</v>
      </c>
      <c r="K740" s="277">
        <f>ROUND(I68,0)</f>
        <v>0</v>
      </c>
      <c r="L740" s="277">
        <f>ROUND(I69,0)</f>
        <v>0</v>
      </c>
      <c r="M740" s="277">
        <f>ROUND(I70,0)</f>
        <v>0</v>
      </c>
      <c r="N740" s="277">
        <f>ROUND(I75,0)</f>
        <v>0</v>
      </c>
      <c r="O740" s="277">
        <f>ROUND(I73,0)</f>
        <v>0</v>
      </c>
      <c r="P740" s="277">
        <f>IF(I76&gt;0,ROUND(I76,0),0)</f>
        <v>0</v>
      </c>
      <c r="Q740" s="277">
        <f>IF(I77&gt;0,ROUND(I77,0),0)</f>
        <v>0</v>
      </c>
      <c r="R740" s="277">
        <f>IF(I78&gt;0,ROUND(I78,0),0)</f>
        <v>0</v>
      </c>
      <c r="S740" s="277">
        <f>IF(I79&gt;0,ROUND(I79,0),0)</f>
        <v>0</v>
      </c>
      <c r="T740" s="279">
        <f>IF(I80&gt;0,ROUND(I80,2),0)</f>
        <v>0</v>
      </c>
      <c r="U740" s="277"/>
      <c r="V740" s="278"/>
      <c r="W740" s="277"/>
      <c r="X740" s="277"/>
      <c r="Y740" s="277" t="e">
        <f t="shared" si="22"/>
        <v>#DIV/0!</v>
      </c>
      <c r="Z740" s="278"/>
      <c r="AA740" s="278"/>
      <c r="AB740" s="278"/>
      <c r="AC740" s="278"/>
      <c r="AD740" s="278"/>
      <c r="AE740" s="278"/>
      <c r="AF740" s="278"/>
      <c r="AG740" s="278"/>
      <c r="AH740" s="278"/>
      <c r="AI740" s="278"/>
      <c r="AJ740" s="278"/>
      <c r="AK740" s="278"/>
      <c r="AL740" s="278"/>
      <c r="AM740" s="278"/>
      <c r="AN740" s="278"/>
      <c r="AO740" s="278"/>
      <c r="AP740" s="278"/>
      <c r="AQ740" s="278"/>
      <c r="AR740" s="278"/>
      <c r="AS740" s="278"/>
      <c r="AT740" s="278"/>
      <c r="AU740" s="278"/>
      <c r="AV740" s="278"/>
      <c r="AW740" s="278"/>
      <c r="AX740" s="278"/>
      <c r="AY740" s="278"/>
      <c r="AZ740" s="278"/>
      <c r="BA740" s="278"/>
      <c r="BB740" s="278"/>
      <c r="BC740" s="278"/>
      <c r="BD740" s="278"/>
      <c r="BE740" s="278"/>
      <c r="BF740" s="278"/>
      <c r="BG740" s="278"/>
      <c r="BH740" s="278"/>
      <c r="BI740" s="278"/>
      <c r="BJ740" s="278"/>
      <c r="BK740" s="278"/>
      <c r="BL740" s="278"/>
      <c r="BM740" s="278"/>
      <c r="BN740" s="278"/>
      <c r="BO740" s="278"/>
      <c r="BP740" s="278"/>
      <c r="BQ740" s="278"/>
      <c r="BR740" s="278"/>
      <c r="BS740" s="278"/>
      <c r="BT740" s="278"/>
      <c r="BU740" s="278"/>
      <c r="BV740" s="278"/>
      <c r="BW740" s="278"/>
      <c r="BX740" s="278"/>
      <c r="BY740" s="278"/>
      <c r="BZ740" s="278"/>
      <c r="CA740" s="278"/>
      <c r="CB740" s="278"/>
      <c r="CC740" s="278"/>
      <c r="CD740" s="278"/>
      <c r="CE740" s="278"/>
    </row>
    <row r="741" spans="1:83" ht="12.65" customHeight="1" x14ac:dyDescent="0.35">
      <c r="A741" s="209" t="str">
        <f>RIGHT($C$83,3)&amp;"*"&amp;RIGHT($C$82,4)&amp;"*"&amp;J$55&amp;"*"&amp;"A"</f>
        <v>008*2020*6170*A</v>
      </c>
      <c r="B741" s="277">
        <f>ROUND(J59,0)</f>
        <v>0</v>
      </c>
      <c r="C741" s="279">
        <f>ROUND(J60,2)</f>
        <v>0</v>
      </c>
      <c r="D741" s="277">
        <f>ROUND(J61,0)</f>
        <v>0</v>
      </c>
      <c r="E741" s="277">
        <f>ROUND(J62,0)</f>
        <v>0</v>
      </c>
      <c r="F741" s="277">
        <f>ROUND(J63,0)</f>
        <v>0</v>
      </c>
      <c r="G741" s="277">
        <f>ROUND(J64,0)</f>
        <v>0</v>
      </c>
      <c r="H741" s="277">
        <f>ROUND(J65,0)</f>
        <v>0</v>
      </c>
      <c r="I741" s="277">
        <f>ROUND(J66,0)</f>
        <v>0</v>
      </c>
      <c r="J741" s="277">
        <f>ROUND(J67,0)</f>
        <v>0</v>
      </c>
      <c r="K741" s="277">
        <f>ROUND(J68,0)</f>
        <v>0</v>
      </c>
      <c r="L741" s="277">
        <f>ROUND(J69,0)</f>
        <v>0</v>
      </c>
      <c r="M741" s="277">
        <f>ROUND(J70,0)</f>
        <v>0</v>
      </c>
      <c r="N741" s="277">
        <f>ROUND(J75,0)</f>
        <v>0</v>
      </c>
      <c r="O741" s="277">
        <f>ROUND(J73,0)</f>
        <v>0</v>
      </c>
      <c r="P741" s="277">
        <f>IF(J76&gt;0,ROUND(J76,0),0)</f>
        <v>0</v>
      </c>
      <c r="Q741" s="277">
        <f>IF(J77&gt;0,ROUND(J77,0),0)</f>
        <v>0</v>
      </c>
      <c r="R741" s="277">
        <f>IF(J78&gt;0,ROUND(J78,0),0)</f>
        <v>0</v>
      </c>
      <c r="S741" s="277">
        <f>IF(J79&gt;0,ROUND(J79,0),0)</f>
        <v>0</v>
      </c>
      <c r="T741" s="279">
        <f>IF(J80&gt;0,ROUND(J80,2),0)</f>
        <v>0</v>
      </c>
      <c r="U741" s="277"/>
      <c r="V741" s="278"/>
      <c r="W741" s="277"/>
      <c r="X741" s="277"/>
      <c r="Y741" s="277" t="e">
        <f t="shared" si="22"/>
        <v>#DIV/0!</v>
      </c>
      <c r="Z741" s="278"/>
      <c r="AA741" s="278"/>
      <c r="AB741" s="278"/>
      <c r="AC741" s="278"/>
      <c r="AD741" s="278"/>
      <c r="AE741" s="278"/>
      <c r="AF741" s="278"/>
      <c r="AG741" s="278"/>
      <c r="AH741" s="278"/>
      <c r="AI741" s="278"/>
      <c r="AJ741" s="278"/>
      <c r="AK741" s="278"/>
      <c r="AL741" s="278"/>
      <c r="AM741" s="278"/>
      <c r="AN741" s="278"/>
      <c r="AO741" s="278"/>
      <c r="AP741" s="278"/>
      <c r="AQ741" s="278"/>
      <c r="AR741" s="278"/>
      <c r="AS741" s="278"/>
      <c r="AT741" s="278"/>
      <c r="AU741" s="278"/>
      <c r="AV741" s="278"/>
      <c r="AW741" s="278"/>
      <c r="AX741" s="278"/>
      <c r="AY741" s="278"/>
      <c r="AZ741" s="278"/>
      <c r="BA741" s="278"/>
      <c r="BB741" s="278"/>
      <c r="BC741" s="278"/>
      <c r="BD741" s="278"/>
      <c r="BE741" s="278"/>
      <c r="BF741" s="278"/>
      <c r="BG741" s="278"/>
      <c r="BH741" s="278"/>
      <c r="BI741" s="278"/>
      <c r="BJ741" s="278"/>
      <c r="BK741" s="278"/>
      <c r="BL741" s="278"/>
      <c r="BM741" s="278"/>
      <c r="BN741" s="278"/>
      <c r="BO741" s="278"/>
      <c r="BP741" s="278"/>
      <c r="BQ741" s="278"/>
      <c r="BR741" s="278"/>
      <c r="BS741" s="278"/>
      <c r="BT741" s="278"/>
      <c r="BU741" s="278"/>
      <c r="BV741" s="278"/>
      <c r="BW741" s="278"/>
      <c r="BX741" s="278"/>
      <c r="BY741" s="278"/>
      <c r="BZ741" s="278"/>
      <c r="CA741" s="278"/>
      <c r="CB741" s="278"/>
      <c r="CC741" s="278"/>
      <c r="CD741" s="278"/>
      <c r="CE741" s="278"/>
    </row>
    <row r="742" spans="1:83" ht="12.65" customHeight="1" x14ac:dyDescent="0.35">
      <c r="A742" s="209" t="str">
        <f>RIGHT($C$83,3)&amp;"*"&amp;RIGHT($C$82,4)&amp;"*"&amp;K$55&amp;"*"&amp;"A"</f>
        <v>008*2020*6200*A</v>
      </c>
      <c r="B742" s="277">
        <f>ROUND(K59,0)</f>
        <v>0</v>
      </c>
      <c r="C742" s="279">
        <f>ROUND(K60,2)</f>
        <v>0</v>
      </c>
      <c r="D742" s="277">
        <f>ROUND(K61,0)</f>
        <v>0</v>
      </c>
      <c r="E742" s="277">
        <f>ROUND(K62,0)</f>
        <v>0</v>
      </c>
      <c r="F742" s="277">
        <f>ROUND(K63,0)</f>
        <v>0</v>
      </c>
      <c r="G742" s="277">
        <f>ROUND(K64,0)</f>
        <v>0</v>
      </c>
      <c r="H742" s="277">
        <f>ROUND(K65,0)</f>
        <v>0</v>
      </c>
      <c r="I742" s="277">
        <f>ROUND(K66,0)</f>
        <v>0</v>
      </c>
      <c r="J742" s="277">
        <f>ROUND(K67,0)</f>
        <v>0</v>
      </c>
      <c r="K742" s="277">
        <f>ROUND(K68,0)</f>
        <v>0</v>
      </c>
      <c r="L742" s="277">
        <f>ROUND(K69,0)</f>
        <v>0</v>
      </c>
      <c r="M742" s="277">
        <f>ROUND(K70,0)</f>
        <v>0</v>
      </c>
      <c r="N742" s="277">
        <f>ROUND(K75,0)</f>
        <v>0</v>
      </c>
      <c r="O742" s="277">
        <f>ROUND(K73,0)</f>
        <v>0</v>
      </c>
      <c r="P742" s="277">
        <f>IF(K76&gt;0,ROUND(K76,0),0)</f>
        <v>0</v>
      </c>
      <c r="Q742" s="277">
        <f>IF(K77&gt;0,ROUND(K77,0),0)</f>
        <v>0</v>
      </c>
      <c r="R742" s="277">
        <f>IF(K78&gt;0,ROUND(K78,0),0)</f>
        <v>0</v>
      </c>
      <c r="S742" s="277">
        <f>IF(K79&gt;0,ROUND(K79,0),0)</f>
        <v>0</v>
      </c>
      <c r="T742" s="279">
        <f>IF(K80&gt;0,ROUND(K80,2),0)</f>
        <v>0</v>
      </c>
      <c r="U742" s="277"/>
      <c r="V742" s="278"/>
      <c r="W742" s="277"/>
      <c r="X742" s="277"/>
      <c r="Y742" s="277" t="e">
        <f t="shared" si="22"/>
        <v>#DIV/0!</v>
      </c>
      <c r="Z742" s="278"/>
      <c r="AA742" s="278"/>
      <c r="AB742" s="278"/>
      <c r="AC742" s="278"/>
      <c r="AD742" s="278"/>
      <c r="AE742" s="278"/>
      <c r="AF742" s="278"/>
      <c r="AG742" s="278"/>
      <c r="AH742" s="278"/>
      <c r="AI742" s="278"/>
      <c r="AJ742" s="278"/>
      <c r="AK742" s="278"/>
      <c r="AL742" s="278"/>
      <c r="AM742" s="278"/>
      <c r="AN742" s="278"/>
      <c r="AO742" s="278"/>
      <c r="AP742" s="278"/>
      <c r="AQ742" s="278"/>
      <c r="AR742" s="278"/>
      <c r="AS742" s="278"/>
      <c r="AT742" s="278"/>
      <c r="AU742" s="278"/>
      <c r="AV742" s="278"/>
      <c r="AW742" s="278"/>
      <c r="AX742" s="278"/>
      <c r="AY742" s="278"/>
      <c r="AZ742" s="278"/>
      <c r="BA742" s="278"/>
      <c r="BB742" s="278"/>
      <c r="BC742" s="278"/>
      <c r="BD742" s="278"/>
      <c r="BE742" s="278"/>
      <c r="BF742" s="278"/>
      <c r="BG742" s="278"/>
      <c r="BH742" s="278"/>
      <c r="BI742" s="278"/>
      <c r="BJ742" s="278"/>
      <c r="BK742" s="278"/>
      <c r="BL742" s="278"/>
      <c r="BM742" s="278"/>
      <c r="BN742" s="278"/>
      <c r="BO742" s="278"/>
      <c r="BP742" s="278"/>
      <c r="BQ742" s="278"/>
      <c r="BR742" s="278"/>
      <c r="BS742" s="278"/>
      <c r="BT742" s="278"/>
      <c r="BU742" s="278"/>
      <c r="BV742" s="278"/>
      <c r="BW742" s="278"/>
      <c r="BX742" s="278"/>
      <c r="BY742" s="278"/>
      <c r="BZ742" s="278"/>
      <c r="CA742" s="278"/>
      <c r="CB742" s="278"/>
      <c r="CC742" s="278"/>
      <c r="CD742" s="278"/>
      <c r="CE742" s="278"/>
    </row>
    <row r="743" spans="1:83" ht="12.65" customHeight="1" x14ac:dyDescent="0.35">
      <c r="A743" s="209" t="str">
        <f>RIGHT($C$83,3)&amp;"*"&amp;RIGHT($C$82,4)&amp;"*"&amp;L$55&amp;"*"&amp;"A"</f>
        <v>008*2020*6210*A</v>
      </c>
      <c r="B743" s="277">
        <f>ROUND(L59,0)</f>
        <v>0</v>
      </c>
      <c r="C743" s="279">
        <f>ROUND(L60,2)</f>
        <v>0</v>
      </c>
      <c r="D743" s="277">
        <f>ROUND(L61,0)</f>
        <v>0</v>
      </c>
      <c r="E743" s="277">
        <f>ROUND(L62,0)</f>
        <v>0</v>
      </c>
      <c r="F743" s="277">
        <f>ROUND(L63,0)</f>
        <v>0</v>
      </c>
      <c r="G743" s="277">
        <f>ROUND(L64,0)</f>
        <v>0</v>
      </c>
      <c r="H743" s="277">
        <f>ROUND(L65,0)</f>
        <v>0</v>
      </c>
      <c r="I743" s="277">
        <f>ROUND(L66,0)</f>
        <v>0</v>
      </c>
      <c r="J743" s="277">
        <f>ROUND(L67,0)</f>
        <v>0</v>
      </c>
      <c r="K743" s="277">
        <f>ROUND(L68,0)</f>
        <v>0</v>
      </c>
      <c r="L743" s="277">
        <f>ROUND(L69,0)</f>
        <v>0</v>
      </c>
      <c r="M743" s="277">
        <f>ROUND(L70,0)</f>
        <v>0</v>
      </c>
      <c r="N743" s="277">
        <f>ROUND(L75,0)</f>
        <v>0</v>
      </c>
      <c r="O743" s="277">
        <f>ROUND(L73,0)</f>
        <v>0</v>
      </c>
      <c r="P743" s="277">
        <f>IF(L76&gt;0,ROUND(L76,0),0)</f>
        <v>0</v>
      </c>
      <c r="Q743" s="277">
        <f>IF(L77&gt;0,ROUND(L77,0),0)</f>
        <v>0</v>
      </c>
      <c r="R743" s="277">
        <f>IF(L78&gt;0,ROUND(L78,0),0)</f>
        <v>0</v>
      </c>
      <c r="S743" s="277">
        <f>IF(L79&gt;0,ROUND(L79,0),0)</f>
        <v>0</v>
      </c>
      <c r="T743" s="279">
        <f>IF(L80&gt;0,ROUND(L80,2),0)</f>
        <v>0</v>
      </c>
      <c r="U743" s="277"/>
      <c r="V743" s="278"/>
      <c r="W743" s="277"/>
      <c r="X743" s="277"/>
      <c r="Y743" s="277" t="e">
        <f t="shared" si="22"/>
        <v>#DIV/0!</v>
      </c>
      <c r="Z743" s="278"/>
      <c r="AA743" s="278"/>
      <c r="AB743" s="278"/>
      <c r="AC743" s="278"/>
      <c r="AD743" s="278"/>
      <c r="AE743" s="278"/>
      <c r="AF743" s="278"/>
      <c r="AG743" s="278"/>
      <c r="AH743" s="278"/>
      <c r="AI743" s="278"/>
      <c r="AJ743" s="278"/>
      <c r="AK743" s="278"/>
      <c r="AL743" s="278"/>
      <c r="AM743" s="278"/>
      <c r="AN743" s="278"/>
      <c r="AO743" s="278"/>
      <c r="AP743" s="278"/>
      <c r="AQ743" s="278"/>
      <c r="AR743" s="278"/>
      <c r="AS743" s="278"/>
      <c r="AT743" s="278"/>
      <c r="AU743" s="278"/>
      <c r="AV743" s="278"/>
      <c r="AW743" s="278"/>
      <c r="AX743" s="278"/>
      <c r="AY743" s="278"/>
      <c r="AZ743" s="278"/>
      <c r="BA743" s="278"/>
      <c r="BB743" s="278"/>
      <c r="BC743" s="278"/>
      <c r="BD743" s="278"/>
      <c r="BE743" s="278"/>
      <c r="BF743" s="278"/>
      <c r="BG743" s="278"/>
      <c r="BH743" s="278"/>
      <c r="BI743" s="278"/>
      <c r="BJ743" s="278"/>
      <c r="BK743" s="278"/>
      <c r="BL743" s="278"/>
      <c r="BM743" s="278"/>
      <c r="BN743" s="278"/>
      <c r="BO743" s="278"/>
      <c r="BP743" s="278"/>
      <c r="BQ743" s="278"/>
      <c r="BR743" s="278"/>
      <c r="BS743" s="278"/>
      <c r="BT743" s="278"/>
      <c r="BU743" s="278"/>
      <c r="BV743" s="278"/>
      <c r="BW743" s="278"/>
      <c r="BX743" s="278"/>
      <c r="BY743" s="278"/>
      <c r="BZ743" s="278"/>
      <c r="CA743" s="278"/>
      <c r="CB743" s="278"/>
      <c r="CC743" s="278"/>
      <c r="CD743" s="278"/>
      <c r="CE743" s="278"/>
    </row>
    <row r="744" spans="1:83" ht="12.65" customHeight="1" x14ac:dyDescent="0.35">
      <c r="A744" s="209" t="str">
        <f>RIGHT($C$83,3)&amp;"*"&amp;RIGHT($C$82,4)&amp;"*"&amp;M$55&amp;"*"&amp;"A"</f>
        <v>008*2020*6330*A</v>
      </c>
      <c r="B744" s="277">
        <f>ROUND(M59,0)</f>
        <v>3895</v>
      </c>
      <c r="C744" s="279">
        <f>ROUND(M60,2)</f>
        <v>6.1</v>
      </c>
      <c r="D744" s="277">
        <f>ROUND(M61,0)</f>
        <v>406620</v>
      </c>
      <c r="E744" s="277">
        <f>ROUND(M62,0)</f>
        <v>58881</v>
      </c>
      <c r="F744" s="277">
        <f>ROUND(M63,0)</f>
        <v>0</v>
      </c>
      <c r="G744" s="277">
        <f>ROUND(M64,0)</f>
        <v>53010</v>
      </c>
      <c r="H744" s="277">
        <f>ROUND(M65,0)</f>
        <v>491</v>
      </c>
      <c r="I744" s="277">
        <f>ROUND(M66,0)</f>
        <v>290</v>
      </c>
      <c r="J744" s="277">
        <f>ROUND(M67,0)</f>
        <v>0</v>
      </c>
      <c r="K744" s="277">
        <f>ROUND(M68,0)</f>
        <v>13607</v>
      </c>
      <c r="L744" s="277">
        <f>ROUND(M69,0)</f>
        <v>11469</v>
      </c>
      <c r="M744" s="277">
        <f>ROUND(M70,0)</f>
        <v>0</v>
      </c>
      <c r="N744" s="277">
        <f>ROUND(M75,0)</f>
        <v>1131690</v>
      </c>
      <c r="O744" s="277">
        <f>ROUND(M73,0)</f>
        <v>0</v>
      </c>
      <c r="P744" s="277">
        <f>IF(M76&gt;0,ROUND(M76,0),0)</f>
        <v>0</v>
      </c>
      <c r="Q744" s="277">
        <f>IF(M77&gt;0,ROUND(M77,0),0)</f>
        <v>0</v>
      </c>
      <c r="R744" s="277">
        <f>IF(M78&gt;0,ROUND(M78,0),0)</f>
        <v>0</v>
      </c>
      <c r="S744" s="277">
        <f>IF(M79&gt;0,ROUND(M79,0),0)</f>
        <v>0</v>
      </c>
      <c r="T744" s="279">
        <f>IF(M80&gt;0,ROUND(M80,2),0)</f>
        <v>2.9</v>
      </c>
      <c r="U744" s="277"/>
      <c r="V744" s="278"/>
      <c r="W744" s="277"/>
      <c r="X744" s="277"/>
      <c r="Y744" s="277" t="e">
        <f t="shared" si="22"/>
        <v>#DIV/0!</v>
      </c>
      <c r="Z744" s="278"/>
      <c r="AA744" s="278"/>
      <c r="AB744" s="278"/>
      <c r="AC744" s="278"/>
      <c r="AD744" s="278"/>
      <c r="AE744" s="278"/>
      <c r="AF744" s="278"/>
      <c r="AG744" s="278"/>
      <c r="AH744" s="278"/>
      <c r="AI744" s="278"/>
      <c r="AJ744" s="278"/>
      <c r="AK744" s="278"/>
      <c r="AL744" s="278"/>
      <c r="AM744" s="278"/>
      <c r="AN744" s="278"/>
      <c r="AO744" s="278"/>
      <c r="AP744" s="278"/>
      <c r="AQ744" s="278"/>
      <c r="AR744" s="278"/>
      <c r="AS744" s="278"/>
      <c r="AT744" s="278"/>
      <c r="AU744" s="278"/>
      <c r="AV744" s="278"/>
      <c r="AW744" s="278"/>
      <c r="AX744" s="278"/>
      <c r="AY744" s="278"/>
      <c r="AZ744" s="278"/>
      <c r="BA744" s="278"/>
      <c r="BB744" s="278"/>
      <c r="BC744" s="278"/>
      <c r="BD744" s="278"/>
      <c r="BE744" s="278"/>
      <c r="BF744" s="278"/>
      <c r="BG744" s="278"/>
      <c r="BH744" s="278"/>
      <c r="BI744" s="278"/>
      <c r="BJ744" s="278"/>
      <c r="BK744" s="278"/>
      <c r="BL744" s="278"/>
      <c r="BM744" s="278"/>
      <c r="BN744" s="278"/>
      <c r="BO744" s="278"/>
      <c r="BP744" s="278"/>
      <c r="BQ744" s="278"/>
      <c r="BR744" s="278"/>
      <c r="BS744" s="278"/>
      <c r="BT744" s="278"/>
      <c r="BU744" s="278"/>
      <c r="BV744" s="278"/>
      <c r="BW744" s="278"/>
      <c r="BX744" s="278"/>
      <c r="BY744" s="278"/>
      <c r="BZ744" s="278"/>
      <c r="CA744" s="278"/>
      <c r="CB744" s="278"/>
      <c r="CC744" s="278"/>
      <c r="CD744" s="278"/>
      <c r="CE744" s="278"/>
    </row>
    <row r="745" spans="1:83" ht="12.65" customHeight="1" x14ac:dyDescent="0.35">
      <c r="A745" s="209" t="str">
        <f>RIGHT($C$83,3)&amp;"*"&amp;RIGHT($C$82,4)&amp;"*"&amp;N$55&amp;"*"&amp;"A"</f>
        <v>008*2020*6400*A</v>
      </c>
      <c r="B745" s="277">
        <f>ROUND(N59,0)</f>
        <v>2083</v>
      </c>
      <c r="C745" s="279">
        <f>ROUND(N60,2)</f>
        <v>2.48</v>
      </c>
      <c r="D745" s="277">
        <f>ROUND(N61,0)</f>
        <v>250927</v>
      </c>
      <c r="E745" s="277">
        <f>ROUND(N62,0)</f>
        <v>53506</v>
      </c>
      <c r="F745" s="277">
        <f>ROUND(N63,0)</f>
        <v>0</v>
      </c>
      <c r="G745" s="277">
        <f>ROUND(N64,0)</f>
        <v>156</v>
      </c>
      <c r="H745" s="277">
        <f>ROUND(N65,0)</f>
        <v>0</v>
      </c>
      <c r="I745" s="277">
        <f>ROUND(N66,0)</f>
        <v>0</v>
      </c>
      <c r="J745" s="277">
        <f>ROUND(N67,0)</f>
        <v>0</v>
      </c>
      <c r="K745" s="277">
        <f>ROUND(N68,0)</f>
        <v>0</v>
      </c>
      <c r="L745" s="277">
        <f>ROUND(N69,0)</f>
        <v>30971</v>
      </c>
      <c r="M745" s="277">
        <f>ROUND(N70,0)</f>
        <v>0</v>
      </c>
      <c r="N745" s="277">
        <f>ROUND(N75,0)</f>
        <v>664497</v>
      </c>
      <c r="O745" s="277">
        <f>ROUND(N73,0)</f>
        <v>0</v>
      </c>
      <c r="P745" s="277">
        <f>IF(N76&gt;0,ROUND(N76,0),0)</f>
        <v>0</v>
      </c>
      <c r="Q745" s="277">
        <f>IF(N77&gt;0,ROUND(N77,0),0)</f>
        <v>0</v>
      </c>
      <c r="R745" s="277">
        <f>IF(N78&gt;0,ROUND(N78,0),0)</f>
        <v>0</v>
      </c>
      <c r="S745" s="277">
        <f>IF(N79&gt;0,ROUND(N79,0),0)</f>
        <v>0</v>
      </c>
      <c r="T745" s="279">
        <f>IF(N80&gt;0,ROUND(N80,2),0)</f>
        <v>0</v>
      </c>
      <c r="U745" s="277"/>
      <c r="V745" s="278"/>
      <c r="W745" s="277"/>
      <c r="X745" s="277"/>
      <c r="Y745" s="277" t="e">
        <f t="shared" si="22"/>
        <v>#DIV/0!</v>
      </c>
      <c r="Z745" s="278"/>
      <c r="AA745" s="278"/>
      <c r="AB745" s="278"/>
      <c r="AC745" s="278"/>
      <c r="AD745" s="278"/>
      <c r="AE745" s="278"/>
      <c r="AF745" s="278"/>
      <c r="AG745" s="278"/>
      <c r="AH745" s="278"/>
      <c r="AI745" s="278"/>
      <c r="AJ745" s="278"/>
      <c r="AK745" s="278"/>
      <c r="AL745" s="278"/>
      <c r="AM745" s="278"/>
      <c r="AN745" s="278"/>
      <c r="AO745" s="278"/>
      <c r="AP745" s="278"/>
      <c r="AQ745" s="278"/>
      <c r="AR745" s="278"/>
      <c r="AS745" s="278"/>
      <c r="AT745" s="278"/>
      <c r="AU745" s="278"/>
      <c r="AV745" s="278"/>
      <c r="AW745" s="278"/>
      <c r="AX745" s="278"/>
      <c r="AY745" s="278"/>
      <c r="AZ745" s="278"/>
      <c r="BA745" s="278"/>
      <c r="BB745" s="278"/>
      <c r="BC745" s="278"/>
      <c r="BD745" s="278"/>
      <c r="BE745" s="278"/>
      <c r="BF745" s="278"/>
      <c r="BG745" s="278"/>
      <c r="BH745" s="278"/>
      <c r="BI745" s="278"/>
      <c r="BJ745" s="278"/>
      <c r="BK745" s="278"/>
      <c r="BL745" s="278"/>
      <c r="BM745" s="278"/>
      <c r="BN745" s="278"/>
      <c r="BO745" s="278"/>
      <c r="BP745" s="278"/>
      <c r="BQ745" s="278"/>
      <c r="BR745" s="278"/>
      <c r="BS745" s="278"/>
      <c r="BT745" s="278"/>
      <c r="BU745" s="278"/>
      <c r="BV745" s="278"/>
      <c r="BW745" s="278"/>
      <c r="BX745" s="278"/>
      <c r="BY745" s="278"/>
      <c r="BZ745" s="278"/>
      <c r="CA745" s="278"/>
      <c r="CB745" s="278"/>
      <c r="CC745" s="278"/>
      <c r="CD745" s="278"/>
      <c r="CE745" s="278"/>
    </row>
    <row r="746" spans="1:83" ht="12.65" customHeight="1" x14ac:dyDescent="0.35">
      <c r="A746" s="209" t="str">
        <f>RIGHT($C$83,3)&amp;"*"&amp;RIGHT($C$82,4)&amp;"*"&amp;O$55&amp;"*"&amp;"A"</f>
        <v>008*2020*7010*A</v>
      </c>
      <c r="B746" s="277">
        <f>ROUND(O59,0)</f>
        <v>0</v>
      </c>
      <c r="C746" s="279">
        <f>ROUND(O60,2)</f>
        <v>0</v>
      </c>
      <c r="D746" s="277">
        <f>ROUND(O61,0)</f>
        <v>0</v>
      </c>
      <c r="E746" s="277">
        <f>ROUND(O62,0)</f>
        <v>0</v>
      </c>
      <c r="F746" s="277">
        <f>ROUND(O63,0)</f>
        <v>0</v>
      </c>
      <c r="G746" s="277">
        <f>ROUND(O64,0)</f>
        <v>0</v>
      </c>
      <c r="H746" s="277">
        <f>ROUND(O65,0)</f>
        <v>0</v>
      </c>
      <c r="I746" s="277">
        <f>ROUND(O66,0)</f>
        <v>0</v>
      </c>
      <c r="J746" s="277">
        <f>ROUND(O67,0)</f>
        <v>0</v>
      </c>
      <c r="K746" s="277">
        <f>ROUND(O68,0)</f>
        <v>0</v>
      </c>
      <c r="L746" s="277">
        <f>ROUND(O69,0)</f>
        <v>0</v>
      </c>
      <c r="M746" s="277">
        <f>ROUND(O70,0)</f>
        <v>0</v>
      </c>
      <c r="N746" s="277">
        <f>ROUND(O75,0)</f>
        <v>0</v>
      </c>
      <c r="O746" s="277">
        <f>ROUND(O73,0)</f>
        <v>0</v>
      </c>
      <c r="P746" s="277">
        <f>IF(O76&gt;0,ROUND(O76,0),0)</f>
        <v>0</v>
      </c>
      <c r="Q746" s="277">
        <f>IF(O77&gt;0,ROUND(O77,0),0)</f>
        <v>0</v>
      </c>
      <c r="R746" s="277">
        <f>IF(O78&gt;0,ROUND(O78,0),0)</f>
        <v>0</v>
      </c>
      <c r="S746" s="277">
        <f>IF(O79&gt;0,ROUND(O79,0),0)</f>
        <v>0</v>
      </c>
      <c r="T746" s="279">
        <f>IF(O80&gt;0,ROUND(O80,2),0)</f>
        <v>0</v>
      </c>
      <c r="U746" s="277"/>
      <c r="V746" s="278"/>
      <c r="W746" s="277"/>
      <c r="X746" s="277"/>
      <c r="Y746" s="277" t="e">
        <f t="shared" si="22"/>
        <v>#DIV/0!</v>
      </c>
      <c r="Z746" s="278"/>
      <c r="AA746" s="278"/>
      <c r="AB746" s="278"/>
      <c r="AC746" s="278"/>
      <c r="AD746" s="278"/>
      <c r="AE746" s="278"/>
      <c r="AF746" s="278"/>
      <c r="AG746" s="278"/>
      <c r="AH746" s="278"/>
      <c r="AI746" s="278"/>
      <c r="AJ746" s="278"/>
      <c r="AK746" s="278"/>
      <c r="AL746" s="278"/>
      <c r="AM746" s="278"/>
      <c r="AN746" s="278"/>
      <c r="AO746" s="278"/>
      <c r="AP746" s="278"/>
      <c r="AQ746" s="278"/>
      <c r="AR746" s="278"/>
      <c r="AS746" s="278"/>
      <c r="AT746" s="278"/>
      <c r="AU746" s="278"/>
      <c r="AV746" s="278"/>
      <c r="AW746" s="278"/>
      <c r="AX746" s="278"/>
      <c r="AY746" s="278"/>
      <c r="AZ746" s="278"/>
      <c r="BA746" s="278"/>
      <c r="BB746" s="278"/>
      <c r="BC746" s="278"/>
      <c r="BD746" s="278"/>
      <c r="BE746" s="278"/>
      <c r="BF746" s="278"/>
      <c r="BG746" s="278"/>
      <c r="BH746" s="278"/>
      <c r="BI746" s="278"/>
      <c r="BJ746" s="278"/>
      <c r="BK746" s="278"/>
      <c r="BL746" s="278"/>
      <c r="BM746" s="278"/>
      <c r="BN746" s="278"/>
      <c r="BO746" s="278"/>
      <c r="BP746" s="278"/>
      <c r="BQ746" s="278"/>
      <c r="BR746" s="278"/>
      <c r="BS746" s="278"/>
      <c r="BT746" s="278"/>
      <c r="BU746" s="278"/>
      <c r="BV746" s="278"/>
      <c r="BW746" s="278"/>
      <c r="BX746" s="278"/>
      <c r="BY746" s="278"/>
      <c r="BZ746" s="278"/>
      <c r="CA746" s="278"/>
      <c r="CB746" s="278"/>
      <c r="CC746" s="278"/>
      <c r="CD746" s="278"/>
      <c r="CE746" s="278"/>
    </row>
    <row r="747" spans="1:83" ht="12.65" customHeight="1" x14ac:dyDescent="0.35">
      <c r="A747" s="209" t="str">
        <f>RIGHT($C$83,3)&amp;"*"&amp;RIGHT($C$82,4)&amp;"*"&amp;P$55&amp;"*"&amp;"A"</f>
        <v>008*2020*7020*A</v>
      </c>
      <c r="B747" s="277">
        <f>ROUND(P59,0)</f>
        <v>2452</v>
      </c>
      <c r="C747" s="279">
        <f>ROUND(P60,2)</f>
        <v>8.07</v>
      </c>
      <c r="D747" s="277">
        <f>ROUND(P61,0)</f>
        <v>837320</v>
      </c>
      <c r="E747" s="277">
        <f>ROUND(P62,0)</f>
        <v>129221</v>
      </c>
      <c r="F747" s="277">
        <f>ROUND(P63,0)</f>
        <v>382307</v>
      </c>
      <c r="G747" s="277">
        <f>ROUND(P64,0)</f>
        <v>130844</v>
      </c>
      <c r="H747" s="277">
        <f>ROUND(P65,0)</f>
        <v>0</v>
      </c>
      <c r="I747" s="277">
        <f>ROUND(P66,0)</f>
        <v>20467</v>
      </c>
      <c r="J747" s="277">
        <f>ROUND(P67,0)</f>
        <v>0</v>
      </c>
      <c r="K747" s="277">
        <f>ROUND(P68,0)</f>
        <v>7067</v>
      </c>
      <c r="L747" s="277">
        <f>ROUND(P69,0)</f>
        <v>65075</v>
      </c>
      <c r="M747" s="277">
        <f>ROUND(P70,0)</f>
        <v>0</v>
      </c>
      <c r="N747" s="277">
        <f>ROUND(P75,0)</f>
        <v>3218759</v>
      </c>
      <c r="O747" s="277">
        <f>ROUND(P73,0)</f>
        <v>106701</v>
      </c>
      <c r="P747" s="277">
        <f>IF(P76&gt;0,ROUND(P76,0),0)</f>
        <v>4898</v>
      </c>
      <c r="Q747" s="277">
        <f>IF(P77&gt;0,ROUND(P77,0),0)</f>
        <v>0</v>
      </c>
      <c r="R747" s="277">
        <f>IF(P78&gt;0,ROUND(P78,0),0)</f>
        <v>0</v>
      </c>
      <c r="S747" s="277">
        <f>IF(P79&gt;0,ROUND(P79,0),0)</f>
        <v>0</v>
      </c>
      <c r="T747" s="279">
        <f>IF(P80&gt;0,ROUND(P80,2),0)</f>
        <v>2.72</v>
      </c>
      <c r="U747" s="277"/>
      <c r="V747" s="278"/>
      <c r="W747" s="277"/>
      <c r="X747" s="277"/>
      <c r="Y747" s="277" t="e">
        <f t="shared" si="22"/>
        <v>#DIV/0!</v>
      </c>
      <c r="Z747" s="278"/>
      <c r="AA747" s="278"/>
      <c r="AB747" s="278"/>
      <c r="AC747" s="278"/>
      <c r="AD747" s="278"/>
      <c r="AE747" s="278"/>
      <c r="AF747" s="278"/>
      <c r="AG747" s="278"/>
      <c r="AH747" s="278"/>
      <c r="AI747" s="278"/>
      <c r="AJ747" s="278"/>
      <c r="AK747" s="278"/>
      <c r="AL747" s="278"/>
      <c r="AM747" s="278"/>
      <c r="AN747" s="278"/>
      <c r="AO747" s="278"/>
      <c r="AP747" s="278"/>
      <c r="AQ747" s="278"/>
      <c r="AR747" s="278"/>
      <c r="AS747" s="278"/>
      <c r="AT747" s="278"/>
      <c r="AU747" s="278"/>
      <c r="AV747" s="278"/>
      <c r="AW747" s="278"/>
      <c r="AX747" s="278"/>
      <c r="AY747" s="278"/>
      <c r="AZ747" s="278"/>
      <c r="BA747" s="278"/>
      <c r="BB747" s="278"/>
      <c r="BC747" s="278"/>
      <c r="BD747" s="278"/>
      <c r="BE747" s="278"/>
      <c r="BF747" s="278"/>
      <c r="BG747" s="278"/>
      <c r="BH747" s="278"/>
      <c r="BI747" s="278"/>
      <c r="BJ747" s="278"/>
      <c r="BK747" s="278"/>
      <c r="BL747" s="278"/>
      <c r="BM747" s="278"/>
      <c r="BN747" s="278"/>
      <c r="BO747" s="278"/>
      <c r="BP747" s="278"/>
      <c r="BQ747" s="278"/>
      <c r="BR747" s="278"/>
      <c r="BS747" s="278"/>
      <c r="BT747" s="278"/>
      <c r="BU747" s="278"/>
      <c r="BV747" s="278"/>
      <c r="BW747" s="278"/>
      <c r="BX747" s="278"/>
      <c r="BY747" s="278"/>
      <c r="BZ747" s="278"/>
      <c r="CA747" s="278"/>
      <c r="CB747" s="278"/>
      <c r="CC747" s="278"/>
      <c r="CD747" s="278"/>
      <c r="CE747" s="278"/>
    </row>
    <row r="748" spans="1:83" ht="12.65" customHeight="1" x14ac:dyDescent="0.35">
      <c r="A748" s="209" t="str">
        <f>RIGHT($C$83,3)&amp;"*"&amp;RIGHT($C$82,4)&amp;"*"&amp;Q$55&amp;"*"&amp;"A"</f>
        <v>008*2020*7030*A</v>
      </c>
      <c r="B748" s="277">
        <f>ROUND(Q59,0)</f>
        <v>0</v>
      </c>
      <c r="C748" s="279">
        <f>ROUND(Q60,2)</f>
        <v>0</v>
      </c>
      <c r="D748" s="277">
        <f>ROUND(Q61,0)</f>
        <v>0</v>
      </c>
      <c r="E748" s="277">
        <f>ROUND(Q62,0)</f>
        <v>0</v>
      </c>
      <c r="F748" s="277">
        <f>ROUND(Q63,0)</f>
        <v>0</v>
      </c>
      <c r="G748" s="277">
        <f>ROUND(Q64,0)</f>
        <v>0</v>
      </c>
      <c r="H748" s="277">
        <f>ROUND(Q65,0)</f>
        <v>0</v>
      </c>
      <c r="I748" s="277">
        <f>ROUND(Q66,0)</f>
        <v>0</v>
      </c>
      <c r="J748" s="277">
        <f>ROUND(Q67,0)</f>
        <v>0</v>
      </c>
      <c r="K748" s="277">
        <f>ROUND(Q68,0)</f>
        <v>0</v>
      </c>
      <c r="L748" s="277">
        <f>ROUND(Q69,0)</f>
        <v>0</v>
      </c>
      <c r="M748" s="277">
        <f>ROUND(Q70,0)</f>
        <v>0</v>
      </c>
      <c r="N748" s="277">
        <f>ROUND(Q75,0)</f>
        <v>0</v>
      </c>
      <c r="O748" s="277">
        <f>ROUND(Q73,0)</f>
        <v>0</v>
      </c>
      <c r="P748" s="277">
        <f>IF(Q76&gt;0,ROUND(Q76,0),0)</f>
        <v>0</v>
      </c>
      <c r="Q748" s="277">
        <f>IF(Q77&gt;0,ROUND(Q77,0),0)</f>
        <v>0</v>
      </c>
      <c r="R748" s="277">
        <f>IF(Q78&gt;0,ROUND(Q78,0),0)</f>
        <v>0</v>
      </c>
      <c r="S748" s="277">
        <f>IF(Q79&gt;0,ROUND(Q79,0),0)</f>
        <v>0</v>
      </c>
      <c r="T748" s="279">
        <f>IF(Q80&gt;0,ROUND(Q80,2),0)</f>
        <v>0</v>
      </c>
      <c r="U748" s="277"/>
      <c r="V748" s="278"/>
      <c r="W748" s="277"/>
      <c r="X748" s="277"/>
      <c r="Y748" s="277" t="e">
        <f t="shared" si="22"/>
        <v>#DIV/0!</v>
      </c>
      <c r="Z748" s="278"/>
      <c r="AA748" s="278"/>
      <c r="AB748" s="278"/>
      <c r="AC748" s="278"/>
      <c r="AD748" s="278"/>
      <c r="AE748" s="278"/>
      <c r="AF748" s="278"/>
      <c r="AG748" s="278"/>
      <c r="AH748" s="278"/>
      <c r="AI748" s="278"/>
      <c r="AJ748" s="278"/>
      <c r="AK748" s="278"/>
      <c r="AL748" s="278"/>
      <c r="AM748" s="278"/>
      <c r="AN748" s="278"/>
      <c r="AO748" s="278"/>
      <c r="AP748" s="278"/>
      <c r="AQ748" s="278"/>
      <c r="AR748" s="278"/>
      <c r="AS748" s="278"/>
      <c r="AT748" s="278"/>
      <c r="AU748" s="278"/>
      <c r="AV748" s="278"/>
      <c r="AW748" s="278"/>
      <c r="AX748" s="278"/>
      <c r="AY748" s="278"/>
      <c r="AZ748" s="278"/>
      <c r="BA748" s="278"/>
      <c r="BB748" s="278"/>
      <c r="BC748" s="278"/>
      <c r="BD748" s="278"/>
      <c r="BE748" s="278"/>
      <c r="BF748" s="278"/>
      <c r="BG748" s="278"/>
      <c r="BH748" s="278"/>
      <c r="BI748" s="278"/>
      <c r="BJ748" s="278"/>
      <c r="BK748" s="278"/>
      <c r="BL748" s="278"/>
      <c r="BM748" s="278"/>
      <c r="BN748" s="278"/>
      <c r="BO748" s="278"/>
      <c r="BP748" s="278"/>
      <c r="BQ748" s="278"/>
      <c r="BR748" s="278"/>
      <c r="BS748" s="278"/>
      <c r="BT748" s="278"/>
      <c r="BU748" s="278"/>
      <c r="BV748" s="278"/>
      <c r="BW748" s="278"/>
      <c r="BX748" s="278"/>
      <c r="BY748" s="278"/>
      <c r="BZ748" s="278"/>
      <c r="CA748" s="278"/>
      <c r="CB748" s="278"/>
      <c r="CC748" s="278"/>
      <c r="CD748" s="278"/>
      <c r="CE748" s="278"/>
    </row>
    <row r="749" spans="1:83" ht="12.65" customHeight="1" x14ac:dyDescent="0.35">
      <c r="A749" s="209" t="str">
        <f>RIGHT($C$83,3)&amp;"*"&amp;RIGHT($C$82,4)&amp;"*"&amp;R$55&amp;"*"&amp;"A"</f>
        <v>008*2020*7040*A</v>
      </c>
      <c r="B749" s="277">
        <f>ROUND(R59,0)</f>
        <v>0</v>
      </c>
      <c r="C749" s="279">
        <f>ROUND(R60,2)</f>
        <v>0.9</v>
      </c>
      <c r="D749" s="277">
        <f>ROUND(R61,0)</f>
        <v>167746</v>
      </c>
      <c r="E749" s="277">
        <f>ROUND(R62,0)</f>
        <v>28175</v>
      </c>
      <c r="F749" s="277">
        <f>ROUND(R63,0)</f>
        <v>81066</v>
      </c>
      <c r="G749" s="277">
        <f>ROUND(R64,0)</f>
        <v>10708</v>
      </c>
      <c r="H749" s="277">
        <f>ROUND(R65,0)</f>
        <v>0</v>
      </c>
      <c r="I749" s="277">
        <f>ROUND(R66,0)</f>
        <v>3892</v>
      </c>
      <c r="J749" s="277">
        <f>ROUND(R67,0)</f>
        <v>0</v>
      </c>
      <c r="K749" s="277">
        <f>ROUND(R68,0)</f>
        <v>0</v>
      </c>
      <c r="L749" s="277">
        <f>ROUND(R69,0)</f>
        <v>1460</v>
      </c>
      <c r="M749" s="277">
        <f>ROUND(R70,0)</f>
        <v>0</v>
      </c>
      <c r="N749" s="277">
        <f>ROUND(R75,0)</f>
        <v>271762</v>
      </c>
      <c r="O749" s="277">
        <f>ROUND(R73,0)</f>
        <v>15534</v>
      </c>
      <c r="P749" s="277">
        <f>IF(R76&gt;0,ROUND(R76,0),0)</f>
        <v>0</v>
      </c>
      <c r="Q749" s="277">
        <f>IF(R77&gt;0,ROUND(R77,0),0)</f>
        <v>0</v>
      </c>
      <c r="R749" s="277">
        <f>IF(R78&gt;0,ROUND(R78,0),0)</f>
        <v>0</v>
      </c>
      <c r="S749" s="277">
        <f>IF(R79&gt;0,ROUND(R79,0),0)</f>
        <v>0</v>
      </c>
      <c r="T749" s="279">
        <f>IF(R80&gt;0,ROUND(R80,2),0)</f>
        <v>0</v>
      </c>
      <c r="U749" s="277"/>
      <c r="V749" s="278"/>
      <c r="W749" s="277"/>
      <c r="X749" s="277"/>
      <c r="Y749" s="277" t="e">
        <f t="shared" si="22"/>
        <v>#DIV/0!</v>
      </c>
      <c r="Z749" s="278"/>
      <c r="AA749" s="278"/>
      <c r="AB749" s="278"/>
      <c r="AC749" s="278"/>
      <c r="AD749" s="278"/>
      <c r="AE749" s="278"/>
      <c r="AF749" s="278"/>
      <c r="AG749" s="278"/>
      <c r="AH749" s="278"/>
      <c r="AI749" s="278"/>
      <c r="AJ749" s="278"/>
      <c r="AK749" s="278"/>
      <c r="AL749" s="278"/>
      <c r="AM749" s="278"/>
      <c r="AN749" s="278"/>
      <c r="AO749" s="278"/>
      <c r="AP749" s="278"/>
      <c r="AQ749" s="278"/>
      <c r="AR749" s="278"/>
      <c r="AS749" s="278"/>
      <c r="AT749" s="278"/>
      <c r="AU749" s="278"/>
      <c r="AV749" s="278"/>
      <c r="AW749" s="278"/>
      <c r="AX749" s="278"/>
      <c r="AY749" s="278"/>
      <c r="AZ749" s="278"/>
      <c r="BA749" s="278"/>
      <c r="BB749" s="278"/>
      <c r="BC749" s="278"/>
      <c r="BD749" s="278"/>
      <c r="BE749" s="278"/>
      <c r="BF749" s="278"/>
      <c r="BG749" s="278"/>
      <c r="BH749" s="278"/>
      <c r="BI749" s="278"/>
      <c r="BJ749" s="278"/>
      <c r="BK749" s="278"/>
      <c r="BL749" s="278"/>
      <c r="BM749" s="278"/>
      <c r="BN749" s="278"/>
      <c r="BO749" s="278"/>
      <c r="BP749" s="278"/>
      <c r="BQ749" s="278"/>
      <c r="BR749" s="278"/>
      <c r="BS749" s="278"/>
      <c r="BT749" s="278"/>
      <c r="BU749" s="278"/>
      <c r="BV749" s="278"/>
      <c r="BW749" s="278"/>
      <c r="BX749" s="278"/>
      <c r="BY749" s="278"/>
      <c r="BZ749" s="278"/>
      <c r="CA749" s="278"/>
      <c r="CB749" s="278"/>
      <c r="CC749" s="278"/>
      <c r="CD749" s="278"/>
      <c r="CE749" s="278"/>
    </row>
    <row r="750" spans="1:83" ht="12.65" customHeight="1" x14ac:dyDescent="0.35">
      <c r="A750" s="209" t="str">
        <f>RIGHT($C$83,3)&amp;"*"&amp;RIGHT($C$82,4)&amp;"*"&amp;S$55&amp;"*"&amp;"A"</f>
        <v>008*2020*7050*A</v>
      </c>
      <c r="B750" s="277"/>
      <c r="C750" s="279">
        <f>ROUND(S60,2)</f>
        <v>0</v>
      </c>
      <c r="D750" s="277">
        <f>ROUND(S61,0)</f>
        <v>0</v>
      </c>
      <c r="E750" s="277">
        <f>ROUND(S62,0)</f>
        <v>0</v>
      </c>
      <c r="F750" s="277">
        <f>ROUND(S63,0)</f>
        <v>0</v>
      </c>
      <c r="G750" s="277">
        <f>ROUND(S64,0)</f>
        <v>0</v>
      </c>
      <c r="H750" s="277">
        <f>ROUND(S65,0)</f>
        <v>0</v>
      </c>
      <c r="I750" s="277">
        <f>ROUND(S66,0)</f>
        <v>0</v>
      </c>
      <c r="J750" s="277">
        <f>ROUND(S67,0)</f>
        <v>0</v>
      </c>
      <c r="K750" s="277">
        <f>ROUND(S68,0)</f>
        <v>0</v>
      </c>
      <c r="L750" s="277">
        <f>ROUND(S69,0)</f>
        <v>0</v>
      </c>
      <c r="M750" s="277">
        <f>ROUND(S70,0)</f>
        <v>0</v>
      </c>
      <c r="N750" s="277">
        <f>ROUND(S75,0)</f>
        <v>0</v>
      </c>
      <c r="O750" s="277">
        <f>ROUND(S73,0)</f>
        <v>0</v>
      </c>
      <c r="P750" s="277">
        <f>IF(S76&gt;0,ROUND(S76,0),0)</f>
        <v>0</v>
      </c>
      <c r="Q750" s="277">
        <f>IF(S77&gt;0,ROUND(S77,0),0)</f>
        <v>0</v>
      </c>
      <c r="R750" s="277">
        <f>IF(S78&gt;0,ROUND(S78,0),0)</f>
        <v>0</v>
      </c>
      <c r="S750" s="277">
        <f>IF(S79&gt;0,ROUND(S79,0),0)</f>
        <v>0</v>
      </c>
      <c r="T750" s="279">
        <f>IF(S80&gt;0,ROUND(S80,2),0)</f>
        <v>0</v>
      </c>
      <c r="U750" s="277"/>
      <c r="V750" s="278"/>
      <c r="W750" s="277"/>
      <c r="X750" s="277"/>
      <c r="Y750" s="277" t="e">
        <f t="shared" si="22"/>
        <v>#DIV/0!</v>
      </c>
      <c r="Z750" s="278"/>
      <c r="AA750" s="278"/>
      <c r="AB750" s="278"/>
      <c r="AC750" s="278"/>
      <c r="AD750" s="278"/>
      <c r="AE750" s="278"/>
      <c r="AF750" s="278"/>
      <c r="AG750" s="278"/>
      <c r="AH750" s="278"/>
      <c r="AI750" s="278"/>
      <c r="AJ750" s="278"/>
      <c r="AK750" s="278"/>
      <c r="AL750" s="278"/>
      <c r="AM750" s="278"/>
      <c r="AN750" s="278"/>
      <c r="AO750" s="278"/>
      <c r="AP750" s="278"/>
      <c r="AQ750" s="278"/>
      <c r="AR750" s="278"/>
      <c r="AS750" s="278"/>
      <c r="AT750" s="278"/>
      <c r="AU750" s="278"/>
      <c r="AV750" s="278"/>
      <c r="AW750" s="278"/>
      <c r="AX750" s="278"/>
      <c r="AY750" s="278"/>
      <c r="AZ750" s="278"/>
      <c r="BA750" s="278"/>
      <c r="BB750" s="278"/>
      <c r="BC750" s="278"/>
      <c r="BD750" s="278"/>
      <c r="BE750" s="278"/>
      <c r="BF750" s="278"/>
      <c r="BG750" s="278"/>
      <c r="BH750" s="278"/>
      <c r="BI750" s="278"/>
      <c r="BJ750" s="278"/>
      <c r="BK750" s="278"/>
      <c r="BL750" s="278"/>
      <c r="BM750" s="278"/>
      <c r="BN750" s="278"/>
      <c r="BO750" s="278"/>
      <c r="BP750" s="278"/>
      <c r="BQ750" s="278"/>
      <c r="BR750" s="278"/>
      <c r="BS750" s="278"/>
      <c r="BT750" s="278"/>
      <c r="BU750" s="278"/>
      <c r="BV750" s="278"/>
      <c r="BW750" s="278"/>
      <c r="BX750" s="278"/>
      <c r="BY750" s="278"/>
      <c r="BZ750" s="278"/>
      <c r="CA750" s="278"/>
      <c r="CB750" s="278"/>
      <c r="CC750" s="278"/>
      <c r="CD750" s="278"/>
      <c r="CE750" s="278"/>
    </row>
    <row r="751" spans="1:83" ht="12.65" customHeight="1" x14ac:dyDescent="0.35">
      <c r="A751" s="209" t="str">
        <f>RIGHT($C$83,3)&amp;"*"&amp;RIGHT($C$82,4)&amp;"*"&amp;T$55&amp;"*"&amp;"A"</f>
        <v>008*2020*7060*A</v>
      </c>
      <c r="B751" s="277"/>
      <c r="C751" s="279">
        <f>ROUND(T60,2)</f>
        <v>0</v>
      </c>
      <c r="D751" s="277">
        <f>ROUND(T61,0)</f>
        <v>0</v>
      </c>
      <c r="E751" s="277">
        <f>ROUND(T62,0)</f>
        <v>0</v>
      </c>
      <c r="F751" s="277">
        <f>ROUND(T63,0)</f>
        <v>0</v>
      </c>
      <c r="G751" s="277">
        <f>ROUND(T64,0)</f>
        <v>0</v>
      </c>
      <c r="H751" s="277">
        <f>ROUND(T65,0)</f>
        <v>0</v>
      </c>
      <c r="I751" s="277">
        <f>ROUND(T66,0)</f>
        <v>0</v>
      </c>
      <c r="J751" s="277">
        <f>ROUND(T67,0)</f>
        <v>0</v>
      </c>
      <c r="K751" s="277">
        <f>ROUND(T68,0)</f>
        <v>0</v>
      </c>
      <c r="L751" s="277">
        <f>ROUND(T69,0)</f>
        <v>0</v>
      </c>
      <c r="M751" s="277">
        <f>ROUND(T70,0)</f>
        <v>0</v>
      </c>
      <c r="N751" s="277">
        <f>ROUND(T75,0)</f>
        <v>0</v>
      </c>
      <c r="O751" s="277">
        <f>ROUND(T73,0)</f>
        <v>0</v>
      </c>
      <c r="P751" s="277">
        <f>IF(T76&gt;0,ROUND(T76,0),0)</f>
        <v>0</v>
      </c>
      <c r="Q751" s="277">
        <f>IF(T77&gt;0,ROUND(T77,0),0)</f>
        <v>0</v>
      </c>
      <c r="R751" s="277">
        <f>IF(T78&gt;0,ROUND(T78,0),0)</f>
        <v>0</v>
      </c>
      <c r="S751" s="277">
        <f>IF(T79&gt;0,ROUND(T79,0),0)</f>
        <v>0</v>
      </c>
      <c r="T751" s="279">
        <f>IF(T80&gt;0,ROUND(T80,2),0)</f>
        <v>0</v>
      </c>
      <c r="U751" s="277"/>
      <c r="V751" s="278"/>
      <c r="W751" s="277"/>
      <c r="X751" s="277"/>
      <c r="Y751" s="277" t="e">
        <f t="shared" si="22"/>
        <v>#DIV/0!</v>
      </c>
      <c r="Z751" s="278"/>
      <c r="AA751" s="278"/>
      <c r="AB751" s="278"/>
      <c r="AC751" s="278"/>
      <c r="AD751" s="278"/>
      <c r="AE751" s="278"/>
      <c r="AF751" s="278"/>
      <c r="AG751" s="278"/>
      <c r="AH751" s="278"/>
      <c r="AI751" s="278"/>
      <c r="AJ751" s="278"/>
      <c r="AK751" s="278"/>
      <c r="AL751" s="278"/>
      <c r="AM751" s="278"/>
      <c r="AN751" s="278"/>
      <c r="AO751" s="278"/>
      <c r="AP751" s="278"/>
      <c r="AQ751" s="278"/>
      <c r="AR751" s="278"/>
      <c r="AS751" s="278"/>
      <c r="AT751" s="278"/>
      <c r="AU751" s="278"/>
      <c r="AV751" s="278"/>
      <c r="AW751" s="278"/>
      <c r="AX751" s="278"/>
      <c r="AY751" s="278"/>
      <c r="AZ751" s="278"/>
      <c r="BA751" s="278"/>
      <c r="BB751" s="278"/>
      <c r="BC751" s="278"/>
      <c r="BD751" s="278"/>
      <c r="BE751" s="278"/>
      <c r="BF751" s="278"/>
      <c r="BG751" s="278"/>
      <c r="BH751" s="278"/>
      <c r="BI751" s="278"/>
      <c r="BJ751" s="278"/>
      <c r="BK751" s="278"/>
      <c r="BL751" s="278"/>
      <c r="BM751" s="278"/>
      <c r="BN751" s="278"/>
      <c r="BO751" s="278"/>
      <c r="BP751" s="278"/>
      <c r="BQ751" s="278"/>
      <c r="BR751" s="278"/>
      <c r="BS751" s="278"/>
      <c r="BT751" s="278"/>
      <c r="BU751" s="278"/>
      <c r="BV751" s="278"/>
      <c r="BW751" s="278"/>
      <c r="BX751" s="278"/>
      <c r="BY751" s="278"/>
      <c r="BZ751" s="278"/>
      <c r="CA751" s="278"/>
      <c r="CB751" s="278"/>
      <c r="CC751" s="278"/>
      <c r="CD751" s="278"/>
      <c r="CE751" s="278"/>
    </row>
    <row r="752" spans="1:83" ht="12.65" customHeight="1" x14ac:dyDescent="0.35">
      <c r="A752" s="209" t="str">
        <f>RIGHT($C$83,3)&amp;"*"&amp;RIGHT($C$82,4)&amp;"*"&amp;U$55&amp;"*"&amp;"A"</f>
        <v>008*2020*7070*A</v>
      </c>
      <c r="B752" s="277">
        <f>ROUND(U59,0)</f>
        <v>59520</v>
      </c>
      <c r="C752" s="279">
        <f>ROUND(U60,2)</f>
        <v>9.25</v>
      </c>
      <c r="D752" s="277">
        <f>ROUND(U61,0)</f>
        <v>606243</v>
      </c>
      <c r="E752" s="277">
        <f>ROUND(U62,0)</f>
        <v>103634</v>
      </c>
      <c r="F752" s="277">
        <f>ROUND(U63,0)</f>
        <v>83034</v>
      </c>
      <c r="G752" s="277">
        <f>ROUND(U64,0)</f>
        <v>469113</v>
      </c>
      <c r="H752" s="277">
        <f>ROUND(U65,0)</f>
        <v>0</v>
      </c>
      <c r="I752" s="277">
        <f>ROUND(U66,0)</f>
        <v>324032</v>
      </c>
      <c r="J752" s="277">
        <f>ROUND(U67,0)</f>
        <v>0</v>
      </c>
      <c r="K752" s="277">
        <f>ROUND(U68,0)</f>
        <v>4685</v>
      </c>
      <c r="L752" s="277">
        <f>ROUND(U69,0)</f>
        <v>5865</v>
      </c>
      <c r="M752" s="277">
        <f>ROUND(U70,0)</f>
        <v>0</v>
      </c>
      <c r="N752" s="277">
        <f>ROUND(U75,0)</f>
        <v>6046711</v>
      </c>
      <c r="O752" s="277">
        <f>ROUND(U73,0)</f>
        <v>255055</v>
      </c>
      <c r="P752" s="277">
        <f>IF(U76&gt;0,ROUND(U76,0),0)</f>
        <v>1784</v>
      </c>
      <c r="Q752" s="277">
        <f>IF(U77&gt;0,ROUND(U77,0),0)</f>
        <v>0</v>
      </c>
      <c r="R752" s="277">
        <f>IF(U78&gt;0,ROUND(U78,0),0)</f>
        <v>0</v>
      </c>
      <c r="S752" s="277">
        <f>IF(U79&gt;0,ROUND(U79,0),0)</f>
        <v>0</v>
      </c>
      <c r="T752" s="279">
        <f>IF(U80&gt;0,ROUND(U80,2),0)</f>
        <v>0</v>
      </c>
      <c r="U752" s="277"/>
      <c r="V752" s="278"/>
      <c r="W752" s="277"/>
      <c r="X752" s="277"/>
      <c r="Y752" s="277" t="e">
        <f t="shared" si="22"/>
        <v>#DIV/0!</v>
      </c>
      <c r="Z752" s="278"/>
      <c r="AA752" s="278"/>
      <c r="AB752" s="278"/>
      <c r="AC752" s="278"/>
      <c r="AD752" s="278"/>
      <c r="AE752" s="278"/>
      <c r="AF752" s="278"/>
      <c r="AG752" s="278"/>
      <c r="AH752" s="278"/>
      <c r="AI752" s="278"/>
      <c r="AJ752" s="278"/>
      <c r="AK752" s="278"/>
      <c r="AL752" s="278"/>
      <c r="AM752" s="278"/>
      <c r="AN752" s="278"/>
      <c r="AO752" s="278"/>
      <c r="AP752" s="278"/>
      <c r="AQ752" s="278"/>
      <c r="AR752" s="278"/>
      <c r="AS752" s="278"/>
      <c r="AT752" s="278"/>
      <c r="AU752" s="278"/>
      <c r="AV752" s="278"/>
      <c r="AW752" s="278"/>
      <c r="AX752" s="278"/>
      <c r="AY752" s="278"/>
      <c r="AZ752" s="278"/>
      <c r="BA752" s="278"/>
      <c r="BB752" s="278"/>
      <c r="BC752" s="278"/>
      <c r="BD752" s="278"/>
      <c r="BE752" s="278"/>
      <c r="BF752" s="278"/>
      <c r="BG752" s="278"/>
      <c r="BH752" s="278"/>
      <c r="BI752" s="278"/>
      <c r="BJ752" s="278"/>
      <c r="BK752" s="278"/>
      <c r="BL752" s="278"/>
      <c r="BM752" s="278"/>
      <c r="BN752" s="278"/>
      <c r="BO752" s="278"/>
      <c r="BP752" s="278"/>
      <c r="BQ752" s="278"/>
      <c r="BR752" s="278"/>
      <c r="BS752" s="278"/>
      <c r="BT752" s="278"/>
      <c r="BU752" s="278"/>
      <c r="BV752" s="278"/>
      <c r="BW752" s="278"/>
      <c r="BX752" s="278"/>
      <c r="BY752" s="278"/>
      <c r="BZ752" s="278"/>
      <c r="CA752" s="278"/>
      <c r="CB752" s="278"/>
      <c r="CC752" s="278"/>
      <c r="CD752" s="278"/>
      <c r="CE752" s="278"/>
    </row>
    <row r="753" spans="1:83" ht="12.65" customHeight="1" x14ac:dyDescent="0.35">
      <c r="A753" s="209" t="str">
        <f>RIGHT($C$83,3)&amp;"*"&amp;RIGHT($C$82,4)&amp;"*"&amp;V$55&amp;"*"&amp;"A"</f>
        <v>008*2020*7110*A</v>
      </c>
      <c r="B753" s="277">
        <f>ROUND(V59,0)</f>
        <v>0</v>
      </c>
      <c r="C753" s="279">
        <f>ROUND(V60,2)</f>
        <v>0</v>
      </c>
      <c r="D753" s="277">
        <f>ROUND(V61,0)</f>
        <v>0</v>
      </c>
      <c r="E753" s="277">
        <f>ROUND(V62,0)</f>
        <v>0</v>
      </c>
      <c r="F753" s="277">
        <f>ROUND(V63,0)</f>
        <v>0</v>
      </c>
      <c r="G753" s="277">
        <f>ROUND(V64,0)</f>
        <v>0</v>
      </c>
      <c r="H753" s="277">
        <f>ROUND(V65,0)</f>
        <v>0</v>
      </c>
      <c r="I753" s="277">
        <f>ROUND(V66,0)</f>
        <v>0</v>
      </c>
      <c r="J753" s="277">
        <f>ROUND(V67,0)</f>
        <v>0</v>
      </c>
      <c r="K753" s="277">
        <f>ROUND(V68,0)</f>
        <v>0</v>
      </c>
      <c r="L753" s="277">
        <f>ROUND(V69,0)</f>
        <v>0</v>
      </c>
      <c r="M753" s="277">
        <f>ROUND(V70,0)</f>
        <v>0</v>
      </c>
      <c r="N753" s="277">
        <f>ROUND(V75,0)</f>
        <v>0</v>
      </c>
      <c r="O753" s="277">
        <f>ROUND(V73,0)</f>
        <v>0</v>
      </c>
      <c r="P753" s="277">
        <f>IF(V76&gt;0,ROUND(V76,0),0)</f>
        <v>0</v>
      </c>
      <c r="Q753" s="277">
        <f>IF(V77&gt;0,ROUND(V77,0),0)</f>
        <v>0</v>
      </c>
      <c r="R753" s="277">
        <f>IF(V78&gt;0,ROUND(V78,0),0)</f>
        <v>0</v>
      </c>
      <c r="S753" s="277">
        <f>IF(V79&gt;0,ROUND(V79,0),0)</f>
        <v>0</v>
      </c>
      <c r="T753" s="279">
        <f>IF(V80&gt;0,ROUND(V80,2),0)</f>
        <v>0</v>
      </c>
      <c r="U753" s="277"/>
      <c r="V753" s="278"/>
      <c r="W753" s="277"/>
      <c r="X753" s="277"/>
      <c r="Y753" s="277" t="e">
        <f t="shared" si="22"/>
        <v>#DIV/0!</v>
      </c>
      <c r="Z753" s="278"/>
      <c r="AA753" s="278"/>
      <c r="AB753" s="278"/>
      <c r="AC753" s="278"/>
      <c r="AD753" s="278"/>
      <c r="AE753" s="278"/>
      <c r="AF753" s="278"/>
      <c r="AG753" s="278"/>
      <c r="AH753" s="278"/>
      <c r="AI753" s="278"/>
      <c r="AJ753" s="278"/>
      <c r="AK753" s="278"/>
      <c r="AL753" s="278"/>
      <c r="AM753" s="278"/>
      <c r="AN753" s="278"/>
      <c r="AO753" s="278"/>
      <c r="AP753" s="278"/>
      <c r="AQ753" s="278"/>
      <c r="AR753" s="278"/>
      <c r="AS753" s="278"/>
      <c r="AT753" s="278"/>
      <c r="AU753" s="278"/>
      <c r="AV753" s="278"/>
      <c r="AW753" s="278"/>
      <c r="AX753" s="278"/>
      <c r="AY753" s="278"/>
      <c r="AZ753" s="278"/>
      <c r="BA753" s="278"/>
      <c r="BB753" s="278"/>
      <c r="BC753" s="278"/>
      <c r="BD753" s="278"/>
      <c r="BE753" s="278"/>
      <c r="BF753" s="278"/>
      <c r="BG753" s="278"/>
      <c r="BH753" s="278"/>
      <c r="BI753" s="278"/>
      <c r="BJ753" s="278"/>
      <c r="BK753" s="278"/>
      <c r="BL753" s="278"/>
      <c r="BM753" s="278"/>
      <c r="BN753" s="278"/>
      <c r="BO753" s="278"/>
      <c r="BP753" s="278"/>
      <c r="BQ753" s="278"/>
      <c r="BR753" s="278"/>
      <c r="BS753" s="278"/>
      <c r="BT753" s="278"/>
      <c r="BU753" s="278"/>
      <c r="BV753" s="278"/>
      <c r="BW753" s="278"/>
      <c r="BX753" s="278"/>
      <c r="BY753" s="278"/>
      <c r="BZ753" s="278"/>
      <c r="CA753" s="278"/>
      <c r="CB753" s="278"/>
      <c r="CC753" s="278"/>
      <c r="CD753" s="278"/>
      <c r="CE753" s="278"/>
    </row>
    <row r="754" spans="1:83" ht="12.65" customHeight="1" x14ac:dyDescent="0.35">
      <c r="A754" s="209" t="str">
        <f>RIGHT($C$83,3)&amp;"*"&amp;RIGHT($C$82,4)&amp;"*"&amp;W$55&amp;"*"&amp;"A"</f>
        <v>008*2020*7120*A</v>
      </c>
      <c r="B754" s="277">
        <f>ROUND(W59,0)</f>
        <v>450</v>
      </c>
      <c r="C754" s="279">
        <f>ROUND(W60,2)</f>
        <v>0</v>
      </c>
      <c r="D754" s="277">
        <f>ROUND(W61,0)</f>
        <v>0</v>
      </c>
      <c r="E754" s="277">
        <f>ROUND(W62,0)</f>
        <v>0</v>
      </c>
      <c r="F754" s="277">
        <f>ROUND(W63,0)</f>
        <v>48224</v>
      </c>
      <c r="G754" s="277">
        <f>ROUND(W64,0)</f>
        <v>0</v>
      </c>
      <c r="H754" s="277">
        <f>ROUND(W65,0)</f>
        <v>0</v>
      </c>
      <c r="I754" s="277">
        <f>ROUND(W66,0)</f>
        <v>1403</v>
      </c>
      <c r="J754" s="277">
        <f>ROUND(W67,0)</f>
        <v>0</v>
      </c>
      <c r="K754" s="277">
        <f>ROUND(W68,0)</f>
        <v>238807</v>
      </c>
      <c r="L754" s="277">
        <f>ROUND(W69,0)</f>
        <v>0</v>
      </c>
      <c r="M754" s="277">
        <f>ROUND(W70,0)</f>
        <v>0</v>
      </c>
      <c r="N754" s="277">
        <f>ROUND(W75,0)</f>
        <v>1640212</v>
      </c>
      <c r="O754" s="277">
        <f>ROUND(W73,0)</f>
        <v>52037</v>
      </c>
      <c r="P754" s="277">
        <f>IF(W76&gt;0,ROUND(W76,0),0)</f>
        <v>0</v>
      </c>
      <c r="Q754" s="277">
        <f>IF(W77&gt;0,ROUND(W77,0),0)</f>
        <v>0</v>
      </c>
      <c r="R754" s="277">
        <f>IF(W78&gt;0,ROUND(W78,0),0)</f>
        <v>0</v>
      </c>
      <c r="S754" s="277">
        <f>IF(W79&gt;0,ROUND(W79,0),0)</f>
        <v>0</v>
      </c>
      <c r="T754" s="279">
        <f>IF(W80&gt;0,ROUND(W80,2),0)</f>
        <v>0</v>
      </c>
      <c r="U754" s="277"/>
      <c r="V754" s="278"/>
      <c r="W754" s="277"/>
      <c r="X754" s="277"/>
      <c r="Y754" s="277" t="e">
        <f t="shared" si="22"/>
        <v>#DIV/0!</v>
      </c>
      <c r="Z754" s="278"/>
      <c r="AA754" s="278"/>
      <c r="AB754" s="278"/>
      <c r="AC754" s="278"/>
      <c r="AD754" s="278"/>
      <c r="AE754" s="278"/>
      <c r="AF754" s="278"/>
      <c r="AG754" s="278"/>
      <c r="AH754" s="278"/>
      <c r="AI754" s="278"/>
      <c r="AJ754" s="278"/>
      <c r="AK754" s="278"/>
      <c r="AL754" s="278"/>
      <c r="AM754" s="278"/>
      <c r="AN754" s="278"/>
      <c r="AO754" s="278"/>
      <c r="AP754" s="278"/>
      <c r="AQ754" s="278"/>
      <c r="AR754" s="278"/>
      <c r="AS754" s="278"/>
      <c r="AT754" s="278"/>
      <c r="AU754" s="278"/>
      <c r="AV754" s="278"/>
      <c r="AW754" s="278"/>
      <c r="AX754" s="278"/>
      <c r="AY754" s="278"/>
      <c r="AZ754" s="278"/>
      <c r="BA754" s="278"/>
      <c r="BB754" s="278"/>
      <c r="BC754" s="278"/>
      <c r="BD754" s="278"/>
      <c r="BE754" s="278"/>
      <c r="BF754" s="278"/>
      <c r="BG754" s="278"/>
      <c r="BH754" s="278"/>
      <c r="BI754" s="278"/>
      <c r="BJ754" s="278"/>
      <c r="BK754" s="278"/>
      <c r="BL754" s="278"/>
      <c r="BM754" s="278"/>
      <c r="BN754" s="278"/>
      <c r="BO754" s="278"/>
      <c r="BP754" s="278"/>
      <c r="BQ754" s="278"/>
      <c r="BR754" s="278"/>
      <c r="BS754" s="278"/>
      <c r="BT754" s="278"/>
      <c r="BU754" s="278"/>
      <c r="BV754" s="278"/>
      <c r="BW754" s="278"/>
      <c r="BX754" s="278"/>
      <c r="BY754" s="278"/>
      <c r="BZ754" s="278"/>
      <c r="CA754" s="278"/>
      <c r="CB754" s="278"/>
      <c r="CC754" s="278"/>
      <c r="CD754" s="278"/>
      <c r="CE754" s="278"/>
    </row>
    <row r="755" spans="1:83" ht="12.65" customHeight="1" x14ac:dyDescent="0.35">
      <c r="A755" s="209" t="str">
        <f>RIGHT($C$83,3)&amp;"*"&amp;RIGHT($C$82,4)&amp;"*"&amp;X$55&amp;"*"&amp;"A"</f>
        <v>008*2020*7130*A</v>
      </c>
      <c r="B755" s="277">
        <f>ROUND(X59,0)</f>
        <v>1633</v>
      </c>
      <c r="C755" s="279">
        <f>ROUND(X60,2)</f>
        <v>1.49</v>
      </c>
      <c r="D755" s="277">
        <f>ROUND(X61,0)</f>
        <v>75156</v>
      </c>
      <c r="E755" s="277">
        <f>ROUND(X62,0)</f>
        <v>1767</v>
      </c>
      <c r="F755" s="277">
        <f>ROUND(X63,0)</f>
        <v>122067</v>
      </c>
      <c r="G755" s="277">
        <f>ROUND(X64,0)</f>
        <v>55896</v>
      </c>
      <c r="H755" s="277">
        <f>ROUND(X65,0)</f>
        <v>0</v>
      </c>
      <c r="I755" s="277">
        <f>ROUND(X66,0)</f>
        <v>68077</v>
      </c>
      <c r="J755" s="277">
        <f>ROUND(X67,0)</f>
        <v>0</v>
      </c>
      <c r="K755" s="277">
        <f>ROUND(X68,0)</f>
        <v>35897</v>
      </c>
      <c r="L755" s="277">
        <f>ROUND(X69,0)</f>
        <v>7371</v>
      </c>
      <c r="M755" s="277">
        <f>ROUND(X70,0)</f>
        <v>0</v>
      </c>
      <c r="N755" s="277">
        <f>ROUND(X75,0)</f>
        <v>4859026</v>
      </c>
      <c r="O755" s="277">
        <f>ROUND(X73,0)</f>
        <v>122893</v>
      </c>
      <c r="P755" s="277">
        <f>IF(X76&gt;0,ROUND(X76,0),0)</f>
        <v>621</v>
      </c>
      <c r="Q755" s="277">
        <f>IF(X77&gt;0,ROUND(X77,0),0)</f>
        <v>0</v>
      </c>
      <c r="R755" s="277">
        <f>IF(X78&gt;0,ROUND(X78,0),0)</f>
        <v>0</v>
      </c>
      <c r="S755" s="277">
        <f>IF(X79&gt;0,ROUND(X79,0),0)</f>
        <v>0</v>
      </c>
      <c r="T755" s="279">
        <f>IF(X80&gt;0,ROUND(X80,2),0)</f>
        <v>0</v>
      </c>
      <c r="U755" s="277"/>
      <c r="V755" s="278"/>
      <c r="W755" s="277"/>
      <c r="X755" s="277"/>
      <c r="Y755" s="277" t="e">
        <f t="shared" si="22"/>
        <v>#DIV/0!</v>
      </c>
      <c r="Z755" s="278"/>
      <c r="AA755" s="278"/>
      <c r="AB755" s="278"/>
      <c r="AC755" s="278"/>
      <c r="AD755" s="278"/>
      <c r="AE755" s="278"/>
      <c r="AF755" s="278"/>
      <c r="AG755" s="278"/>
      <c r="AH755" s="278"/>
      <c r="AI755" s="278"/>
      <c r="AJ755" s="278"/>
      <c r="AK755" s="278"/>
      <c r="AL755" s="278"/>
      <c r="AM755" s="278"/>
      <c r="AN755" s="278"/>
      <c r="AO755" s="278"/>
      <c r="AP755" s="278"/>
      <c r="AQ755" s="278"/>
      <c r="AR755" s="278"/>
      <c r="AS755" s="278"/>
      <c r="AT755" s="278"/>
      <c r="AU755" s="278"/>
      <c r="AV755" s="278"/>
      <c r="AW755" s="278"/>
      <c r="AX755" s="278"/>
      <c r="AY755" s="278"/>
      <c r="AZ755" s="278"/>
      <c r="BA755" s="278"/>
      <c r="BB755" s="278"/>
      <c r="BC755" s="278"/>
      <c r="BD755" s="278"/>
      <c r="BE755" s="278"/>
      <c r="BF755" s="278"/>
      <c r="BG755" s="278"/>
      <c r="BH755" s="278"/>
      <c r="BI755" s="278"/>
      <c r="BJ755" s="278"/>
      <c r="BK755" s="278"/>
      <c r="BL755" s="278"/>
      <c r="BM755" s="278"/>
      <c r="BN755" s="278"/>
      <c r="BO755" s="278"/>
      <c r="BP755" s="278"/>
      <c r="BQ755" s="278"/>
      <c r="BR755" s="278"/>
      <c r="BS755" s="278"/>
      <c r="BT755" s="278"/>
      <c r="BU755" s="278"/>
      <c r="BV755" s="278"/>
      <c r="BW755" s="278"/>
      <c r="BX755" s="278"/>
      <c r="BY755" s="278"/>
      <c r="BZ755" s="278"/>
      <c r="CA755" s="278"/>
      <c r="CB755" s="278"/>
      <c r="CC755" s="278"/>
      <c r="CD755" s="278"/>
      <c r="CE755" s="278"/>
    </row>
    <row r="756" spans="1:83" ht="12.65" customHeight="1" x14ac:dyDescent="0.35">
      <c r="A756" s="209" t="str">
        <f>RIGHT($C$83,3)&amp;"*"&amp;RIGHT($C$82,4)&amp;"*"&amp;Y$55&amp;"*"&amp;"A"</f>
        <v>008*2020*7140*A</v>
      </c>
      <c r="B756" s="277">
        <f>ROUND(Y59,0)</f>
        <v>6483</v>
      </c>
      <c r="C756" s="279">
        <f>ROUND(Y60,2)</f>
        <v>7.49</v>
      </c>
      <c r="D756" s="277">
        <f>ROUND(Y61,0)</f>
        <v>603722</v>
      </c>
      <c r="E756" s="277">
        <f>ROUND(Y62,0)</f>
        <v>138601</v>
      </c>
      <c r="F756" s="277">
        <f>ROUND(Y63,0)</f>
        <v>205389</v>
      </c>
      <c r="G756" s="277">
        <f>ROUND(Y64,0)</f>
        <v>20334</v>
      </c>
      <c r="H756" s="277">
        <f>ROUND(Y65,0)</f>
        <v>0</v>
      </c>
      <c r="I756" s="277">
        <f>ROUND(Y66,0)</f>
        <v>168049</v>
      </c>
      <c r="J756" s="277">
        <f>ROUND(Y67,0)</f>
        <v>0</v>
      </c>
      <c r="K756" s="277">
        <f>ROUND(Y68,0)</f>
        <v>4298</v>
      </c>
      <c r="L756" s="277">
        <f>ROUND(Y69,0)</f>
        <v>4170</v>
      </c>
      <c r="M756" s="277">
        <f>ROUND(Y70,0)</f>
        <v>0</v>
      </c>
      <c r="N756" s="277">
        <f>ROUND(Y75,0)</f>
        <v>4637915</v>
      </c>
      <c r="O756" s="277">
        <f>ROUND(Y73,0)</f>
        <v>157545</v>
      </c>
      <c r="P756" s="277">
        <f>IF(Y76&gt;0,ROUND(Y76,0),0)</f>
        <v>2257</v>
      </c>
      <c r="Q756" s="277">
        <f>IF(Y77&gt;0,ROUND(Y77,0),0)</f>
        <v>0</v>
      </c>
      <c r="R756" s="277">
        <f>IF(Y78&gt;0,ROUND(Y78,0),0)</f>
        <v>0</v>
      </c>
      <c r="S756" s="277">
        <f>IF(Y79&gt;0,ROUND(Y79,0),0)</f>
        <v>0</v>
      </c>
      <c r="T756" s="279">
        <f>IF(Y80&gt;0,ROUND(Y80,2),0)</f>
        <v>0</v>
      </c>
      <c r="U756" s="277"/>
      <c r="V756" s="278"/>
      <c r="W756" s="277"/>
      <c r="X756" s="277"/>
      <c r="Y756" s="277" t="e">
        <f t="shared" si="22"/>
        <v>#DIV/0!</v>
      </c>
      <c r="Z756" s="278"/>
      <c r="AA756" s="278"/>
      <c r="AB756" s="278"/>
      <c r="AC756" s="278"/>
      <c r="AD756" s="278"/>
      <c r="AE756" s="278"/>
      <c r="AF756" s="278"/>
      <c r="AG756" s="278"/>
      <c r="AH756" s="278"/>
      <c r="AI756" s="278"/>
      <c r="AJ756" s="278"/>
      <c r="AK756" s="278"/>
      <c r="AL756" s="278"/>
      <c r="AM756" s="278"/>
      <c r="AN756" s="278"/>
      <c r="AO756" s="278"/>
      <c r="AP756" s="278"/>
      <c r="AQ756" s="278"/>
      <c r="AR756" s="278"/>
      <c r="AS756" s="278"/>
      <c r="AT756" s="278"/>
      <c r="AU756" s="278"/>
      <c r="AV756" s="278"/>
      <c r="AW756" s="278"/>
      <c r="AX756" s="278"/>
      <c r="AY756" s="278"/>
      <c r="AZ756" s="278"/>
      <c r="BA756" s="278"/>
      <c r="BB756" s="278"/>
      <c r="BC756" s="278"/>
      <c r="BD756" s="278"/>
      <c r="BE756" s="278"/>
      <c r="BF756" s="278"/>
      <c r="BG756" s="278"/>
      <c r="BH756" s="278"/>
      <c r="BI756" s="278"/>
      <c r="BJ756" s="278"/>
      <c r="BK756" s="278"/>
      <c r="BL756" s="278"/>
      <c r="BM756" s="278"/>
      <c r="BN756" s="278"/>
      <c r="BO756" s="278"/>
      <c r="BP756" s="278"/>
      <c r="BQ756" s="278"/>
      <c r="BR756" s="278"/>
      <c r="BS756" s="278"/>
      <c r="BT756" s="278"/>
      <c r="BU756" s="278"/>
      <c r="BV756" s="278"/>
      <c r="BW756" s="278"/>
      <c r="BX756" s="278"/>
      <c r="BY756" s="278"/>
      <c r="BZ756" s="278"/>
      <c r="CA756" s="278"/>
      <c r="CB756" s="278"/>
      <c r="CC756" s="278"/>
      <c r="CD756" s="278"/>
      <c r="CE756" s="278"/>
    </row>
    <row r="757" spans="1:83" ht="12.65" customHeight="1" x14ac:dyDescent="0.35">
      <c r="A757" s="209" t="str">
        <f>RIGHT($C$83,3)&amp;"*"&amp;RIGHT($C$82,4)&amp;"*"&amp;Z$55&amp;"*"&amp;"A"</f>
        <v>008*2020*7150*A</v>
      </c>
      <c r="B757" s="277">
        <f>ROUND(Z59,0)</f>
        <v>0</v>
      </c>
      <c r="C757" s="279">
        <f>ROUND(Z60,2)</f>
        <v>0</v>
      </c>
      <c r="D757" s="277">
        <f>ROUND(Z61,0)</f>
        <v>0</v>
      </c>
      <c r="E757" s="277">
        <f>ROUND(Z62,0)</f>
        <v>0</v>
      </c>
      <c r="F757" s="277">
        <f>ROUND(Z63,0)</f>
        <v>0</v>
      </c>
      <c r="G757" s="277">
        <f>ROUND(Z64,0)</f>
        <v>0</v>
      </c>
      <c r="H757" s="277">
        <f>ROUND(Z65,0)</f>
        <v>0</v>
      </c>
      <c r="I757" s="277">
        <f>ROUND(Z66,0)</f>
        <v>0</v>
      </c>
      <c r="J757" s="277">
        <f>ROUND(Z67,0)</f>
        <v>0</v>
      </c>
      <c r="K757" s="277">
        <f>ROUND(Z68,0)</f>
        <v>0</v>
      </c>
      <c r="L757" s="277">
        <f>ROUND(Z69,0)</f>
        <v>0</v>
      </c>
      <c r="M757" s="277">
        <f>ROUND(Z70,0)</f>
        <v>0</v>
      </c>
      <c r="N757" s="277">
        <f>ROUND(Z75,0)</f>
        <v>0</v>
      </c>
      <c r="O757" s="277">
        <f>ROUND(Z73,0)</f>
        <v>0</v>
      </c>
      <c r="P757" s="277">
        <f>IF(Z76&gt;0,ROUND(Z76,0),0)</f>
        <v>0</v>
      </c>
      <c r="Q757" s="277">
        <f>IF(Z77&gt;0,ROUND(Z77,0),0)</f>
        <v>0</v>
      </c>
      <c r="R757" s="277">
        <f>IF(Z78&gt;0,ROUND(Z78,0),0)</f>
        <v>0</v>
      </c>
      <c r="S757" s="277">
        <f>IF(Z79&gt;0,ROUND(Z79,0),0)</f>
        <v>0</v>
      </c>
      <c r="T757" s="279">
        <f>IF(Z80&gt;0,ROUND(Z80,2),0)</f>
        <v>0</v>
      </c>
      <c r="U757" s="277"/>
      <c r="V757" s="278"/>
      <c r="W757" s="277"/>
      <c r="X757" s="277"/>
      <c r="Y757" s="277" t="e">
        <f t="shared" si="22"/>
        <v>#DIV/0!</v>
      </c>
      <c r="Z757" s="278"/>
      <c r="AA757" s="278"/>
      <c r="AB757" s="278"/>
      <c r="AC757" s="278"/>
      <c r="AD757" s="278"/>
      <c r="AE757" s="278"/>
      <c r="AF757" s="278"/>
      <c r="AG757" s="278"/>
      <c r="AH757" s="278"/>
      <c r="AI757" s="278"/>
      <c r="AJ757" s="278"/>
      <c r="AK757" s="278"/>
      <c r="AL757" s="278"/>
      <c r="AM757" s="278"/>
      <c r="AN757" s="278"/>
      <c r="AO757" s="278"/>
      <c r="AP757" s="278"/>
      <c r="AQ757" s="278"/>
      <c r="AR757" s="278"/>
      <c r="AS757" s="278"/>
      <c r="AT757" s="278"/>
      <c r="AU757" s="278"/>
      <c r="AV757" s="278"/>
      <c r="AW757" s="278"/>
      <c r="AX757" s="278"/>
      <c r="AY757" s="278"/>
      <c r="AZ757" s="278"/>
      <c r="BA757" s="278"/>
      <c r="BB757" s="278"/>
      <c r="BC757" s="278"/>
      <c r="BD757" s="278"/>
      <c r="BE757" s="278"/>
      <c r="BF757" s="278"/>
      <c r="BG757" s="278"/>
      <c r="BH757" s="278"/>
      <c r="BI757" s="278"/>
      <c r="BJ757" s="278"/>
      <c r="BK757" s="278"/>
      <c r="BL757" s="278"/>
      <c r="BM757" s="278"/>
      <c r="BN757" s="278"/>
      <c r="BO757" s="278"/>
      <c r="BP757" s="278"/>
      <c r="BQ757" s="278"/>
      <c r="BR757" s="278"/>
      <c r="BS757" s="278"/>
      <c r="BT757" s="278"/>
      <c r="BU757" s="278"/>
      <c r="BV757" s="278"/>
      <c r="BW757" s="278"/>
      <c r="BX757" s="278"/>
      <c r="BY757" s="278"/>
      <c r="BZ757" s="278"/>
      <c r="CA757" s="278"/>
      <c r="CB757" s="278"/>
      <c r="CC757" s="278"/>
      <c r="CD757" s="278"/>
      <c r="CE757" s="278"/>
    </row>
    <row r="758" spans="1:83" ht="12.65" customHeight="1" x14ac:dyDescent="0.35">
      <c r="A758" s="209" t="str">
        <f>RIGHT($C$83,3)&amp;"*"&amp;RIGHT($C$82,4)&amp;"*"&amp;AA$55&amp;"*"&amp;"A"</f>
        <v>008*2020*7160*A</v>
      </c>
      <c r="B758" s="277">
        <f>ROUND(AA59,0)</f>
        <v>0</v>
      </c>
      <c r="C758" s="279">
        <f>ROUND(AA60,2)</f>
        <v>0</v>
      </c>
      <c r="D758" s="277">
        <f>ROUND(AA61,0)</f>
        <v>0</v>
      </c>
      <c r="E758" s="277">
        <f>ROUND(AA62,0)</f>
        <v>0</v>
      </c>
      <c r="F758" s="277">
        <f>ROUND(AA63,0)</f>
        <v>0</v>
      </c>
      <c r="G758" s="277">
        <f>ROUND(AA64,0)</f>
        <v>0</v>
      </c>
      <c r="H758" s="277">
        <f>ROUND(AA65,0)</f>
        <v>0</v>
      </c>
      <c r="I758" s="277">
        <f>ROUND(AA66,0)</f>
        <v>0</v>
      </c>
      <c r="J758" s="277">
        <f>ROUND(AA67,0)</f>
        <v>0</v>
      </c>
      <c r="K758" s="277">
        <f>ROUND(AA68,0)</f>
        <v>0</v>
      </c>
      <c r="L758" s="277">
        <f>ROUND(AA69,0)</f>
        <v>0</v>
      </c>
      <c r="M758" s="277">
        <f>ROUND(AA70,0)</f>
        <v>0</v>
      </c>
      <c r="N758" s="277">
        <f>ROUND(AA75,0)</f>
        <v>0</v>
      </c>
      <c r="O758" s="277">
        <f>ROUND(AA73,0)</f>
        <v>0</v>
      </c>
      <c r="P758" s="277">
        <f>IF(AA76&gt;0,ROUND(AA76,0),0)</f>
        <v>0</v>
      </c>
      <c r="Q758" s="277">
        <f>IF(AA77&gt;0,ROUND(AA77,0),0)</f>
        <v>0</v>
      </c>
      <c r="R758" s="277">
        <f>IF(AA78&gt;0,ROUND(AA78,0),0)</f>
        <v>0</v>
      </c>
      <c r="S758" s="277">
        <f>IF(AA79&gt;0,ROUND(AA79,0),0)</f>
        <v>0</v>
      </c>
      <c r="T758" s="279">
        <f>IF(AA80&gt;0,ROUND(AA80,2),0)</f>
        <v>0</v>
      </c>
      <c r="U758" s="277"/>
      <c r="V758" s="278"/>
      <c r="W758" s="277"/>
      <c r="X758" s="277"/>
      <c r="Y758" s="277" t="e">
        <f t="shared" si="22"/>
        <v>#DIV/0!</v>
      </c>
      <c r="Z758" s="278"/>
      <c r="AA758" s="278"/>
      <c r="AB758" s="278"/>
      <c r="AC758" s="278"/>
      <c r="AD758" s="278"/>
      <c r="AE758" s="278"/>
      <c r="AF758" s="278"/>
      <c r="AG758" s="278"/>
      <c r="AH758" s="278"/>
      <c r="AI758" s="278"/>
      <c r="AJ758" s="278"/>
      <c r="AK758" s="278"/>
      <c r="AL758" s="278"/>
      <c r="AM758" s="278"/>
      <c r="AN758" s="278"/>
      <c r="AO758" s="278"/>
      <c r="AP758" s="278"/>
      <c r="AQ758" s="278"/>
      <c r="AR758" s="278"/>
      <c r="AS758" s="278"/>
      <c r="AT758" s="278"/>
      <c r="AU758" s="278"/>
      <c r="AV758" s="278"/>
      <c r="AW758" s="278"/>
      <c r="AX758" s="278"/>
      <c r="AY758" s="278"/>
      <c r="AZ758" s="278"/>
      <c r="BA758" s="278"/>
      <c r="BB758" s="278"/>
      <c r="BC758" s="278"/>
      <c r="BD758" s="278"/>
      <c r="BE758" s="278"/>
      <c r="BF758" s="278"/>
      <c r="BG758" s="278"/>
      <c r="BH758" s="278"/>
      <c r="BI758" s="278"/>
      <c r="BJ758" s="278"/>
      <c r="BK758" s="278"/>
      <c r="BL758" s="278"/>
      <c r="BM758" s="278"/>
      <c r="BN758" s="278"/>
      <c r="BO758" s="278"/>
      <c r="BP758" s="278"/>
      <c r="BQ758" s="278"/>
      <c r="BR758" s="278"/>
      <c r="BS758" s="278"/>
      <c r="BT758" s="278"/>
      <c r="BU758" s="278"/>
      <c r="BV758" s="278"/>
      <c r="BW758" s="278"/>
      <c r="BX758" s="278"/>
      <c r="BY758" s="278"/>
      <c r="BZ758" s="278"/>
      <c r="CA758" s="278"/>
      <c r="CB758" s="278"/>
      <c r="CC758" s="278"/>
      <c r="CD758" s="278"/>
      <c r="CE758" s="278"/>
    </row>
    <row r="759" spans="1:83" ht="12.65" customHeight="1" x14ac:dyDescent="0.35">
      <c r="A759" s="209" t="str">
        <f>RIGHT($C$83,3)&amp;"*"&amp;RIGHT($C$82,4)&amp;"*"&amp;AB$55&amp;"*"&amp;"A"</f>
        <v>008*2020*7170*A</v>
      </c>
      <c r="B759" s="277"/>
      <c r="C759" s="279">
        <f>ROUND(AB60,2)</f>
        <v>4.7</v>
      </c>
      <c r="D759" s="277">
        <f>ROUND(AB61,0)</f>
        <v>418728</v>
      </c>
      <c r="E759" s="277">
        <f>ROUND(AB62,0)</f>
        <v>56945</v>
      </c>
      <c r="F759" s="277">
        <f>ROUND(AB63,0)</f>
        <v>40740</v>
      </c>
      <c r="G759" s="277">
        <f>ROUND(AB64,0)</f>
        <v>814661</v>
      </c>
      <c r="H759" s="277">
        <f>ROUND(AB65,0)</f>
        <v>0</v>
      </c>
      <c r="I759" s="277">
        <f>ROUND(AB66,0)</f>
        <v>331918</v>
      </c>
      <c r="J759" s="277">
        <f>ROUND(AB67,0)</f>
        <v>0</v>
      </c>
      <c r="K759" s="277">
        <f>ROUND(AB68,0)</f>
        <v>7564</v>
      </c>
      <c r="L759" s="277">
        <f>ROUND(AB69,0)</f>
        <v>10307</v>
      </c>
      <c r="M759" s="277">
        <f>ROUND(AB70,0)</f>
        <v>0</v>
      </c>
      <c r="N759" s="277">
        <f>ROUND(AB75,0)</f>
        <v>3981325</v>
      </c>
      <c r="O759" s="277">
        <f>ROUND(AB73,0)</f>
        <v>784009</v>
      </c>
      <c r="P759" s="277">
        <f>IF(AB76&gt;0,ROUND(AB76,0),0)</f>
        <v>444</v>
      </c>
      <c r="Q759" s="277">
        <f>IF(AB77&gt;0,ROUND(AB77,0),0)</f>
        <v>0</v>
      </c>
      <c r="R759" s="277">
        <f>IF(AB78&gt;0,ROUND(AB78,0),0)</f>
        <v>0</v>
      </c>
      <c r="S759" s="277">
        <f>IF(AB79&gt;0,ROUND(AB79,0),0)</f>
        <v>0</v>
      </c>
      <c r="T759" s="279">
        <f>IF(AB80&gt;0,ROUND(AB80,2),0)</f>
        <v>0</v>
      </c>
      <c r="U759" s="277"/>
      <c r="V759" s="278"/>
      <c r="W759" s="277"/>
      <c r="X759" s="277"/>
      <c r="Y759" s="277" t="e">
        <f t="shared" si="22"/>
        <v>#DIV/0!</v>
      </c>
      <c r="Z759" s="278"/>
      <c r="AA759" s="278"/>
      <c r="AB759" s="278"/>
      <c r="AC759" s="278"/>
      <c r="AD759" s="278"/>
      <c r="AE759" s="278"/>
      <c r="AF759" s="278"/>
      <c r="AG759" s="278"/>
      <c r="AH759" s="278"/>
      <c r="AI759" s="278"/>
      <c r="AJ759" s="278"/>
      <c r="AK759" s="278"/>
      <c r="AL759" s="278"/>
      <c r="AM759" s="278"/>
      <c r="AN759" s="278"/>
      <c r="AO759" s="278"/>
      <c r="AP759" s="278"/>
      <c r="AQ759" s="278"/>
      <c r="AR759" s="278"/>
      <c r="AS759" s="278"/>
      <c r="AT759" s="278"/>
      <c r="AU759" s="278"/>
      <c r="AV759" s="278"/>
      <c r="AW759" s="278"/>
      <c r="AX759" s="278"/>
      <c r="AY759" s="278"/>
      <c r="AZ759" s="278"/>
      <c r="BA759" s="278"/>
      <c r="BB759" s="278"/>
      <c r="BC759" s="278"/>
      <c r="BD759" s="278"/>
      <c r="BE759" s="278"/>
      <c r="BF759" s="278"/>
      <c r="BG759" s="278"/>
      <c r="BH759" s="278"/>
      <c r="BI759" s="278"/>
      <c r="BJ759" s="278"/>
      <c r="BK759" s="278"/>
      <c r="BL759" s="278"/>
      <c r="BM759" s="278"/>
      <c r="BN759" s="278"/>
      <c r="BO759" s="278"/>
      <c r="BP759" s="278"/>
      <c r="BQ759" s="278"/>
      <c r="BR759" s="278"/>
      <c r="BS759" s="278"/>
      <c r="BT759" s="278"/>
      <c r="BU759" s="278"/>
      <c r="BV759" s="278"/>
      <c r="BW759" s="278"/>
      <c r="BX759" s="278"/>
      <c r="BY759" s="278"/>
      <c r="BZ759" s="278"/>
      <c r="CA759" s="278"/>
      <c r="CB759" s="278"/>
      <c r="CC759" s="278"/>
      <c r="CD759" s="278"/>
      <c r="CE759" s="278"/>
    </row>
    <row r="760" spans="1:83" ht="12.65" customHeight="1" x14ac:dyDescent="0.35">
      <c r="A760" s="209" t="str">
        <f>RIGHT($C$83,3)&amp;"*"&amp;RIGHT($C$82,4)&amp;"*"&amp;AC$55&amp;"*"&amp;"A"</f>
        <v>008*2020*7180*A</v>
      </c>
      <c r="B760" s="277">
        <f>ROUND(AC59,0)</f>
        <v>669</v>
      </c>
      <c r="C760" s="279">
        <f>ROUND(AC60,2)</f>
        <v>0.78</v>
      </c>
      <c r="D760" s="277">
        <f>ROUND(AC61,0)</f>
        <v>64920</v>
      </c>
      <c r="E760" s="277">
        <f>ROUND(AC62,0)</f>
        <v>12738</v>
      </c>
      <c r="F760" s="277">
        <f>ROUND(AC63,0)</f>
        <v>0</v>
      </c>
      <c r="G760" s="277">
        <f>ROUND(AC64,0)</f>
        <v>2672</v>
      </c>
      <c r="H760" s="277">
        <f>ROUND(AC65,0)</f>
        <v>0</v>
      </c>
      <c r="I760" s="277">
        <f>ROUND(AC66,0)</f>
        <v>242</v>
      </c>
      <c r="J760" s="277">
        <f>ROUND(AC67,0)</f>
        <v>0</v>
      </c>
      <c r="K760" s="277">
        <f>ROUND(AC68,0)</f>
        <v>0</v>
      </c>
      <c r="L760" s="277">
        <f>ROUND(AC69,0)</f>
        <v>0</v>
      </c>
      <c r="M760" s="277">
        <f>ROUND(AC70,0)</f>
        <v>0</v>
      </c>
      <c r="N760" s="277">
        <f>ROUND(AC75,0)</f>
        <v>119724</v>
      </c>
      <c r="O760" s="277">
        <f>ROUND(AC73,0)</f>
        <v>24523</v>
      </c>
      <c r="P760" s="277">
        <f>IF(AC76&gt;0,ROUND(AC76,0),0)</f>
        <v>0</v>
      </c>
      <c r="Q760" s="277">
        <f>IF(AC77&gt;0,ROUND(AC77,0),0)</f>
        <v>0</v>
      </c>
      <c r="R760" s="277">
        <f>IF(AC78&gt;0,ROUND(AC78,0),0)</f>
        <v>0</v>
      </c>
      <c r="S760" s="277">
        <f>IF(AC79&gt;0,ROUND(AC79,0),0)</f>
        <v>0</v>
      </c>
      <c r="T760" s="279">
        <f>IF(AC80&gt;0,ROUND(AC80,2),0)</f>
        <v>0</v>
      </c>
      <c r="U760" s="277"/>
      <c r="V760" s="278"/>
      <c r="W760" s="277"/>
      <c r="X760" s="277"/>
      <c r="Y760" s="277" t="e">
        <f t="shared" si="22"/>
        <v>#DIV/0!</v>
      </c>
      <c r="Z760" s="278"/>
      <c r="AA760" s="278"/>
      <c r="AB760" s="278"/>
      <c r="AC760" s="278"/>
      <c r="AD760" s="278"/>
      <c r="AE760" s="278"/>
      <c r="AF760" s="278"/>
      <c r="AG760" s="278"/>
      <c r="AH760" s="278"/>
      <c r="AI760" s="278"/>
      <c r="AJ760" s="278"/>
      <c r="AK760" s="278"/>
      <c r="AL760" s="278"/>
      <c r="AM760" s="278"/>
      <c r="AN760" s="278"/>
      <c r="AO760" s="278"/>
      <c r="AP760" s="278"/>
      <c r="AQ760" s="278"/>
      <c r="AR760" s="278"/>
      <c r="AS760" s="278"/>
      <c r="AT760" s="278"/>
      <c r="AU760" s="278"/>
      <c r="AV760" s="278"/>
      <c r="AW760" s="278"/>
      <c r="AX760" s="278"/>
      <c r="AY760" s="278"/>
      <c r="AZ760" s="278"/>
      <c r="BA760" s="278"/>
      <c r="BB760" s="278"/>
      <c r="BC760" s="278"/>
      <c r="BD760" s="278"/>
      <c r="BE760" s="278"/>
      <c r="BF760" s="278"/>
      <c r="BG760" s="278"/>
      <c r="BH760" s="278"/>
      <c r="BI760" s="278"/>
      <c r="BJ760" s="278"/>
      <c r="BK760" s="278"/>
      <c r="BL760" s="278"/>
      <c r="BM760" s="278"/>
      <c r="BN760" s="278"/>
      <c r="BO760" s="278"/>
      <c r="BP760" s="278"/>
      <c r="BQ760" s="278"/>
      <c r="BR760" s="278"/>
      <c r="BS760" s="278"/>
      <c r="BT760" s="278"/>
      <c r="BU760" s="278"/>
      <c r="BV760" s="278"/>
      <c r="BW760" s="278"/>
      <c r="BX760" s="278"/>
      <c r="BY760" s="278"/>
      <c r="BZ760" s="278"/>
      <c r="CA760" s="278"/>
      <c r="CB760" s="278"/>
      <c r="CC760" s="278"/>
      <c r="CD760" s="278"/>
      <c r="CE760" s="278"/>
    </row>
    <row r="761" spans="1:83" ht="12.65" customHeight="1" x14ac:dyDescent="0.35">
      <c r="A761" s="209" t="str">
        <f>RIGHT($C$83,3)&amp;"*"&amp;RIGHT($C$82,4)&amp;"*"&amp;AD$55&amp;"*"&amp;"A"</f>
        <v>008*2020*7190*A</v>
      </c>
      <c r="B761" s="277">
        <f>ROUND(AD59,0)</f>
        <v>0</v>
      </c>
      <c r="C761" s="279">
        <f>ROUND(AD60,2)</f>
        <v>0</v>
      </c>
      <c r="D761" s="277">
        <f>ROUND(AD61,0)</f>
        <v>0</v>
      </c>
      <c r="E761" s="277">
        <f>ROUND(AD62,0)</f>
        <v>0</v>
      </c>
      <c r="F761" s="277">
        <f>ROUND(AD63,0)</f>
        <v>0</v>
      </c>
      <c r="G761" s="277">
        <f>ROUND(AD64,0)</f>
        <v>0</v>
      </c>
      <c r="H761" s="277">
        <f>ROUND(AD65,0)</f>
        <v>0</v>
      </c>
      <c r="I761" s="277">
        <f>ROUND(AD66,0)</f>
        <v>0</v>
      </c>
      <c r="J761" s="277">
        <f>ROUND(AD67,0)</f>
        <v>0</v>
      </c>
      <c r="K761" s="277">
        <f>ROUND(AD68,0)</f>
        <v>0</v>
      </c>
      <c r="L761" s="277">
        <f>ROUND(AD69,0)</f>
        <v>0</v>
      </c>
      <c r="M761" s="277">
        <f>ROUND(AD70,0)</f>
        <v>0</v>
      </c>
      <c r="N761" s="277">
        <f>ROUND(AD75,0)</f>
        <v>0</v>
      </c>
      <c r="O761" s="277">
        <f>ROUND(AD73,0)</f>
        <v>0</v>
      </c>
      <c r="P761" s="277">
        <f>IF(AD76&gt;0,ROUND(AD76,0),0)</f>
        <v>0</v>
      </c>
      <c r="Q761" s="277">
        <f>IF(AD77&gt;0,ROUND(AD77,0),0)</f>
        <v>0</v>
      </c>
      <c r="R761" s="277">
        <f>IF(AD78&gt;0,ROUND(AD78,0),0)</f>
        <v>0</v>
      </c>
      <c r="S761" s="277">
        <f>IF(AD79&gt;0,ROUND(AD79,0),0)</f>
        <v>0</v>
      </c>
      <c r="T761" s="279">
        <f>IF(AD80&gt;0,ROUND(AD80,2),0)</f>
        <v>0</v>
      </c>
      <c r="U761" s="277"/>
      <c r="V761" s="278"/>
      <c r="W761" s="277"/>
      <c r="X761" s="277"/>
      <c r="Y761" s="277" t="e">
        <f t="shared" si="22"/>
        <v>#DIV/0!</v>
      </c>
      <c r="Z761" s="278"/>
      <c r="AA761" s="278"/>
      <c r="AB761" s="278"/>
      <c r="AC761" s="278"/>
      <c r="AD761" s="278"/>
      <c r="AE761" s="278"/>
      <c r="AF761" s="278"/>
      <c r="AG761" s="278"/>
      <c r="AH761" s="278"/>
      <c r="AI761" s="278"/>
      <c r="AJ761" s="278"/>
      <c r="AK761" s="278"/>
      <c r="AL761" s="278"/>
      <c r="AM761" s="278"/>
      <c r="AN761" s="278"/>
      <c r="AO761" s="278"/>
      <c r="AP761" s="278"/>
      <c r="AQ761" s="278"/>
      <c r="AR761" s="278"/>
      <c r="AS761" s="278"/>
      <c r="AT761" s="278"/>
      <c r="AU761" s="278"/>
      <c r="AV761" s="278"/>
      <c r="AW761" s="278"/>
      <c r="AX761" s="278"/>
      <c r="AY761" s="278"/>
      <c r="AZ761" s="278"/>
      <c r="BA761" s="278"/>
      <c r="BB761" s="278"/>
      <c r="BC761" s="278"/>
      <c r="BD761" s="278"/>
      <c r="BE761" s="278"/>
      <c r="BF761" s="278"/>
      <c r="BG761" s="278"/>
      <c r="BH761" s="278"/>
      <c r="BI761" s="278"/>
      <c r="BJ761" s="278"/>
      <c r="BK761" s="278"/>
      <c r="BL761" s="278"/>
      <c r="BM761" s="278"/>
      <c r="BN761" s="278"/>
      <c r="BO761" s="278"/>
      <c r="BP761" s="278"/>
      <c r="BQ761" s="278"/>
      <c r="BR761" s="278"/>
      <c r="BS761" s="278"/>
      <c r="BT761" s="278"/>
      <c r="BU761" s="278"/>
      <c r="BV761" s="278"/>
      <c r="BW761" s="278"/>
      <c r="BX761" s="278"/>
      <c r="BY761" s="278"/>
      <c r="BZ761" s="278"/>
      <c r="CA761" s="278"/>
      <c r="CB761" s="278"/>
      <c r="CC761" s="278"/>
      <c r="CD761" s="278"/>
      <c r="CE761" s="278"/>
    </row>
    <row r="762" spans="1:83" ht="12.65" customHeight="1" x14ac:dyDescent="0.35">
      <c r="A762" s="209" t="str">
        <f>RIGHT($C$83,3)&amp;"*"&amp;RIGHT($C$82,4)&amp;"*"&amp;AE$55&amp;"*"&amp;"A"</f>
        <v>008*2020*7200*A</v>
      </c>
      <c r="B762" s="277">
        <f>ROUND(AE59,0)</f>
        <v>15471</v>
      </c>
      <c r="C762" s="279">
        <f>ROUND(AE60,2)</f>
        <v>9.98</v>
      </c>
      <c r="D762" s="277">
        <f>ROUND(AE61,0)</f>
        <v>720948</v>
      </c>
      <c r="E762" s="277">
        <f>ROUND(AE62,0)</f>
        <v>176319</v>
      </c>
      <c r="F762" s="277">
        <f>ROUND(AE63,0)</f>
        <v>104850</v>
      </c>
      <c r="G762" s="277">
        <f>ROUND(AE64,0)</f>
        <v>22476</v>
      </c>
      <c r="H762" s="277">
        <f>ROUND(AE65,0)</f>
        <v>0</v>
      </c>
      <c r="I762" s="277">
        <f>ROUND(AE66,0)</f>
        <v>2794</v>
      </c>
      <c r="J762" s="277">
        <f>ROUND(AE67,0)</f>
        <v>0</v>
      </c>
      <c r="K762" s="277">
        <f>ROUND(AE68,0)</f>
        <v>0</v>
      </c>
      <c r="L762" s="277">
        <f>ROUND(AE69,0)</f>
        <v>15941</v>
      </c>
      <c r="M762" s="277">
        <f>ROUND(AE70,0)</f>
        <v>0</v>
      </c>
      <c r="N762" s="277">
        <f>ROUND(AE75,0)</f>
        <v>1820580</v>
      </c>
      <c r="O762" s="277">
        <f>ROUND(AE73,0)</f>
        <v>99287</v>
      </c>
      <c r="P762" s="277">
        <f>IF(AE76&gt;0,ROUND(AE76,0),0)</f>
        <v>4312</v>
      </c>
      <c r="Q762" s="277">
        <f>IF(AE77&gt;0,ROUND(AE77,0),0)</f>
        <v>0</v>
      </c>
      <c r="R762" s="277">
        <f>IF(AE78&gt;0,ROUND(AE78,0),0)</f>
        <v>0</v>
      </c>
      <c r="S762" s="277">
        <f>IF(AE79&gt;0,ROUND(AE79,0),0)</f>
        <v>0</v>
      </c>
      <c r="T762" s="279">
        <f>IF(AE80&gt;0,ROUND(AE80,2),0)</f>
        <v>0</v>
      </c>
      <c r="U762" s="277"/>
      <c r="V762" s="278"/>
      <c r="W762" s="277"/>
      <c r="X762" s="277"/>
      <c r="Y762" s="277" t="e">
        <f t="shared" si="22"/>
        <v>#DIV/0!</v>
      </c>
      <c r="Z762" s="278"/>
      <c r="AA762" s="278"/>
      <c r="AB762" s="278"/>
      <c r="AC762" s="278"/>
      <c r="AD762" s="278"/>
      <c r="AE762" s="278"/>
      <c r="AF762" s="278"/>
      <c r="AG762" s="278"/>
      <c r="AH762" s="278"/>
      <c r="AI762" s="278"/>
      <c r="AJ762" s="278"/>
      <c r="AK762" s="278"/>
      <c r="AL762" s="278"/>
      <c r="AM762" s="278"/>
      <c r="AN762" s="278"/>
      <c r="AO762" s="278"/>
      <c r="AP762" s="278"/>
      <c r="AQ762" s="278"/>
      <c r="AR762" s="278"/>
      <c r="AS762" s="278"/>
      <c r="AT762" s="278"/>
      <c r="AU762" s="278"/>
      <c r="AV762" s="278"/>
      <c r="AW762" s="278"/>
      <c r="AX762" s="278"/>
      <c r="AY762" s="278"/>
      <c r="AZ762" s="278"/>
      <c r="BA762" s="278"/>
      <c r="BB762" s="278"/>
      <c r="BC762" s="278"/>
      <c r="BD762" s="278"/>
      <c r="BE762" s="278"/>
      <c r="BF762" s="278"/>
      <c r="BG762" s="278"/>
      <c r="BH762" s="278"/>
      <c r="BI762" s="278"/>
      <c r="BJ762" s="278"/>
      <c r="BK762" s="278"/>
      <c r="BL762" s="278"/>
      <c r="BM762" s="278"/>
      <c r="BN762" s="278"/>
      <c r="BO762" s="278"/>
      <c r="BP762" s="278"/>
      <c r="BQ762" s="278"/>
      <c r="BR762" s="278"/>
      <c r="BS762" s="278"/>
      <c r="BT762" s="278"/>
      <c r="BU762" s="278"/>
      <c r="BV762" s="278"/>
      <c r="BW762" s="278"/>
      <c r="BX762" s="278"/>
      <c r="BY762" s="278"/>
      <c r="BZ762" s="278"/>
      <c r="CA762" s="278"/>
      <c r="CB762" s="278"/>
      <c r="CC762" s="278"/>
      <c r="CD762" s="278"/>
      <c r="CE762" s="278"/>
    </row>
    <row r="763" spans="1:83" ht="12.65" customHeight="1" x14ac:dyDescent="0.35">
      <c r="A763" s="209" t="str">
        <f>RIGHT($C$83,3)&amp;"*"&amp;RIGHT($C$82,4)&amp;"*"&amp;AF$55&amp;"*"&amp;"A"</f>
        <v>008*2020*7220*A</v>
      </c>
      <c r="B763" s="277">
        <f>ROUND(AF59,0)</f>
        <v>0</v>
      </c>
      <c r="C763" s="279">
        <f>ROUND(AF60,2)</f>
        <v>0</v>
      </c>
      <c r="D763" s="277">
        <f>ROUND(AF61,0)</f>
        <v>0</v>
      </c>
      <c r="E763" s="277">
        <f>ROUND(AF62,0)</f>
        <v>0</v>
      </c>
      <c r="F763" s="277">
        <f>ROUND(AF63,0)</f>
        <v>0</v>
      </c>
      <c r="G763" s="277">
        <f>ROUND(AF64,0)</f>
        <v>0</v>
      </c>
      <c r="H763" s="277">
        <f>ROUND(AF65,0)</f>
        <v>0</v>
      </c>
      <c r="I763" s="277">
        <f>ROUND(AF66,0)</f>
        <v>0</v>
      </c>
      <c r="J763" s="277">
        <f>ROUND(AF67,0)</f>
        <v>0</v>
      </c>
      <c r="K763" s="277">
        <f>ROUND(AF68,0)</f>
        <v>0</v>
      </c>
      <c r="L763" s="277">
        <f>ROUND(AF69,0)</f>
        <v>0</v>
      </c>
      <c r="M763" s="277">
        <f>ROUND(AF70,0)</f>
        <v>0</v>
      </c>
      <c r="N763" s="277">
        <f>ROUND(AF75,0)</f>
        <v>0</v>
      </c>
      <c r="O763" s="277">
        <f>ROUND(AF73,0)</f>
        <v>0</v>
      </c>
      <c r="P763" s="277">
        <f>IF(AF76&gt;0,ROUND(AF76,0),0)</f>
        <v>0</v>
      </c>
      <c r="Q763" s="277">
        <f>IF(AF77&gt;0,ROUND(AF77,0),0)</f>
        <v>0</v>
      </c>
      <c r="R763" s="277">
        <f>IF(AF78&gt;0,ROUND(AF78,0),0)</f>
        <v>0</v>
      </c>
      <c r="S763" s="277">
        <f>IF(AF79&gt;0,ROUND(AF79,0),0)</f>
        <v>0</v>
      </c>
      <c r="T763" s="279">
        <f>IF(AF80&gt;0,ROUND(AF80,2),0)</f>
        <v>0</v>
      </c>
      <c r="U763" s="277"/>
      <c r="V763" s="278"/>
      <c r="W763" s="277"/>
      <c r="X763" s="277"/>
      <c r="Y763" s="277" t="e">
        <f t="shared" si="22"/>
        <v>#DIV/0!</v>
      </c>
      <c r="Z763" s="278"/>
      <c r="AA763" s="278"/>
      <c r="AB763" s="278"/>
      <c r="AC763" s="278"/>
      <c r="AD763" s="278"/>
      <c r="AE763" s="278"/>
      <c r="AF763" s="278"/>
      <c r="AG763" s="278"/>
      <c r="AH763" s="278"/>
      <c r="AI763" s="278"/>
      <c r="AJ763" s="278"/>
      <c r="AK763" s="278"/>
      <c r="AL763" s="278"/>
      <c r="AM763" s="278"/>
      <c r="AN763" s="278"/>
      <c r="AO763" s="278"/>
      <c r="AP763" s="278"/>
      <c r="AQ763" s="278"/>
      <c r="AR763" s="278"/>
      <c r="AS763" s="278"/>
      <c r="AT763" s="278"/>
      <c r="AU763" s="278"/>
      <c r="AV763" s="278"/>
      <c r="AW763" s="278"/>
      <c r="AX763" s="278"/>
      <c r="AY763" s="278"/>
      <c r="AZ763" s="278"/>
      <c r="BA763" s="278"/>
      <c r="BB763" s="278"/>
      <c r="BC763" s="278"/>
      <c r="BD763" s="278"/>
      <c r="BE763" s="278"/>
      <c r="BF763" s="278"/>
      <c r="BG763" s="278"/>
      <c r="BH763" s="278"/>
      <c r="BI763" s="278"/>
      <c r="BJ763" s="278"/>
      <c r="BK763" s="278"/>
      <c r="BL763" s="278"/>
      <c r="BM763" s="278"/>
      <c r="BN763" s="278"/>
      <c r="BO763" s="278"/>
      <c r="BP763" s="278"/>
      <c r="BQ763" s="278"/>
      <c r="BR763" s="278"/>
      <c r="BS763" s="278"/>
      <c r="BT763" s="278"/>
      <c r="BU763" s="278"/>
      <c r="BV763" s="278"/>
      <c r="BW763" s="278"/>
      <c r="BX763" s="278"/>
      <c r="BY763" s="278"/>
      <c r="BZ763" s="278"/>
      <c r="CA763" s="278"/>
      <c r="CB763" s="278"/>
      <c r="CC763" s="278"/>
      <c r="CD763" s="278"/>
      <c r="CE763" s="278"/>
    </row>
    <row r="764" spans="1:83" ht="12.65" customHeight="1" x14ac:dyDescent="0.35">
      <c r="A764" s="209" t="str">
        <f>RIGHT($C$83,3)&amp;"*"&amp;RIGHT($C$82,4)&amp;"*"&amp;AG$55&amp;"*"&amp;"A"</f>
        <v>008*2020*7230*A</v>
      </c>
      <c r="B764" s="277">
        <f>ROUND(AG59,0)</f>
        <v>4014</v>
      </c>
      <c r="C764" s="279">
        <f>ROUND(AG60,2)</f>
        <v>12.89</v>
      </c>
      <c r="D764" s="277">
        <f>ROUND(AG61,0)</f>
        <v>1711109</v>
      </c>
      <c r="E764" s="277">
        <f>ROUND(AG62,0)</f>
        <v>245184</v>
      </c>
      <c r="F764" s="277">
        <f>ROUND(AG63,0)</f>
        <v>413563</v>
      </c>
      <c r="G764" s="277">
        <f>ROUND(AG64,0)</f>
        <v>51939</v>
      </c>
      <c r="H764" s="277">
        <f>ROUND(AG65,0)</f>
        <v>517</v>
      </c>
      <c r="I764" s="277">
        <f>ROUND(AG66,0)</f>
        <v>10729</v>
      </c>
      <c r="J764" s="277">
        <f>ROUND(AG67,0)</f>
        <v>0</v>
      </c>
      <c r="K764" s="277">
        <f>ROUND(AG68,0)</f>
        <v>14617</v>
      </c>
      <c r="L764" s="277">
        <f>ROUND(AG69,0)</f>
        <v>30609</v>
      </c>
      <c r="M764" s="277">
        <f>ROUND(AG70,0)</f>
        <v>0</v>
      </c>
      <c r="N764" s="277">
        <f>ROUND(AG75,0)</f>
        <v>9454744</v>
      </c>
      <c r="O764" s="277">
        <f>ROUND(AG73,0)</f>
        <v>80945</v>
      </c>
      <c r="P764" s="277">
        <f>IF(AG76&gt;0,ROUND(AG76,0),0)</f>
        <v>2054</v>
      </c>
      <c r="Q764" s="277">
        <f>IF(AG77&gt;0,ROUND(AG77,0),0)</f>
        <v>0</v>
      </c>
      <c r="R764" s="277">
        <f>IF(AG78&gt;0,ROUND(AG78,0),0)</f>
        <v>0</v>
      </c>
      <c r="S764" s="277">
        <f>IF(AG79&gt;0,ROUND(AG79,0),0)</f>
        <v>0</v>
      </c>
      <c r="T764" s="279">
        <f>IF(AG80&gt;0,ROUND(AG80,2),0)</f>
        <v>4.43</v>
      </c>
      <c r="U764" s="277"/>
      <c r="V764" s="278"/>
      <c r="W764" s="277"/>
      <c r="X764" s="277"/>
      <c r="Y764" s="277" t="e">
        <f t="shared" si="22"/>
        <v>#DIV/0!</v>
      </c>
      <c r="Z764" s="278"/>
      <c r="AA764" s="278"/>
      <c r="AB764" s="278"/>
      <c r="AC764" s="278"/>
      <c r="AD764" s="278"/>
      <c r="AE764" s="278"/>
      <c r="AF764" s="278"/>
      <c r="AG764" s="278"/>
      <c r="AH764" s="278"/>
      <c r="AI764" s="278"/>
      <c r="AJ764" s="278"/>
      <c r="AK764" s="278"/>
      <c r="AL764" s="278"/>
      <c r="AM764" s="278"/>
      <c r="AN764" s="278"/>
      <c r="AO764" s="278"/>
      <c r="AP764" s="278"/>
      <c r="AQ764" s="278"/>
      <c r="AR764" s="278"/>
      <c r="AS764" s="278"/>
      <c r="AT764" s="278"/>
      <c r="AU764" s="278"/>
      <c r="AV764" s="278"/>
      <c r="AW764" s="278"/>
      <c r="AX764" s="278"/>
      <c r="AY764" s="278"/>
      <c r="AZ764" s="278"/>
      <c r="BA764" s="278"/>
      <c r="BB764" s="278"/>
      <c r="BC764" s="278"/>
      <c r="BD764" s="278"/>
      <c r="BE764" s="278"/>
      <c r="BF764" s="278"/>
      <c r="BG764" s="278"/>
      <c r="BH764" s="278"/>
      <c r="BI764" s="278"/>
      <c r="BJ764" s="278"/>
      <c r="BK764" s="278"/>
      <c r="BL764" s="278"/>
      <c r="BM764" s="278"/>
      <c r="BN764" s="278"/>
      <c r="BO764" s="278"/>
      <c r="BP764" s="278"/>
      <c r="BQ764" s="278"/>
      <c r="BR764" s="278"/>
      <c r="BS764" s="278"/>
      <c r="BT764" s="278"/>
      <c r="BU764" s="278"/>
      <c r="BV764" s="278"/>
      <c r="BW764" s="278"/>
      <c r="BX764" s="278"/>
      <c r="BY764" s="278"/>
      <c r="BZ764" s="278"/>
      <c r="CA764" s="278"/>
      <c r="CB764" s="278"/>
      <c r="CC764" s="278"/>
      <c r="CD764" s="278"/>
      <c r="CE764" s="278"/>
    </row>
    <row r="765" spans="1:83" ht="12.65" customHeight="1" x14ac:dyDescent="0.35">
      <c r="A765" s="209" t="str">
        <f>RIGHT($C$83,3)&amp;"*"&amp;RIGHT($C$82,4)&amp;"*"&amp;AH$55&amp;"*"&amp;"A"</f>
        <v>008*2020*7240*A</v>
      </c>
      <c r="B765" s="277">
        <f>ROUND(AH59,0)</f>
        <v>0</v>
      </c>
      <c r="C765" s="279">
        <f>ROUND(AH60,2)</f>
        <v>0</v>
      </c>
      <c r="D765" s="277">
        <f>ROUND(AH61,0)</f>
        <v>0</v>
      </c>
      <c r="E765" s="277">
        <f>ROUND(AH62,0)</f>
        <v>0</v>
      </c>
      <c r="F765" s="277">
        <f>ROUND(AH63,0)</f>
        <v>0</v>
      </c>
      <c r="G765" s="277">
        <f>ROUND(AH64,0)</f>
        <v>0</v>
      </c>
      <c r="H765" s="277">
        <f>ROUND(AH65,0)</f>
        <v>0</v>
      </c>
      <c r="I765" s="277">
        <f>ROUND(AH66,0)</f>
        <v>0</v>
      </c>
      <c r="J765" s="277">
        <f>ROUND(AH67,0)</f>
        <v>0</v>
      </c>
      <c r="K765" s="277">
        <f>ROUND(AH68,0)</f>
        <v>0</v>
      </c>
      <c r="L765" s="277">
        <f>ROUND(AH69,0)</f>
        <v>0</v>
      </c>
      <c r="M765" s="277">
        <f>ROUND(AH70,0)</f>
        <v>0</v>
      </c>
      <c r="N765" s="277">
        <f>ROUND(AH75,0)</f>
        <v>0</v>
      </c>
      <c r="O765" s="277">
        <f>ROUND(AH73,0)</f>
        <v>0</v>
      </c>
      <c r="P765" s="277">
        <f>IF(AH76&gt;0,ROUND(AH76,0),0)</f>
        <v>0</v>
      </c>
      <c r="Q765" s="277">
        <f>IF(AH77&gt;0,ROUND(AH77,0),0)</f>
        <v>0</v>
      </c>
      <c r="R765" s="277">
        <f>IF(AH78&gt;0,ROUND(AH78,0),0)</f>
        <v>0</v>
      </c>
      <c r="S765" s="277">
        <f>IF(AH79&gt;0,ROUND(AH79,0),0)</f>
        <v>0</v>
      </c>
      <c r="T765" s="279">
        <f>IF(AH80&gt;0,ROUND(AH80,2),0)</f>
        <v>0</v>
      </c>
      <c r="U765" s="277"/>
      <c r="V765" s="278"/>
      <c r="W765" s="277"/>
      <c r="X765" s="277"/>
      <c r="Y765" s="277" t="e">
        <f t="shared" si="22"/>
        <v>#DIV/0!</v>
      </c>
      <c r="Z765" s="278"/>
      <c r="AA765" s="278"/>
      <c r="AB765" s="278"/>
      <c r="AC765" s="278"/>
      <c r="AD765" s="278"/>
      <c r="AE765" s="278"/>
      <c r="AF765" s="278"/>
      <c r="AG765" s="278"/>
      <c r="AH765" s="278"/>
      <c r="AI765" s="278"/>
      <c r="AJ765" s="278"/>
      <c r="AK765" s="278"/>
      <c r="AL765" s="278"/>
      <c r="AM765" s="278"/>
      <c r="AN765" s="278"/>
      <c r="AO765" s="278"/>
      <c r="AP765" s="278"/>
      <c r="AQ765" s="278"/>
      <c r="AR765" s="278"/>
      <c r="AS765" s="278"/>
      <c r="AT765" s="278"/>
      <c r="AU765" s="278"/>
      <c r="AV765" s="278"/>
      <c r="AW765" s="278"/>
      <c r="AX765" s="278"/>
      <c r="AY765" s="278"/>
      <c r="AZ765" s="278"/>
      <c r="BA765" s="278"/>
      <c r="BB765" s="278"/>
      <c r="BC765" s="278"/>
      <c r="BD765" s="278"/>
      <c r="BE765" s="278"/>
      <c r="BF765" s="278"/>
      <c r="BG765" s="278"/>
      <c r="BH765" s="278"/>
      <c r="BI765" s="278"/>
      <c r="BJ765" s="278"/>
      <c r="BK765" s="278"/>
      <c r="BL765" s="278"/>
      <c r="BM765" s="278"/>
      <c r="BN765" s="278"/>
      <c r="BO765" s="278"/>
      <c r="BP765" s="278"/>
      <c r="BQ765" s="278"/>
      <c r="BR765" s="278"/>
      <c r="BS765" s="278"/>
      <c r="BT765" s="278"/>
      <c r="BU765" s="278"/>
      <c r="BV765" s="278"/>
      <c r="BW765" s="278"/>
      <c r="BX765" s="278"/>
      <c r="BY765" s="278"/>
      <c r="BZ765" s="278"/>
      <c r="CA765" s="278"/>
      <c r="CB765" s="278"/>
      <c r="CC765" s="278"/>
      <c r="CD765" s="278"/>
      <c r="CE765" s="278"/>
    </row>
    <row r="766" spans="1:83" ht="12.65" customHeight="1" x14ac:dyDescent="0.35">
      <c r="A766" s="209" t="str">
        <f>RIGHT($C$83,3)&amp;"*"&amp;RIGHT($C$82,4)&amp;"*"&amp;AI$55&amp;"*"&amp;"A"</f>
        <v>008*2020*7250*A</v>
      </c>
      <c r="B766" s="277">
        <f>ROUND(AI59,0)</f>
        <v>0</v>
      </c>
      <c r="C766" s="279">
        <f>ROUND(AI60,2)</f>
        <v>0</v>
      </c>
      <c r="D766" s="277">
        <f>ROUND(AI61,0)</f>
        <v>0</v>
      </c>
      <c r="E766" s="277">
        <f>ROUND(AI62,0)</f>
        <v>0</v>
      </c>
      <c r="F766" s="277">
        <f>ROUND(AI63,0)</f>
        <v>0</v>
      </c>
      <c r="G766" s="277">
        <f>ROUND(AI64,0)</f>
        <v>0</v>
      </c>
      <c r="H766" s="277">
        <f>ROUND(AI65,0)</f>
        <v>0</v>
      </c>
      <c r="I766" s="277">
        <f>ROUND(AI66,0)</f>
        <v>0</v>
      </c>
      <c r="J766" s="277">
        <f>ROUND(AI67,0)</f>
        <v>0</v>
      </c>
      <c r="K766" s="277">
        <f>ROUND(AI68,0)</f>
        <v>0</v>
      </c>
      <c r="L766" s="277">
        <f>ROUND(AI69,0)</f>
        <v>0</v>
      </c>
      <c r="M766" s="277">
        <f>ROUND(AI70,0)</f>
        <v>0</v>
      </c>
      <c r="N766" s="277">
        <f>ROUND(AI75,0)</f>
        <v>0</v>
      </c>
      <c r="O766" s="277">
        <f>ROUND(AI73,0)</f>
        <v>0</v>
      </c>
      <c r="P766" s="277">
        <f>IF(AI76&gt;0,ROUND(AI76,0),0)</f>
        <v>0</v>
      </c>
      <c r="Q766" s="277">
        <f>IF(AI77&gt;0,ROUND(AI77,0),0)</f>
        <v>0</v>
      </c>
      <c r="R766" s="277">
        <f>IF(AI78&gt;0,ROUND(AI78,0),0)</f>
        <v>0</v>
      </c>
      <c r="S766" s="277">
        <f>IF(AI79&gt;0,ROUND(AI79,0),0)</f>
        <v>0</v>
      </c>
      <c r="T766" s="279">
        <f>IF(AI80&gt;0,ROUND(AI80,2),0)</f>
        <v>0</v>
      </c>
      <c r="U766" s="277"/>
      <c r="V766" s="278"/>
      <c r="W766" s="277"/>
      <c r="X766" s="277"/>
      <c r="Y766" s="277" t="e">
        <f t="shared" si="22"/>
        <v>#DIV/0!</v>
      </c>
      <c r="Z766" s="278"/>
      <c r="AA766" s="278"/>
      <c r="AB766" s="278"/>
      <c r="AC766" s="278"/>
      <c r="AD766" s="278"/>
      <c r="AE766" s="278"/>
      <c r="AF766" s="278"/>
      <c r="AG766" s="278"/>
      <c r="AH766" s="278"/>
      <c r="AI766" s="278"/>
      <c r="AJ766" s="278"/>
      <c r="AK766" s="278"/>
      <c r="AL766" s="278"/>
      <c r="AM766" s="278"/>
      <c r="AN766" s="278"/>
      <c r="AO766" s="278"/>
      <c r="AP766" s="278"/>
      <c r="AQ766" s="278"/>
      <c r="AR766" s="278"/>
      <c r="AS766" s="278"/>
      <c r="AT766" s="278"/>
      <c r="AU766" s="278"/>
      <c r="AV766" s="278"/>
      <c r="AW766" s="278"/>
      <c r="AX766" s="278"/>
      <c r="AY766" s="278"/>
      <c r="AZ766" s="278"/>
      <c r="BA766" s="278"/>
      <c r="BB766" s="278"/>
      <c r="BC766" s="278"/>
      <c r="BD766" s="278"/>
      <c r="BE766" s="278"/>
      <c r="BF766" s="278"/>
      <c r="BG766" s="278"/>
      <c r="BH766" s="278"/>
      <c r="BI766" s="278"/>
      <c r="BJ766" s="278"/>
      <c r="BK766" s="278"/>
      <c r="BL766" s="278"/>
      <c r="BM766" s="278"/>
      <c r="BN766" s="278"/>
      <c r="BO766" s="278"/>
      <c r="BP766" s="278"/>
      <c r="BQ766" s="278"/>
      <c r="BR766" s="278"/>
      <c r="BS766" s="278"/>
      <c r="BT766" s="278"/>
      <c r="BU766" s="278"/>
      <c r="BV766" s="278"/>
      <c r="BW766" s="278"/>
      <c r="BX766" s="278"/>
      <c r="BY766" s="278"/>
      <c r="BZ766" s="278"/>
      <c r="CA766" s="278"/>
      <c r="CB766" s="278"/>
      <c r="CC766" s="278"/>
      <c r="CD766" s="278"/>
      <c r="CE766" s="278"/>
    </row>
    <row r="767" spans="1:83" ht="12.65" customHeight="1" x14ac:dyDescent="0.35">
      <c r="A767" s="209" t="str">
        <f>RIGHT($C$83,3)&amp;"*"&amp;RIGHT($C$82,4)&amp;"*"&amp;AJ$55&amp;"*"&amp;"A"</f>
        <v>008*2020*7260*A</v>
      </c>
      <c r="B767" s="277">
        <f>ROUND(AJ59,0)</f>
        <v>24137</v>
      </c>
      <c r="C767" s="279">
        <f>ROUND(AJ60,2)</f>
        <v>39.549999999999997</v>
      </c>
      <c r="D767" s="277">
        <f>ROUND(AJ61,0)</f>
        <v>3190468</v>
      </c>
      <c r="E767" s="277">
        <f>ROUND(AJ62,0)</f>
        <v>698603</v>
      </c>
      <c r="F767" s="277">
        <f>ROUND(AJ63,0)</f>
        <v>195035</v>
      </c>
      <c r="G767" s="277">
        <f>ROUND(AJ64,0)</f>
        <v>190682</v>
      </c>
      <c r="H767" s="277">
        <f>ROUND(AJ65,0)</f>
        <v>44247</v>
      </c>
      <c r="I767" s="277">
        <f>ROUND(AJ66,0)</f>
        <v>138618</v>
      </c>
      <c r="J767" s="277">
        <f>ROUND(AJ67,0)</f>
        <v>168907</v>
      </c>
      <c r="K767" s="277">
        <f>ROUND(AJ68,0)</f>
        <v>9708</v>
      </c>
      <c r="L767" s="277">
        <f>ROUND(AJ69,0)</f>
        <v>120718</v>
      </c>
      <c r="M767" s="277">
        <f>ROUND(AJ70,0)</f>
        <v>0</v>
      </c>
      <c r="N767" s="277">
        <f>ROUND(AJ75,0)</f>
        <v>5949446</v>
      </c>
      <c r="O767" s="277">
        <f>ROUND(AJ73,0)</f>
        <v>0</v>
      </c>
      <c r="P767" s="277">
        <f>IF(AJ76&gt;0,ROUND(AJ76,0),0)</f>
        <v>11999</v>
      </c>
      <c r="Q767" s="277">
        <f>IF(AJ77&gt;0,ROUND(AJ77,0),0)</f>
        <v>0</v>
      </c>
      <c r="R767" s="277">
        <f>IF(AJ78&gt;0,ROUND(AJ78,0),0)</f>
        <v>0</v>
      </c>
      <c r="S767" s="277">
        <f>IF(AJ79&gt;0,ROUND(AJ79,0),0)</f>
        <v>0</v>
      </c>
      <c r="T767" s="279">
        <f>IF(AJ80&gt;0,ROUND(AJ80,2),0)</f>
        <v>1</v>
      </c>
      <c r="U767" s="277"/>
      <c r="V767" s="278"/>
      <c r="W767" s="277"/>
      <c r="X767" s="277"/>
      <c r="Y767" s="277" t="e">
        <f t="shared" si="22"/>
        <v>#DIV/0!</v>
      </c>
      <c r="Z767" s="278"/>
      <c r="AA767" s="278"/>
      <c r="AB767" s="278"/>
      <c r="AC767" s="278"/>
      <c r="AD767" s="278"/>
      <c r="AE767" s="278"/>
      <c r="AF767" s="278"/>
      <c r="AG767" s="278"/>
      <c r="AH767" s="278"/>
      <c r="AI767" s="278"/>
      <c r="AJ767" s="278"/>
      <c r="AK767" s="278"/>
      <c r="AL767" s="278"/>
      <c r="AM767" s="278"/>
      <c r="AN767" s="278"/>
      <c r="AO767" s="278"/>
      <c r="AP767" s="278"/>
      <c r="AQ767" s="278"/>
      <c r="AR767" s="278"/>
      <c r="AS767" s="278"/>
      <c r="AT767" s="278"/>
      <c r="AU767" s="278"/>
      <c r="AV767" s="278"/>
      <c r="AW767" s="278"/>
      <c r="AX767" s="278"/>
      <c r="AY767" s="278"/>
      <c r="AZ767" s="278"/>
      <c r="BA767" s="278"/>
      <c r="BB767" s="278"/>
      <c r="BC767" s="278"/>
      <c r="BD767" s="278"/>
      <c r="BE767" s="278"/>
      <c r="BF767" s="278"/>
      <c r="BG767" s="278"/>
      <c r="BH767" s="278"/>
      <c r="BI767" s="278"/>
      <c r="BJ767" s="278"/>
      <c r="BK767" s="278"/>
      <c r="BL767" s="278"/>
      <c r="BM767" s="278"/>
      <c r="BN767" s="278"/>
      <c r="BO767" s="278"/>
      <c r="BP767" s="278"/>
      <c r="BQ767" s="278"/>
      <c r="BR767" s="278"/>
      <c r="BS767" s="278"/>
      <c r="BT767" s="278"/>
      <c r="BU767" s="278"/>
      <c r="BV767" s="278"/>
      <c r="BW767" s="278"/>
      <c r="BX767" s="278"/>
      <c r="BY767" s="278"/>
      <c r="BZ767" s="278"/>
      <c r="CA767" s="278"/>
      <c r="CB767" s="278"/>
      <c r="CC767" s="278"/>
      <c r="CD767" s="278"/>
      <c r="CE767" s="278"/>
    </row>
    <row r="768" spans="1:83" ht="12.65" customHeight="1" x14ac:dyDescent="0.35">
      <c r="A768" s="209" t="str">
        <f>RIGHT($C$83,3)&amp;"*"&amp;RIGHT($C$82,4)&amp;"*"&amp;AK$55&amp;"*"&amp;"A"</f>
        <v>008*2020*7310*A</v>
      </c>
      <c r="B768" s="277">
        <f>ROUND(AK59,0)</f>
        <v>0</v>
      </c>
      <c r="C768" s="279">
        <f>ROUND(AK60,2)</f>
        <v>0</v>
      </c>
      <c r="D768" s="277">
        <f>ROUND(AK61,0)</f>
        <v>0</v>
      </c>
      <c r="E768" s="277">
        <f>ROUND(AK62,0)</f>
        <v>0</v>
      </c>
      <c r="F768" s="277">
        <f>ROUND(AK63,0)</f>
        <v>0</v>
      </c>
      <c r="G768" s="277">
        <f>ROUND(AK64,0)</f>
        <v>0</v>
      </c>
      <c r="H768" s="277">
        <f>ROUND(AK65,0)</f>
        <v>0</v>
      </c>
      <c r="I768" s="277">
        <f>ROUND(AK66,0)</f>
        <v>0</v>
      </c>
      <c r="J768" s="277">
        <f>ROUND(AK67,0)</f>
        <v>0</v>
      </c>
      <c r="K768" s="277">
        <f>ROUND(AK68,0)</f>
        <v>0</v>
      </c>
      <c r="L768" s="277">
        <f>ROUND(AK69,0)</f>
        <v>0</v>
      </c>
      <c r="M768" s="277">
        <f>ROUND(AK70,0)</f>
        <v>0</v>
      </c>
      <c r="N768" s="277">
        <f>ROUND(AK75,0)</f>
        <v>246133</v>
      </c>
      <c r="O768" s="277">
        <f>ROUND(AK73,0)</f>
        <v>78039</v>
      </c>
      <c r="P768" s="277">
        <f>IF(AK76&gt;0,ROUND(AK76,0),0)</f>
        <v>0</v>
      </c>
      <c r="Q768" s="277">
        <f>IF(AK77&gt;0,ROUND(AK77,0),0)</f>
        <v>0</v>
      </c>
      <c r="R768" s="277">
        <f>IF(AK78&gt;0,ROUND(AK78,0),0)</f>
        <v>0</v>
      </c>
      <c r="S768" s="277">
        <f>IF(AK79&gt;0,ROUND(AK79,0),0)</f>
        <v>0</v>
      </c>
      <c r="T768" s="279">
        <f>IF(AK80&gt;0,ROUND(AK80,2),0)</f>
        <v>0</v>
      </c>
      <c r="U768" s="277"/>
      <c r="V768" s="278"/>
      <c r="W768" s="277"/>
      <c r="X768" s="277"/>
      <c r="Y768" s="277" t="e">
        <f t="shared" si="22"/>
        <v>#DIV/0!</v>
      </c>
      <c r="Z768" s="278"/>
      <c r="AA768" s="278"/>
      <c r="AB768" s="278"/>
      <c r="AC768" s="278"/>
      <c r="AD768" s="278"/>
      <c r="AE768" s="278"/>
      <c r="AF768" s="278"/>
      <c r="AG768" s="278"/>
      <c r="AH768" s="278"/>
      <c r="AI768" s="278"/>
      <c r="AJ768" s="278"/>
      <c r="AK768" s="278"/>
      <c r="AL768" s="278"/>
      <c r="AM768" s="278"/>
      <c r="AN768" s="278"/>
      <c r="AO768" s="278"/>
      <c r="AP768" s="278"/>
      <c r="AQ768" s="278"/>
      <c r="AR768" s="278"/>
      <c r="AS768" s="278"/>
      <c r="AT768" s="278"/>
      <c r="AU768" s="278"/>
      <c r="AV768" s="278"/>
      <c r="AW768" s="278"/>
      <c r="AX768" s="278"/>
      <c r="AY768" s="278"/>
      <c r="AZ768" s="278"/>
      <c r="BA768" s="278"/>
      <c r="BB768" s="278"/>
      <c r="BC768" s="278"/>
      <c r="BD768" s="278"/>
      <c r="BE768" s="278"/>
      <c r="BF768" s="278"/>
      <c r="BG768" s="278"/>
      <c r="BH768" s="278"/>
      <c r="BI768" s="278"/>
      <c r="BJ768" s="278"/>
      <c r="BK768" s="278"/>
      <c r="BL768" s="278"/>
      <c r="BM768" s="278"/>
      <c r="BN768" s="278"/>
      <c r="BO768" s="278"/>
      <c r="BP768" s="278"/>
      <c r="BQ768" s="278"/>
      <c r="BR768" s="278"/>
      <c r="BS768" s="278"/>
      <c r="BT768" s="278"/>
      <c r="BU768" s="278"/>
      <c r="BV768" s="278"/>
      <c r="BW768" s="278"/>
      <c r="BX768" s="278"/>
      <c r="BY768" s="278"/>
      <c r="BZ768" s="278"/>
      <c r="CA768" s="278"/>
      <c r="CB768" s="278"/>
      <c r="CC768" s="278"/>
      <c r="CD768" s="278"/>
      <c r="CE768" s="278"/>
    </row>
    <row r="769" spans="1:83" ht="12.65" customHeight="1" x14ac:dyDescent="0.35">
      <c r="A769" s="209" t="str">
        <f>RIGHT($C$83,3)&amp;"*"&amp;RIGHT($C$82,4)&amp;"*"&amp;AL$55&amp;"*"&amp;"A"</f>
        <v>008*2020*7320*A</v>
      </c>
      <c r="B769" s="277">
        <f>ROUND(AL59,0)</f>
        <v>0</v>
      </c>
      <c r="C769" s="279">
        <f>ROUND(AL60,2)</f>
        <v>0</v>
      </c>
      <c r="D769" s="277">
        <f>ROUND(AL61,0)</f>
        <v>0</v>
      </c>
      <c r="E769" s="277">
        <f>ROUND(AL62,0)</f>
        <v>0</v>
      </c>
      <c r="F769" s="277">
        <f>ROUND(AL63,0)</f>
        <v>0</v>
      </c>
      <c r="G769" s="277">
        <f>ROUND(AL64,0)</f>
        <v>0</v>
      </c>
      <c r="H769" s="277">
        <f>ROUND(AL65,0)</f>
        <v>0</v>
      </c>
      <c r="I769" s="277">
        <f>ROUND(AL66,0)</f>
        <v>0</v>
      </c>
      <c r="J769" s="277">
        <f>ROUND(AL67,0)</f>
        <v>0</v>
      </c>
      <c r="K769" s="277">
        <f>ROUND(AL68,0)</f>
        <v>0</v>
      </c>
      <c r="L769" s="277">
        <f>ROUND(AL69,0)</f>
        <v>0</v>
      </c>
      <c r="M769" s="277">
        <f>ROUND(AL70,0)</f>
        <v>0</v>
      </c>
      <c r="N769" s="277">
        <f>ROUND(AL75,0)</f>
        <v>0</v>
      </c>
      <c r="O769" s="277">
        <f>ROUND(AL73,0)</f>
        <v>0</v>
      </c>
      <c r="P769" s="277">
        <f>IF(AL76&gt;0,ROUND(AL76,0),0)</f>
        <v>0</v>
      </c>
      <c r="Q769" s="277">
        <f>IF(AL77&gt;0,ROUND(AL77,0),0)</f>
        <v>0</v>
      </c>
      <c r="R769" s="277">
        <f>IF(AL78&gt;0,ROUND(AL78,0),0)</f>
        <v>0</v>
      </c>
      <c r="S769" s="277">
        <f>IF(AL79&gt;0,ROUND(AL79,0),0)</f>
        <v>0</v>
      </c>
      <c r="T769" s="279">
        <f>IF(AL80&gt;0,ROUND(AL80,2),0)</f>
        <v>0</v>
      </c>
      <c r="U769" s="277"/>
      <c r="V769" s="278"/>
      <c r="W769" s="277"/>
      <c r="X769" s="277"/>
      <c r="Y769" s="277" t="e">
        <f t="shared" si="22"/>
        <v>#DIV/0!</v>
      </c>
      <c r="Z769" s="278"/>
      <c r="AA769" s="278"/>
      <c r="AB769" s="278"/>
      <c r="AC769" s="278"/>
      <c r="AD769" s="278"/>
      <c r="AE769" s="278"/>
      <c r="AF769" s="278"/>
      <c r="AG769" s="278"/>
      <c r="AH769" s="278"/>
      <c r="AI769" s="278"/>
      <c r="AJ769" s="278"/>
      <c r="AK769" s="278"/>
      <c r="AL769" s="278"/>
      <c r="AM769" s="278"/>
      <c r="AN769" s="278"/>
      <c r="AO769" s="278"/>
      <c r="AP769" s="278"/>
      <c r="AQ769" s="278"/>
      <c r="AR769" s="278"/>
      <c r="AS769" s="278"/>
      <c r="AT769" s="278"/>
      <c r="AU769" s="278"/>
      <c r="AV769" s="278"/>
      <c r="AW769" s="278"/>
      <c r="AX769" s="278"/>
      <c r="AY769" s="278"/>
      <c r="AZ769" s="278"/>
      <c r="BA769" s="278"/>
      <c r="BB769" s="278"/>
      <c r="BC769" s="278"/>
      <c r="BD769" s="278"/>
      <c r="BE769" s="278"/>
      <c r="BF769" s="278"/>
      <c r="BG769" s="278"/>
      <c r="BH769" s="278"/>
      <c r="BI769" s="278"/>
      <c r="BJ769" s="278"/>
      <c r="BK769" s="278"/>
      <c r="BL769" s="278"/>
      <c r="BM769" s="278"/>
      <c r="BN769" s="278"/>
      <c r="BO769" s="278"/>
      <c r="BP769" s="278"/>
      <c r="BQ769" s="278"/>
      <c r="BR769" s="278"/>
      <c r="BS769" s="278"/>
      <c r="BT769" s="278"/>
      <c r="BU769" s="278"/>
      <c r="BV769" s="278"/>
      <c r="BW769" s="278"/>
      <c r="BX769" s="278"/>
      <c r="BY769" s="278"/>
      <c r="BZ769" s="278"/>
      <c r="CA769" s="278"/>
      <c r="CB769" s="278"/>
      <c r="CC769" s="278"/>
      <c r="CD769" s="278"/>
      <c r="CE769" s="278"/>
    </row>
    <row r="770" spans="1:83" ht="12.65" customHeight="1" x14ac:dyDescent="0.35">
      <c r="A770" s="209" t="str">
        <f>RIGHT($C$83,3)&amp;"*"&amp;RIGHT($C$82,4)&amp;"*"&amp;AM$55&amp;"*"&amp;"A"</f>
        <v>008*2020*7330*A</v>
      </c>
      <c r="B770" s="277">
        <f>ROUND(AM59,0)</f>
        <v>0</v>
      </c>
      <c r="C770" s="279">
        <f>ROUND(AM60,2)</f>
        <v>0</v>
      </c>
      <c r="D770" s="277">
        <f>ROUND(AM61,0)</f>
        <v>0</v>
      </c>
      <c r="E770" s="277">
        <f>ROUND(AM62,0)</f>
        <v>0</v>
      </c>
      <c r="F770" s="277">
        <f>ROUND(AM63,0)</f>
        <v>0</v>
      </c>
      <c r="G770" s="277">
        <f>ROUND(AM64,0)</f>
        <v>0</v>
      </c>
      <c r="H770" s="277">
        <f>ROUND(AM65,0)</f>
        <v>0</v>
      </c>
      <c r="I770" s="277">
        <f>ROUND(AM66,0)</f>
        <v>0</v>
      </c>
      <c r="J770" s="277">
        <f>ROUND(AM67,0)</f>
        <v>0</v>
      </c>
      <c r="K770" s="277">
        <f>ROUND(AM68,0)</f>
        <v>0</v>
      </c>
      <c r="L770" s="277">
        <f>ROUND(AM69,0)</f>
        <v>0</v>
      </c>
      <c r="M770" s="277">
        <f>ROUND(AM70,0)</f>
        <v>0</v>
      </c>
      <c r="N770" s="277">
        <f>ROUND(AM75,0)</f>
        <v>0</v>
      </c>
      <c r="O770" s="277">
        <f>ROUND(AM73,0)</f>
        <v>0</v>
      </c>
      <c r="P770" s="277">
        <f>IF(AM76&gt;0,ROUND(AM76,0),0)</f>
        <v>0</v>
      </c>
      <c r="Q770" s="277">
        <f>IF(AM77&gt;0,ROUND(AM77,0),0)</f>
        <v>0</v>
      </c>
      <c r="R770" s="277">
        <f>IF(AM78&gt;0,ROUND(AM78,0),0)</f>
        <v>0</v>
      </c>
      <c r="S770" s="277">
        <f>IF(AM79&gt;0,ROUND(AM79,0),0)</f>
        <v>0</v>
      </c>
      <c r="T770" s="279">
        <f>IF(AM80&gt;0,ROUND(AM80,2),0)</f>
        <v>0</v>
      </c>
      <c r="U770" s="277"/>
      <c r="V770" s="278"/>
      <c r="W770" s="277"/>
      <c r="X770" s="277"/>
      <c r="Y770" s="277" t="e">
        <f t="shared" si="22"/>
        <v>#DIV/0!</v>
      </c>
      <c r="Z770" s="278"/>
      <c r="AA770" s="278"/>
      <c r="AB770" s="278"/>
      <c r="AC770" s="278"/>
      <c r="AD770" s="278"/>
      <c r="AE770" s="278"/>
      <c r="AF770" s="278"/>
      <c r="AG770" s="278"/>
      <c r="AH770" s="278"/>
      <c r="AI770" s="278"/>
      <c r="AJ770" s="278"/>
      <c r="AK770" s="278"/>
      <c r="AL770" s="278"/>
      <c r="AM770" s="278"/>
      <c r="AN770" s="278"/>
      <c r="AO770" s="278"/>
      <c r="AP770" s="278"/>
      <c r="AQ770" s="278"/>
      <c r="AR770" s="278"/>
      <c r="AS770" s="278"/>
      <c r="AT770" s="278"/>
      <c r="AU770" s="278"/>
      <c r="AV770" s="278"/>
      <c r="AW770" s="278"/>
      <c r="AX770" s="278"/>
      <c r="AY770" s="278"/>
      <c r="AZ770" s="278"/>
      <c r="BA770" s="278"/>
      <c r="BB770" s="278"/>
      <c r="BC770" s="278"/>
      <c r="BD770" s="278"/>
      <c r="BE770" s="278"/>
      <c r="BF770" s="278"/>
      <c r="BG770" s="278"/>
      <c r="BH770" s="278"/>
      <c r="BI770" s="278"/>
      <c r="BJ770" s="278"/>
      <c r="BK770" s="278"/>
      <c r="BL770" s="278"/>
      <c r="BM770" s="278"/>
      <c r="BN770" s="278"/>
      <c r="BO770" s="278"/>
      <c r="BP770" s="278"/>
      <c r="BQ770" s="278"/>
      <c r="BR770" s="278"/>
      <c r="BS770" s="278"/>
      <c r="BT770" s="278"/>
      <c r="BU770" s="278"/>
      <c r="BV770" s="278"/>
      <c r="BW770" s="278"/>
      <c r="BX770" s="278"/>
      <c r="BY770" s="278"/>
      <c r="BZ770" s="278"/>
      <c r="CA770" s="278"/>
      <c r="CB770" s="278"/>
      <c r="CC770" s="278"/>
      <c r="CD770" s="278"/>
      <c r="CE770" s="278"/>
    </row>
    <row r="771" spans="1:83" ht="12.65" customHeight="1" x14ac:dyDescent="0.35">
      <c r="A771" s="209" t="str">
        <f>RIGHT($C$83,3)&amp;"*"&amp;RIGHT($C$82,4)&amp;"*"&amp;AN$55&amp;"*"&amp;"A"</f>
        <v>008*2020*7340*A</v>
      </c>
      <c r="B771" s="277">
        <f>ROUND(AN59,0)</f>
        <v>0</v>
      </c>
      <c r="C771" s="279">
        <f>ROUND(AN60,2)</f>
        <v>0</v>
      </c>
      <c r="D771" s="277">
        <f>ROUND(AN61,0)</f>
        <v>0</v>
      </c>
      <c r="E771" s="277">
        <f>ROUND(AN62,0)</f>
        <v>0</v>
      </c>
      <c r="F771" s="277">
        <f>ROUND(AN63,0)</f>
        <v>0</v>
      </c>
      <c r="G771" s="277">
        <f>ROUND(AN64,0)</f>
        <v>0</v>
      </c>
      <c r="H771" s="277">
        <f>ROUND(AN65,0)</f>
        <v>0</v>
      </c>
      <c r="I771" s="277">
        <f>ROUND(AN66,0)</f>
        <v>0</v>
      </c>
      <c r="J771" s="277">
        <f>ROUND(AN67,0)</f>
        <v>0</v>
      </c>
      <c r="K771" s="277">
        <f>ROUND(AN68,0)</f>
        <v>0</v>
      </c>
      <c r="L771" s="277">
        <f>ROUND(AN69,0)</f>
        <v>0</v>
      </c>
      <c r="M771" s="277">
        <f>ROUND(AN70,0)</f>
        <v>0</v>
      </c>
      <c r="N771" s="277">
        <f>ROUND(AN75,0)</f>
        <v>0</v>
      </c>
      <c r="O771" s="277">
        <f>ROUND(AN73,0)</f>
        <v>0</v>
      </c>
      <c r="P771" s="277">
        <f>IF(AN76&gt;0,ROUND(AN76,0),0)</f>
        <v>0</v>
      </c>
      <c r="Q771" s="277">
        <f>IF(AN77&gt;0,ROUND(AN77,0),0)</f>
        <v>0</v>
      </c>
      <c r="R771" s="277">
        <f>IF(AN78&gt;0,ROUND(AN78,0),0)</f>
        <v>0</v>
      </c>
      <c r="S771" s="277">
        <f>IF(AN79&gt;0,ROUND(AN79,0),0)</f>
        <v>0</v>
      </c>
      <c r="T771" s="279">
        <f>IF(AN80&gt;0,ROUND(AN80,2),0)</f>
        <v>0</v>
      </c>
      <c r="U771" s="277"/>
      <c r="V771" s="278"/>
      <c r="W771" s="277"/>
      <c r="X771" s="277"/>
      <c r="Y771" s="277" t="e">
        <f t="shared" si="22"/>
        <v>#DIV/0!</v>
      </c>
      <c r="Z771" s="278"/>
      <c r="AA771" s="278"/>
      <c r="AB771" s="278"/>
      <c r="AC771" s="278"/>
      <c r="AD771" s="278"/>
      <c r="AE771" s="278"/>
      <c r="AF771" s="278"/>
      <c r="AG771" s="278"/>
      <c r="AH771" s="278"/>
      <c r="AI771" s="278"/>
      <c r="AJ771" s="278"/>
      <c r="AK771" s="278"/>
      <c r="AL771" s="278"/>
      <c r="AM771" s="278"/>
      <c r="AN771" s="278"/>
      <c r="AO771" s="278"/>
      <c r="AP771" s="278"/>
      <c r="AQ771" s="278"/>
      <c r="AR771" s="278"/>
      <c r="AS771" s="278"/>
      <c r="AT771" s="278"/>
      <c r="AU771" s="278"/>
      <c r="AV771" s="278"/>
      <c r="AW771" s="278"/>
      <c r="AX771" s="278"/>
      <c r="AY771" s="278"/>
      <c r="AZ771" s="278"/>
      <c r="BA771" s="278"/>
      <c r="BB771" s="278"/>
      <c r="BC771" s="278"/>
      <c r="BD771" s="278"/>
      <c r="BE771" s="278"/>
      <c r="BF771" s="278"/>
      <c r="BG771" s="278"/>
      <c r="BH771" s="278"/>
      <c r="BI771" s="278"/>
      <c r="BJ771" s="278"/>
      <c r="BK771" s="278"/>
      <c r="BL771" s="278"/>
      <c r="BM771" s="278"/>
      <c r="BN771" s="278"/>
      <c r="BO771" s="278"/>
      <c r="BP771" s="278"/>
      <c r="BQ771" s="278"/>
      <c r="BR771" s="278"/>
      <c r="BS771" s="278"/>
      <c r="BT771" s="278"/>
      <c r="BU771" s="278"/>
      <c r="BV771" s="278"/>
      <c r="BW771" s="278"/>
      <c r="BX771" s="278"/>
      <c r="BY771" s="278"/>
      <c r="BZ771" s="278"/>
      <c r="CA771" s="278"/>
      <c r="CB771" s="278"/>
      <c r="CC771" s="278"/>
      <c r="CD771" s="278"/>
      <c r="CE771" s="278"/>
    </row>
    <row r="772" spans="1:83" ht="12.65" customHeight="1" x14ac:dyDescent="0.35">
      <c r="A772" s="209" t="str">
        <f>RIGHT($C$83,3)&amp;"*"&amp;RIGHT($C$82,4)&amp;"*"&amp;AO$55&amp;"*"&amp;"A"</f>
        <v>008*2020*7350*A</v>
      </c>
      <c r="B772" s="277">
        <f>ROUND(AO59,0)</f>
        <v>0</v>
      </c>
      <c r="C772" s="279">
        <f>ROUND(AO60,2)</f>
        <v>0</v>
      </c>
      <c r="D772" s="277">
        <f>ROUND(AO61,0)</f>
        <v>0</v>
      </c>
      <c r="E772" s="277">
        <f>ROUND(AO62,0)</f>
        <v>0</v>
      </c>
      <c r="F772" s="277">
        <f>ROUND(AO63,0)</f>
        <v>0</v>
      </c>
      <c r="G772" s="277">
        <f>ROUND(AO64,0)</f>
        <v>0</v>
      </c>
      <c r="H772" s="277">
        <f>ROUND(AO65,0)</f>
        <v>0</v>
      </c>
      <c r="I772" s="277">
        <f>ROUND(AO66,0)</f>
        <v>0</v>
      </c>
      <c r="J772" s="277">
        <f>ROUND(AO67,0)</f>
        <v>0</v>
      </c>
      <c r="K772" s="277">
        <f>ROUND(AO68,0)</f>
        <v>0</v>
      </c>
      <c r="L772" s="277">
        <f>ROUND(AO69,0)</f>
        <v>0</v>
      </c>
      <c r="M772" s="277">
        <f>ROUND(AO70,0)</f>
        <v>0</v>
      </c>
      <c r="N772" s="277">
        <f>ROUND(AO75,0)</f>
        <v>0</v>
      </c>
      <c r="O772" s="277">
        <f>ROUND(AO73,0)</f>
        <v>0</v>
      </c>
      <c r="P772" s="277">
        <f>IF(AO76&gt;0,ROUND(AO76,0),0)</f>
        <v>0</v>
      </c>
      <c r="Q772" s="277">
        <f>IF(AO77&gt;0,ROUND(AO77,0),0)</f>
        <v>0</v>
      </c>
      <c r="R772" s="277">
        <f>IF(AO78&gt;0,ROUND(AO78,0),0)</f>
        <v>0</v>
      </c>
      <c r="S772" s="277">
        <f>IF(AO79&gt;0,ROUND(AO79,0),0)</f>
        <v>0</v>
      </c>
      <c r="T772" s="279">
        <f>IF(AO80&gt;0,ROUND(AO80,2),0)</f>
        <v>0</v>
      </c>
      <c r="U772" s="277"/>
      <c r="V772" s="278"/>
      <c r="W772" s="277"/>
      <c r="X772" s="277"/>
      <c r="Y772" s="277" t="e">
        <f t="shared" si="22"/>
        <v>#DIV/0!</v>
      </c>
      <c r="Z772" s="278"/>
      <c r="AA772" s="278"/>
      <c r="AB772" s="278"/>
      <c r="AC772" s="278"/>
      <c r="AD772" s="278"/>
      <c r="AE772" s="278"/>
      <c r="AF772" s="278"/>
      <c r="AG772" s="278"/>
      <c r="AH772" s="278"/>
      <c r="AI772" s="278"/>
      <c r="AJ772" s="278"/>
      <c r="AK772" s="278"/>
      <c r="AL772" s="278"/>
      <c r="AM772" s="278"/>
      <c r="AN772" s="278"/>
      <c r="AO772" s="278"/>
      <c r="AP772" s="278"/>
      <c r="AQ772" s="278"/>
      <c r="AR772" s="278"/>
      <c r="AS772" s="278"/>
      <c r="AT772" s="278"/>
      <c r="AU772" s="278"/>
      <c r="AV772" s="278"/>
      <c r="AW772" s="278"/>
      <c r="AX772" s="278"/>
      <c r="AY772" s="278"/>
      <c r="AZ772" s="278"/>
      <c r="BA772" s="278"/>
      <c r="BB772" s="278"/>
      <c r="BC772" s="278"/>
      <c r="BD772" s="278"/>
      <c r="BE772" s="278"/>
      <c r="BF772" s="278"/>
      <c r="BG772" s="278"/>
      <c r="BH772" s="278"/>
      <c r="BI772" s="278"/>
      <c r="BJ772" s="278"/>
      <c r="BK772" s="278"/>
      <c r="BL772" s="278"/>
      <c r="BM772" s="278"/>
      <c r="BN772" s="278"/>
      <c r="BO772" s="278"/>
      <c r="BP772" s="278"/>
      <c r="BQ772" s="278"/>
      <c r="BR772" s="278"/>
      <c r="BS772" s="278"/>
      <c r="BT772" s="278"/>
      <c r="BU772" s="278"/>
      <c r="BV772" s="278"/>
      <c r="BW772" s="278"/>
      <c r="BX772" s="278"/>
      <c r="BY772" s="278"/>
      <c r="BZ772" s="278"/>
      <c r="CA772" s="278"/>
      <c r="CB772" s="278"/>
      <c r="CC772" s="278"/>
      <c r="CD772" s="278"/>
      <c r="CE772" s="278"/>
    </row>
    <row r="773" spans="1:83" ht="12.65" customHeight="1" x14ac:dyDescent="0.35">
      <c r="A773" s="209" t="str">
        <f>RIGHT($C$83,3)&amp;"*"&amp;RIGHT($C$82,4)&amp;"*"&amp;AP$55&amp;"*"&amp;"A"</f>
        <v>008*2020*7380*A</v>
      </c>
      <c r="B773" s="277">
        <f>ROUND(AP59,0)</f>
        <v>0</v>
      </c>
      <c r="C773" s="279">
        <f>ROUND(AP60,2)</f>
        <v>0</v>
      </c>
      <c r="D773" s="277">
        <f>ROUND(AP61,0)</f>
        <v>0</v>
      </c>
      <c r="E773" s="277">
        <f>ROUND(AP62,0)</f>
        <v>0</v>
      </c>
      <c r="F773" s="277">
        <f>ROUND(AP63,0)</f>
        <v>0</v>
      </c>
      <c r="G773" s="277">
        <f>ROUND(AP64,0)</f>
        <v>0</v>
      </c>
      <c r="H773" s="277">
        <f>ROUND(AP65,0)</f>
        <v>0</v>
      </c>
      <c r="I773" s="277">
        <f>ROUND(AP66,0)</f>
        <v>0</v>
      </c>
      <c r="J773" s="277">
        <f>ROUND(AP67,0)</f>
        <v>0</v>
      </c>
      <c r="K773" s="277">
        <f>ROUND(AP68,0)</f>
        <v>0</v>
      </c>
      <c r="L773" s="277">
        <f>ROUND(AP69,0)</f>
        <v>0</v>
      </c>
      <c r="M773" s="277">
        <f>ROUND(AP70,0)</f>
        <v>0</v>
      </c>
      <c r="N773" s="277">
        <f>ROUND(AP75,0)</f>
        <v>0</v>
      </c>
      <c r="O773" s="277">
        <f>ROUND(AP73,0)</f>
        <v>0</v>
      </c>
      <c r="P773" s="277">
        <f>IF(AP76&gt;0,ROUND(AP76,0),0)</f>
        <v>0</v>
      </c>
      <c r="Q773" s="277">
        <f>IF(AP77&gt;0,ROUND(AP77,0),0)</f>
        <v>0</v>
      </c>
      <c r="R773" s="277">
        <f>IF(AP78&gt;0,ROUND(AP78,0),0)</f>
        <v>0</v>
      </c>
      <c r="S773" s="277">
        <f>IF(AP79&gt;0,ROUND(AP79,0),0)</f>
        <v>0</v>
      </c>
      <c r="T773" s="279">
        <f>IF(AP80&gt;0,ROUND(AP80,2),0)</f>
        <v>0</v>
      </c>
      <c r="U773" s="277"/>
      <c r="V773" s="278"/>
      <c r="W773" s="277"/>
      <c r="X773" s="277"/>
      <c r="Y773" s="277" t="e">
        <f t="shared" si="22"/>
        <v>#DIV/0!</v>
      </c>
      <c r="Z773" s="278"/>
      <c r="AA773" s="278"/>
      <c r="AB773" s="278"/>
      <c r="AC773" s="278"/>
      <c r="AD773" s="278"/>
      <c r="AE773" s="278"/>
      <c r="AF773" s="278"/>
      <c r="AG773" s="278"/>
      <c r="AH773" s="278"/>
      <c r="AI773" s="278"/>
      <c r="AJ773" s="278"/>
      <c r="AK773" s="278"/>
      <c r="AL773" s="278"/>
      <c r="AM773" s="278"/>
      <c r="AN773" s="278"/>
      <c r="AO773" s="278"/>
      <c r="AP773" s="278"/>
      <c r="AQ773" s="278"/>
      <c r="AR773" s="278"/>
      <c r="AS773" s="278"/>
      <c r="AT773" s="278"/>
      <c r="AU773" s="278"/>
      <c r="AV773" s="278"/>
      <c r="AW773" s="278"/>
      <c r="AX773" s="278"/>
      <c r="AY773" s="278"/>
      <c r="AZ773" s="278"/>
      <c r="BA773" s="278"/>
      <c r="BB773" s="278"/>
      <c r="BC773" s="278"/>
      <c r="BD773" s="278"/>
      <c r="BE773" s="278"/>
      <c r="BF773" s="278"/>
      <c r="BG773" s="278"/>
      <c r="BH773" s="278"/>
      <c r="BI773" s="278"/>
      <c r="BJ773" s="278"/>
      <c r="BK773" s="278"/>
      <c r="BL773" s="278"/>
      <c r="BM773" s="278"/>
      <c r="BN773" s="278"/>
      <c r="BO773" s="278"/>
      <c r="BP773" s="278"/>
      <c r="BQ773" s="278"/>
      <c r="BR773" s="278"/>
      <c r="BS773" s="278"/>
      <c r="BT773" s="278"/>
      <c r="BU773" s="278"/>
      <c r="BV773" s="278"/>
      <c r="BW773" s="278"/>
      <c r="BX773" s="278"/>
      <c r="BY773" s="278"/>
      <c r="BZ773" s="278"/>
      <c r="CA773" s="278"/>
      <c r="CB773" s="278"/>
      <c r="CC773" s="278"/>
      <c r="CD773" s="278"/>
      <c r="CE773" s="278"/>
    </row>
    <row r="774" spans="1:83" ht="12.65" customHeight="1" x14ac:dyDescent="0.35">
      <c r="A774" s="209" t="str">
        <f>RIGHT($C$83,3)&amp;"*"&amp;RIGHT($C$82,4)&amp;"*"&amp;AQ$55&amp;"*"&amp;"A"</f>
        <v>008*2020*7390*A</v>
      </c>
      <c r="B774" s="277">
        <f>ROUND(AQ59,0)</f>
        <v>0</v>
      </c>
      <c r="C774" s="279">
        <f>ROUND(AQ60,2)</f>
        <v>0</v>
      </c>
      <c r="D774" s="277">
        <f>ROUND(AQ61,0)</f>
        <v>0</v>
      </c>
      <c r="E774" s="277">
        <f>ROUND(AQ62,0)</f>
        <v>0</v>
      </c>
      <c r="F774" s="277">
        <f>ROUND(AQ63,0)</f>
        <v>0</v>
      </c>
      <c r="G774" s="277">
        <f>ROUND(AQ64,0)</f>
        <v>0</v>
      </c>
      <c r="H774" s="277">
        <f>ROUND(AQ65,0)</f>
        <v>0</v>
      </c>
      <c r="I774" s="277">
        <f>ROUND(AQ66,0)</f>
        <v>0</v>
      </c>
      <c r="J774" s="277">
        <f>ROUND(AQ67,0)</f>
        <v>0</v>
      </c>
      <c r="K774" s="277">
        <f>ROUND(AQ68,0)</f>
        <v>0</v>
      </c>
      <c r="L774" s="277">
        <f>ROUND(AQ69,0)</f>
        <v>0</v>
      </c>
      <c r="M774" s="277">
        <f>ROUND(AQ70,0)</f>
        <v>0</v>
      </c>
      <c r="N774" s="277">
        <f>ROUND(AQ75,0)</f>
        <v>0</v>
      </c>
      <c r="O774" s="277">
        <f>ROUND(AQ73,0)</f>
        <v>0</v>
      </c>
      <c r="P774" s="277">
        <f>IF(AQ76&gt;0,ROUND(AQ76,0),0)</f>
        <v>0</v>
      </c>
      <c r="Q774" s="277">
        <f>IF(AQ77&gt;0,ROUND(AQ77,0),0)</f>
        <v>0</v>
      </c>
      <c r="R774" s="277">
        <f>IF(AQ78&gt;0,ROUND(AQ78,0),0)</f>
        <v>0</v>
      </c>
      <c r="S774" s="277">
        <f>IF(AQ79&gt;0,ROUND(AQ79,0),0)</f>
        <v>0</v>
      </c>
      <c r="T774" s="279">
        <f>IF(AQ80&gt;0,ROUND(AQ80,2),0)</f>
        <v>0</v>
      </c>
      <c r="U774" s="277"/>
      <c r="V774" s="278"/>
      <c r="W774" s="277"/>
      <c r="X774" s="277"/>
      <c r="Y774" s="277" t="e">
        <f t="shared" si="22"/>
        <v>#DIV/0!</v>
      </c>
      <c r="Z774" s="278"/>
      <c r="AA774" s="278"/>
      <c r="AB774" s="278"/>
      <c r="AC774" s="278"/>
      <c r="AD774" s="278"/>
      <c r="AE774" s="278"/>
      <c r="AF774" s="278"/>
      <c r="AG774" s="278"/>
      <c r="AH774" s="278"/>
      <c r="AI774" s="278"/>
      <c r="AJ774" s="278"/>
      <c r="AK774" s="278"/>
      <c r="AL774" s="278"/>
      <c r="AM774" s="278"/>
      <c r="AN774" s="278"/>
      <c r="AO774" s="278"/>
      <c r="AP774" s="278"/>
      <c r="AQ774" s="278"/>
      <c r="AR774" s="278"/>
      <c r="AS774" s="278"/>
      <c r="AT774" s="278"/>
      <c r="AU774" s="278"/>
      <c r="AV774" s="278"/>
      <c r="AW774" s="278"/>
      <c r="AX774" s="278"/>
      <c r="AY774" s="278"/>
      <c r="AZ774" s="278"/>
      <c r="BA774" s="278"/>
      <c r="BB774" s="278"/>
      <c r="BC774" s="278"/>
      <c r="BD774" s="278"/>
      <c r="BE774" s="278"/>
      <c r="BF774" s="278"/>
      <c r="BG774" s="278"/>
      <c r="BH774" s="278"/>
      <c r="BI774" s="278"/>
      <c r="BJ774" s="278"/>
      <c r="BK774" s="278"/>
      <c r="BL774" s="278"/>
      <c r="BM774" s="278"/>
      <c r="BN774" s="278"/>
      <c r="BO774" s="278"/>
      <c r="BP774" s="278"/>
      <c r="BQ774" s="278"/>
      <c r="BR774" s="278"/>
      <c r="BS774" s="278"/>
      <c r="BT774" s="278"/>
      <c r="BU774" s="278"/>
      <c r="BV774" s="278"/>
      <c r="BW774" s="278"/>
      <c r="BX774" s="278"/>
      <c r="BY774" s="278"/>
      <c r="BZ774" s="278"/>
      <c r="CA774" s="278"/>
      <c r="CB774" s="278"/>
      <c r="CC774" s="278"/>
      <c r="CD774" s="278"/>
      <c r="CE774" s="278"/>
    </row>
    <row r="775" spans="1:83" ht="12.65" customHeight="1" x14ac:dyDescent="0.35">
      <c r="A775" s="209" t="str">
        <f>RIGHT($C$83,3)&amp;"*"&amp;RIGHT($C$82,4)&amp;"*"&amp;AR$55&amp;"*"&amp;"A"</f>
        <v>008*2020*7400*A</v>
      </c>
      <c r="B775" s="277">
        <f>ROUND(AR59,0)</f>
        <v>37</v>
      </c>
      <c r="C775" s="279">
        <f>ROUND(AR60,2)</f>
        <v>1.24</v>
      </c>
      <c r="D775" s="277">
        <f>ROUND(AR61,0)</f>
        <v>87188</v>
      </c>
      <c r="E775" s="277">
        <f>ROUND(AR62,0)</f>
        <v>26260</v>
      </c>
      <c r="F775" s="277">
        <f>ROUND(AR63,0)</f>
        <v>0</v>
      </c>
      <c r="G775" s="277">
        <f>ROUND(AR64,0)</f>
        <v>6613</v>
      </c>
      <c r="H775" s="277">
        <f>ROUND(AR65,0)</f>
        <v>0</v>
      </c>
      <c r="I775" s="277">
        <f>ROUND(AR66,0)</f>
        <v>3853</v>
      </c>
      <c r="J775" s="277">
        <f>ROUND(AR67,0)</f>
        <v>0</v>
      </c>
      <c r="K775" s="277">
        <f>ROUND(AR68,0)</f>
        <v>17</v>
      </c>
      <c r="L775" s="277">
        <f>ROUND(AR69,0)</f>
        <v>4095</v>
      </c>
      <c r="M775" s="277">
        <f>ROUND(AR70,0)</f>
        <v>0</v>
      </c>
      <c r="N775" s="277">
        <f>ROUND(AR75,0)</f>
        <v>212705</v>
      </c>
      <c r="O775" s="277">
        <f>ROUND(AR73,0)</f>
        <v>0</v>
      </c>
      <c r="P775" s="277">
        <f>IF(AR76&gt;0,ROUND(AR76,0),0)</f>
        <v>722</v>
      </c>
      <c r="Q775" s="277">
        <f>IF(AR77&gt;0,ROUND(AR77,0),0)</f>
        <v>0</v>
      </c>
      <c r="R775" s="277">
        <f>IF(AR78&gt;0,ROUND(AR78,0),0)</f>
        <v>0</v>
      </c>
      <c r="S775" s="277">
        <f>IF(AR79&gt;0,ROUND(AR79,0),0)</f>
        <v>0</v>
      </c>
      <c r="T775" s="279">
        <f>IF(AR80&gt;0,ROUND(AR80,2),0)</f>
        <v>0.2</v>
      </c>
      <c r="U775" s="277"/>
      <c r="V775" s="278"/>
      <c r="W775" s="277"/>
      <c r="X775" s="277"/>
      <c r="Y775" s="277" t="e">
        <f t="shared" si="22"/>
        <v>#DIV/0!</v>
      </c>
      <c r="Z775" s="278"/>
      <c r="AA775" s="278"/>
      <c r="AB775" s="278"/>
      <c r="AC775" s="278"/>
      <c r="AD775" s="278"/>
      <c r="AE775" s="278"/>
      <c r="AF775" s="278"/>
      <c r="AG775" s="278"/>
      <c r="AH775" s="278"/>
      <c r="AI775" s="278"/>
      <c r="AJ775" s="278"/>
      <c r="AK775" s="278"/>
      <c r="AL775" s="278"/>
      <c r="AM775" s="278"/>
      <c r="AN775" s="278"/>
      <c r="AO775" s="278"/>
      <c r="AP775" s="278"/>
      <c r="AQ775" s="278"/>
      <c r="AR775" s="278"/>
      <c r="AS775" s="278"/>
      <c r="AT775" s="278"/>
      <c r="AU775" s="278"/>
      <c r="AV775" s="278"/>
      <c r="AW775" s="278"/>
      <c r="AX775" s="278"/>
      <c r="AY775" s="278"/>
      <c r="AZ775" s="278"/>
      <c r="BA775" s="278"/>
      <c r="BB775" s="278"/>
      <c r="BC775" s="278"/>
      <c r="BD775" s="278"/>
      <c r="BE775" s="278"/>
      <c r="BF775" s="278"/>
      <c r="BG775" s="278"/>
      <c r="BH775" s="278"/>
      <c r="BI775" s="278"/>
      <c r="BJ775" s="278"/>
      <c r="BK775" s="278"/>
      <c r="BL775" s="278"/>
      <c r="BM775" s="278"/>
      <c r="BN775" s="278"/>
      <c r="BO775" s="278"/>
      <c r="BP775" s="278"/>
      <c r="BQ775" s="278"/>
      <c r="BR775" s="278"/>
      <c r="BS775" s="278"/>
      <c r="BT775" s="278"/>
      <c r="BU775" s="278"/>
      <c r="BV775" s="278"/>
      <c r="BW775" s="278"/>
      <c r="BX775" s="278"/>
      <c r="BY775" s="278"/>
      <c r="BZ775" s="278"/>
      <c r="CA775" s="278"/>
      <c r="CB775" s="278"/>
      <c r="CC775" s="278"/>
      <c r="CD775" s="278"/>
      <c r="CE775" s="278"/>
    </row>
    <row r="776" spans="1:83" ht="12.65" customHeight="1" x14ac:dyDescent="0.35">
      <c r="A776" s="209" t="str">
        <f>RIGHT($C$83,3)&amp;"*"&amp;RIGHT($C$82,4)&amp;"*"&amp;AS$55&amp;"*"&amp;"A"</f>
        <v>008*2020*7410*A</v>
      </c>
      <c r="B776" s="277">
        <f>ROUND(AS59,0)</f>
        <v>0</v>
      </c>
      <c r="C776" s="279">
        <f>ROUND(AS60,2)</f>
        <v>0</v>
      </c>
      <c r="D776" s="277">
        <f>ROUND(AS61,0)</f>
        <v>0</v>
      </c>
      <c r="E776" s="277">
        <f>ROUND(AS62,0)</f>
        <v>0</v>
      </c>
      <c r="F776" s="277">
        <f>ROUND(AS63,0)</f>
        <v>0</v>
      </c>
      <c r="G776" s="277">
        <f>ROUND(AS64,0)</f>
        <v>0</v>
      </c>
      <c r="H776" s="277">
        <f>ROUND(AS65,0)</f>
        <v>0</v>
      </c>
      <c r="I776" s="277">
        <f>ROUND(AS66,0)</f>
        <v>0</v>
      </c>
      <c r="J776" s="277">
        <f>ROUND(AS67,0)</f>
        <v>0</v>
      </c>
      <c r="K776" s="277">
        <f>ROUND(AS68,0)</f>
        <v>0</v>
      </c>
      <c r="L776" s="277">
        <f>ROUND(AS69,0)</f>
        <v>0</v>
      </c>
      <c r="M776" s="277">
        <f>ROUND(AS70,0)</f>
        <v>0</v>
      </c>
      <c r="N776" s="277">
        <f>ROUND(AS75,0)</f>
        <v>0</v>
      </c>
      <c r="O776" s="277">
        <f>ROUND(AS73,0)</f>
        <v>0</v>
      </c>
      <c r="P776" s="277">
        <f>IF(AS76&gt;0,ROUND(AS76,0),0)</f>
        <v>0</v>
      </c>
      <c r="Q776" s="277">
        <f>IF(AS77&gt;0,ROUND(AS77,0),0)</f>
        <v>0</v>
      </c>
      <c r="R776" s="277">
        <f>IF(AS78&gt;0,ROUND(AS78,0),0)</f>
        <v>0</v>
      </c>
      <c r="S776" s="277">
        <f>IF(AS79&gt;0,ROUND(AS79,0),0)</f>
        <v>0</v>
      </c>
      <c r="T776" s="279">
        <f>IF(AS80&gt;0,ROUND(AS80,2),0)</f>
        <v>0</v>
      </c>
      <c r="U776" s="277"/>
      <c r="V776" s="278"/>
      <c r="W776" s="277"/>
      <c r="X776" s="277"/>
      <c r="Y776" s="277" t="e">
        <f t="shared" si="22"/>
        <v>#DIV/0!</v>
      </c>
      <c r="Z776" s="278"/>
      <c r="AA776" s="278"/>
      <c r="AB776" s="278"/>
      <c r="AC776" s="278"/>
      <c r="AD776" s="278"/>
      <c r="AE776" s="278"/>
      <c r="AF776" s="278"/>
      <c r="AG776" s="278"/>
      <c r="AH776" s="278"/>
      <c r="AI776" s="278"/>
      <c r="AJ776" s="278"/>
      <c r="AK776" s="278"/>
      <c r="AL776" s="278"/>
      <c r="AM776" s="278"/>
      <c r="AN776" s="278"/>
      <c r="AO776" s="278"/>
      <c r="AP776" s="278"/>
      <c r="AQ776" s="278"/>
      <c r="AR776" s="278"/>
      <c r="AS776" s="278"/>
      <c r="AT776" s="278"/>
      <c r="AU776" s="278"/>
      <c r="AV776" s="278"/>
      <c r="AW776" s="278"/>
      <c r="AX776" s="278"/>
      <c r="AY776" s="278"/>
      <c r="AZ776" s="278"/>
      <c r="BA776" s="278"/>
      <c r="BB776" s="278"/>
      <c r="BC776" s="278"/>
      <c r="BD776" s="278"/>
      <c r="BE776" s="278"/>
      <c r="BF776" s="278"/>
      <c r="BG776" s="278"/>
      <c r="BH776" s="278"/>
      <c r="BI776" s="278"/>
      <c r="BJ776" s="278"/>
      <c r="BK776" s="278"/>
      <c r="BL776" s="278"/>
      <c r="BM776" s="278"/>
      <c r="BN776" s="278"/>
      <c r="BO776" s="278"/>
      <c r="BP776" s="278"/>
      <c r="BQ776" s="278"/>
      <c r="BR776" s="278"/>
      <c r="BS776" s="278"/>
      <c r="BT776" s="278"/>
      <c r="BU776" s="278"/>
      <c r="BV776" s="278"/>
      <c r="BW776" s="278"/>
      <c r="BX776" s="278"/>
      <c r="BY776" s="278"/>
      <c r="BZ776" s="278"/>
      <c r="CA776" s="278"/>
      <c r="CB776" s="278"/>
      <c r="CC776" s="278"/>
      <c r="CD776" s="278"/>
      <c r="CE776" s="278"/>
    </row>
    <row r="777" spans="1:83" ht="12.65" customHeight="1" x14ac:dyDescent="0.35">
      <c r="A777" s="209" t="str">
        <f>RIGHT($C$83,3)&amp;"*"&amp;RIGHT($C$82,4)&amp;"*"&amp;AT$55&amp;"*"&amp;"A"</f>
        <v>008*2020*7420*A</v>
      </c>
      <c r="B777" s="277">
        <f>ROUND(AT59,0)</f>
        <v>0</v>
      </c>
      <c r="C777" s="279">
        <f>ROUND(AT60,2)</f>
        <v>0</v>
      </c>
      <c r="D777" s="277">
        <f>ROUND(AT61,0)</f>
        <v>0</v>
      </c>
      <c r="E777" s="277">
        <f>ROUND(AT62,0)</f>
        <v>0</v>
      </c>
      <c r="F777" s="277">
        <f>ROUND(AT63,0)</f>
        <v>0</v>
      </c>
      <c r="G777" s="277">
        <f>ROUND(AT64,0)</f>
        <v>0</v>
      </c>
      <c r="H777" s="277">
        <f>ROUND(AT65,0)</f>
        <v>0</v>
      </c>
      <c r="I777" s="277">
        <f>ROUND(AT66,0)</f>
        <v>0</v>
      </c>
      <c r="J777" s="277">
        <f>ROUND(AT67,0)</f>
        <v>0</v>
      </c>
      <c r="K777" s="277">
        <f>ROUND(AT68,0)</f>
        <v>0</v>
      </c>
      <c r="L777" s="277">
        <f>ROUND(AT69,0)</f>
        <v>0</v>
      </c>
      <c r="M777" s="277">
        <f>ROUND(AT70,0)</f>
        <v>0</v>
      </c>
      <c r="N777" s="277">
        <f>ROUND(AT75,0)</f>
        <v>0</v>
      </c>
      <c r="O777" s="277">
        <f>ROUND(AT73,0)</f>
        <v>0</v>
      </c>
      <c r="P777" s="277">
        <f>IF(AT76&gt;0,ROUND(AT76,0),0)</f>
        <v>0</v>
      </c>
      <c r="Q777" s="277">
        <f>IF(AT77&gt;0,ROUND(AT77,0),0)</f>
        <v>0</v>
      </c>
      <c r="R777" s="277">
        <f>IF(AT78&gt;0,ROUND(AT78,0),0)</f>
        <v>0</v>
      </c>
      <c r="S777" s="277">
        <f>IF(AT79&gt;0,ROUND(AT79,0),0)</f>
        <v>0</v>
      </c>
      <c r="T777" s="279">
        <f>IF(AT80&gt;0,ROUND(AT80,2),0)</f>
        <v>0</v>
      </c>
      <c r="U777" s="277"/>
      <c r="V777" s="278"/>
      <c r="W777" s="277"/>
      <c r="X777" s="277"/>
      <c r="Y777" s="277" t="e">
        <f t="shared" si="22"/>
        <v>#DIV/0!</v>
      </c>
      <c r="Z777" s="278"/>
      <c r="AA777" s="278"/>
      <c r="AB777" s="278"/>
      <c r="AC777" s="278"/>
      <c r="AD777" s="278"/>
      <c r="AE777" s="278"/>
      <c r="AF777" s="278"/>
      <c r="AG777" s="278"/>
      <c r="AH777" s="278"/>
      <c r="AI777" s="278"/>
      <c r="AJ777" s="278"/>
      <c r="AK777" s="278"/>
      <c r="AL777" s="278"/>
      <c r="AM777" s="278"/>
      <c r="AN777" s="278"/>
      <c r="AO777" s="278"/>
      <c r="AP777" s="278"/>
      <c r="AQ777" s="278"/>
      <c r="AR777" s="278"/>
      <c r="AS777" s="278"/>
      <c r="AT777" s="278"/>
      <c r="AU777" s="278"/>
      <c r="AV777" s="278"/>
      <c r="AW777" s="278"/>
      <c r="AX777" s="278"/>
      <c r="AY777" s="278"/>
      <c r="AZ777" s="278"/>
      <c r="BA777" s="278"/>
      <c r="BB777" s="278"/>
      <c r="BC777" s="278"/>
      <c r="BD777" s="278"/>
      <c r="BE777" s="278"/>
      <c r="BF777" s="278"/>
      <c r="BG777" s="278"/>
      <c r="BH777" s="278"/>
      <c r="BI777" s="278"/>
      <c r="BJ777" s="278"/>
      <c r="BK777" s="278"/>
      <c r="BL777" s="278"/>
      <c r="BM777" s="278"/>
      <c r="BN777" s="278"/>
      <c r="BO777" s="278"/>
      <c r="BP777" s="278"/>
      <c r="BQ777" s="278"/>
      <c r="BR777" s="278"/>
      <c r="BS777" s="278"/>
      <c r="BT777" s="278"/>
      <c r="BU777" s="278"/>
      <c r="BV777" s="278"/>
      <c r="BW777" s="278"/>
      <c r="BX777" s="278"/>
      <c r="BY777" s="278"/>
      <c r="BZ777" s="278"/>
      <c r="CA777" s="278"/>
      <c r="CB777" s="278"/>
      <c r="CC777" s="278"/>
      <c r="CD777" s="278"/>
      <c r="CE777" s="278"/>
    </row>
    <row r="778" spans="1:83" ht="12.65" customHeight="1" x14ac:dyDescent="0.35">
      <c r="A778" s="209" t="str">
        <f>RIGHT($C$83,3)&amp;"*"&amp;RIGHT($C$82,4)&amp;"*"&amp;AU$55&amp;"*"&amp;"A"</f>
        <v>008*2020*7430*A</v>
      </c>
      <c r="B778" s="277">
        <f>ROUND(AU59,0)</f>
        <v>0</v>
      </c>
      <c r="C778" s="279">
        <f>ROUND(AU60,2)</f>
        <v>0</v>
      </c>
      <c r="D778" s="277">
        <f>ROUND(AU61,0)</f>
        <v>0</v>
      </c>
      <c r="E778" s="277">
        <f>ROUND(AU62,0)</f>
        <v>0</v>
      </c>
      <c r="F778" s="277">
        <f>ROUND(AU63,0)</f>
        <v>0</v>
      </c>
      <c r="G778" s="277">
        <f>ROUND(AU64,0)</f>
        <v>0</v>
      </c>
      <c r="H778" s="277">
        <f>ROUND(AU65,0)</f>
        <v>0</v>
      </c>
      <c r="I778" s="277">
        <f>ROUND(AU66,0)</f>
        <v>0</v>
      </c>
      <c r="J778" s="277">
        <f>ROUND(AU67,0)</f>
        <v>0</v>
      </c>
      <c r="K778" s="277">
        <f>ROUND(AU68,0)</f>
        <v>0</v>
      </c>
      <c r="L778" s="277">
        <f>ROUND(AU69,0)</f>
        <v>0</v>
      </c>
      <c r="M778" s="277">
        <f>ROUND(AU70,0)</f>
        <v>0</v>
      </c>
      <c r="N778" s="277">
        <f>ROUND(AU75,0)</f>
        <v>0</v>
      </c>
      <c r="O778" s="277">
        <f>ROUND(AU73,0)</f>
        <v>0</v>
      </c>
      <c r="P778" s="277">
        <f>IF(AU76&gt;0,ROUND(AU76,0),0)</f>
        <v>0</v>
      </c>
      <c r="Q778" s="277">
        <f>IF(AU77&gt;0,ROUND(AU77,0),0)</f>
        <v>0</v>
      </c>
      <c r="R778" s="277">
        <f>IF(AU78&gt;0,ROUND(AU78,0),0)</f>
        <v>0</v>
      </c>
      <c r="S778" s="277">
        <f>IF(AU79&gt;0,ROUND(AU79,0),0)</f>
        <v>0</v>
      </c>
      <c r="T778" s="279">
        <f>IF(AU80&gt;0,ROUND(AU80,2),0)</f>
        <v>0</v>
      </c>
      <c r="U778" s="277"/>
      <c r="V778" s="278"/>
      <c r="W778" s="277"/>
      <c r="X778" s="277"/>
      <c r="Y778" s="277" t="e">
        <f t="shared" si="22"/>
        <v>#DIV/0!</v>
      </c>
      <c r="Z778" s="278"/>
      <c r="AA778" s="278"/>
      <c r="AB778" s="278"/>
      <c r="AC778" s="278"/>
      <c r="AD778" s="278"/>
      <c r="AE778" s="278"/>
      <c r="AF778" s="278"/>
      <c r="AG778" s="278"/>
      <c r="AH778" s="278"/>
      <c r="AI778" s="278"/>
      <c r="AJ778" s="278"/>
      <c r="AK778" s="278"/>
      <c r="AL778" s="278"/>
      <c r="AM778" s="278"/>
      <c r="AN778" s="278"/>
      <c r="AO778" s="278"/>
      <c r="AP778" s="278"/>
      <c r="AQ778" s="278"/>
      <c r="AR778" s="278"/>
      <c r="AS778" s="278"/>
      <c r="AT778" s="278"/>
      <c r="AU778" s="278"/>
      <c r="AV778" s="278"/>
      <c r="AW778" s="278"/>
      <c r="AX778" s="278"/>
      <c r="AY778" s="278"/>
      <c r="AZ778" s="278"/>
      <c r="BA778" s="278"/>
      <c r="BB778" s="278"/>
      <c r="BC778" s="278"/>
      <c r="BD778" s="278"/>
      <c r="BE778" s="278"/>
      <c r="BF778" s="278"/>
      <c r="BG778" s="278"/>
      <c r="BH778" s="278"/>
      <c r="BI778" s="278"/>
      <c r="BJ778" s="278"/>
      <c r="BK778" s="278"/>
      <c r="BL778" s="278"/>
      <c r="BM778" s="278"/>
      <c r="BN778" s="278"/>
      <c r="BO778" s="278"/>
      <c r="BP778" s="278"/>
      <c r="BQ778" s="278"/>
      <c r="BR778" s="278"/>
      <c r="BS778" s="278"/>
      <c r="BT778" s="278"/>
      <c r="BU778" s="278"/>
      <c r="BV778" s="278"/>
      <c r="BW778" s="278"/>
      <c r="BX778" s="278"/>
      <c r="BY778" s="278"/>
      <c r="BZ778" s="278"/>
      <c r="CA778" s="278"/>
      <c r="CB778" s="278"/>
      <c r="CC778" s="278"/>
      <c r="CD778" s="278"/>
      <c r="CE778" s="278"/>
    </row>
    <row r="779" spans="1:83" ht="12.65" customHeight="1" x14ac:dyDescent="0.35">
      <c r="A779" s="209" t="str">
        <f>RIGHT($C$83,3)&amp;"*"&amp;RIGHT($C$82,4)&amp;"*"&amp;AV$55&amp;"*"&amp;"A"</f>
        <v>008*2020*7490*A</v>
      </c>
      <c r="B779" s="277"/>
      <c r="C779" s="279">
        <f>ROUND(AV60,2)</f>
        <v>0</v>
      </c>
      <c r="D779" s="277">
        <f>ROUND(AV61,0)</f>
        <v>0</v>
      </c>
      <c r="E779" s="277">
        <f>ROUND(AV62,0)</f>
        <v>0</v>
      </c>
      <c r="F779" s="277">
        <f>ROUND(AV63,0)</f>
        <v>0</v>
      </c>
      <c r="G779" s="277">
        <f>ROUND(AV64,0)</f>
        <v>0</v>
      </c>
      <c r="H779" s="277">
        <f>ROUND(AV65,0)</f>
        <v>0</v>
      </c>
      <c r="I779" s="277">
        <f>ROUND(AV66,0)</f>
        <v>0</v>
      </c>
      <c r="J779" s="277">
        <f>ROUND(AV67,0)</f>
        <v>0</v>
      </c>
      <c r="K779" s="277">
        <f>ROUND(AV68,0)</f>
        <v>0</v>
      </c>
      <c r="L779" s="277">
        <f>ROUND(AV69,0)</f>
        <v>0</v>
      </c>
      <c r="M779" s="277">
        <f>ROUND(AV70,0)</f>
        <v>0</v>
      </c>
      <c r="N779" s="277">
        <f>ROUND(AV75,0)</f>
        <v>56435</v>
      </c>
      <c r="O779" s="277">
        <f>ROUND(AV73,0)</f>
        <v>0</v>
      </c>
      <c r="P779" s="277">
        <f>IF(AV76&gt;0,ROUND(AV76,0),0)</f>
        <v>0</v>
      </c>
      <c r="Q779" s="277">
        <f>IF(AV77&gt;0,ROUND(AV77,0),0)</f>
        <v>0</v>
      </c>
      <c r="R779" s="277">
        <f>IF(AV78&gt;0,ROUND(AV78,0),0)</f>
        <v>0</v>
      </c>
      <c r="S779" s="277">
        <f>IF(AV79&gt;0,ROUND(AV79,0),0)</f>
        <v>0</v>
      </c>
      <c r="T779" s="279">
        <f>IF(AV80&gt;0,ROUND(AV80,2),0)</f>
        <v>0</v>
      </c>
      <c r="U779" s="277"/>
      <c r="V779" s="278"/>
      <c r="W779" s="277"/>
      <c r="X779" s="277"/>
      <c r="Y779" s="277" t="e">
        <f t="shared" si="22"/>
        <v>#DIV/0!</v>
      </c>
      <c r="Z779" s="278"/>
      <c r="AA779" s="278"/>
      <c r="AB779" s="278"/>
      <c r="AC779" s="278"/>
      <c r="AD779" s="278"/>
      <c r="AE779" s="278"/>
      <c r="AF779" s="278"/>
      <c r="AG779" s="278"/>
      <c r="AH779" s="278"/>
      <c r="AI779" s="278"/>
      <c r="AJ779" s="278"/>
      <c r="AK779" s="278"/>
      <c r="AL779" s="278"/>
      <c r="AM779" s="278"/>
      <c r="AN779" s="278"/>
      <c r="AO779" s="278"/>
      <c r="AP779" s="278"/>
      <c r="AQ779" s="278"/>
      <c r="AR779" s="278"/>
      <c r="AS779" s="278"/>
      <c r="AT779" s="278"/>
      <c r="AU779" s="278"/>
      <c r="AV779" s="278"/>
      <c r="AW779" s="278"/>
      <c r="AX779" s="278"/>
      <c r="AY779" s="278"/>
      <c r="AZ779" s="278"/>
      <c r="BA779" s="278"/>
      <c r="BB779" s="278"/>
      <c r="BC779" s="278"/>
      <c r="BD779" s="278"/>
      <c r="BE779" s="278"/>
      <c r="BF779" s="278"/>
      <c r="BG779" s="278"/>
      <c r="BH779" s="278"/>
      <c r="BI779" s="278"/>
      <c r="BJ779" s="278"/>
      <c r="BK779" s="278"/>
      <c r="BL779" s="278"/>
      <c r="BM779" s="278"/>
      <c r="BN779" s="278"/>
      <c r="BO779" s="278"/>
      <c r="BP779" s="278"/>
      <c r="BQ779" s="278"/>
      <c r="BR779" s="278"/>
      <c r="BS779" s="278"/>
      <c r="BT779" s="278"/>
      <c r="BU779" s="278"/>
      <c r="BV779" s="278"/>
      <c r="BW779" s="278"/>
      <c r="BX779" s="278"/>
      <c r="BY779" s="278"/>
      <c r="BZ779" s="278"/>
      <c r="CA779" s="278"/>
      <c r="CB779" s="278"/>
      <c r="CC779" s="278"/>
      <c r="CD779" s="278"/>
      <c r="CE779" s="278"/>
    </row>
    <row r="780" spans="1:83" ht="12.65" customHeight="1" x14ac:dyDescent="0.35">
      <c r="A780" s="209" t="str">
        <f>RIGHT($C$83,3)&amp;"*"&amp;RIGHT($C$82,4)&amp;"*"&amp;AW$55&amp;"*"&amp;"A"</f>
        <v>008*2020*8200*A</v>
      </c>
      <c r="B780" s="277"/>
      <c r="C780" s="279">
        <f>ROUND(AW60,2)</f>
        <v>0.76</v>
      </c>
      <c r="D780" s="277">
        <f>ROUND(AW61,0)</f>
        <v>62557</v>
      </c>
      <c r="E780" s="277">
        <f>ROUND(AW62,0)</f>
        <v>11261</v>
      </c>
      <c r="F780" s="277">
        <f>ROUND(AW63,0)</f>
        <v>2447</v>
      </c>
      <c r="G780" s="277">
        <f>ROUND(AW64,0)</f>
        <v>1365</v>
      </c>
      <c r="H780" s="277">
        <f>ROUND(AW65,0)</f>
        <v>0</v>
      </c>
      <c r="I780" s="277">
        <f>ROUND(AW66,0)</f>
        <v>-24</v>
      </c>
      <c r="J780" s="277">
        <f>ROUND(AW67,0)</f>
        <v>0</v>
      </c>
      <c r="K780" s="277">
        <f>ROUND(AW68,0)</f>
        <v>0</v>
      </c>
      <c r="L780" s="277">
        <f>ROUND(AW69,0)</f>
        <v>0</v>
      </c>
      <c r="M780" s="277">
        <f>ROUND(AW70,0)</f>
        <v>0</v>
      </c>
      <c r="N780" s="277"/>
      <c r="O780" s="277"/>
      <c r="P780" s="277">
        <f>IF(AW76&gt;0,ROUND(AW76,0),0)</f>
        <v>0</v>
      </c>
      <c r="Q780" s="277">
        <f>IF(AW77&gt;0,ROUND(AW77,0),0)</f>
        <v>0</v>
      </c>
      <c r="R780" s="277">
        <f>IF(AW78&gt;0,ROUND(AW78,0),0)</f>
        <v>0</v>
      </c>
      <c r="S780" s="277">
        <f>IF(AW79&gt;0,ROUND(AW79,0),0)</f>
        <v>0</v>
      </c>
      <c r="T780" s="279">
        <f>IF(AW80&gt;0,ROUND(AW80,2),0)</f>
        <v>0</v>
      </c>
      <c r="U780" s="277"/>
      <c r="V780" s="278"/>
      <c r="W780" s="277"/>
      <c r="X780" s="277"/>
      <c r="Y780" s="277"/>
      <c r="Z780" s="278"/>
      <c r="AA780" s="278"/>
      <c r="AB780" s="278"/>
      <c r="AC780" s="278"/>
      <c r="AD780" s="278"/>
      <c r="AE780" s="278"/>
      <c r="AF780" s="278"/>
      <c r="AG780" s="278"/>
      <c r="AH780" s="278"/>
      <c r="AI780" s="278"/>
      <c r="AJ780" s="278"/>
      <c r="AK780" s="278"/>
      <c r="AL780" s="278"/>
      <c r="AM780" s="278"/>
      <c r="AN780" s="278"/>
      <c r="AO780" s="278"/>
      <c r="AP780" s="278"/>
      <c r="AQ780" s="278"/>
      <c r="AR780" s="278"/>
      <c r="AS780" s="278"/>
      <c r="AT780" s="278"/>
      <c r="AU780" s="278"/>
      <c r="AV780" s="278"/>
      <c r="AW780" s="278"/>
      <c r="AX780" s="278"/>
      <c r="AY780" s="278"/>
      <c r="AZ780" s="278"/>
      <c r="BA780" s="278"/>
      <c r="BB780" s="278"/>
      <c r="BC780" s="278"/>
      <c r="BD780" s="278"/>
      <c r="BE780" s="278"/>
      <c r="BF780" s="278"/>
      <c r="BG780" s="278"/>
      <c r="BH780" s="278"/>
      <c r="BI780" s="278"/>
      <c r="BJ780" s="278"/>
      <c r="BK780" s="278"/>
      <c r="BL780" s="278"/>
      <c r="BM780" s="278"/>
      <c r="BN780" s="278"/>
      <c r="BO780" s="278"/>
      <c r="BP780" s="278"/>
      <c r="BQ780" s="278"/>
      <c r="BR780" s="278"/>
      <c r="BS780" s="278"/>
      <c r="BT780" s="278"/>
      <c r="BU780" s="278"/>
      <c r="BV780" s="278"/>
      <c r="BW780" s="278"/>
      <c r="BX780" s="278"/>
      <c r="BY780" s="278"/>
      <c r="BZ780" s="278"/>
      <c r="CA780" s="278"/>
      <c r="CB780" s="278"/>
      <c r="CC780" s="278"/>
      <c r="CD780" s="278"/>
      <c r="CE780" s="278"/>
    </row>
    <row r="781" spans="1:83" ht="12.65" customHeight="1" x14ac:dyDescent="0.35">
      <c r="A781" s="209" t="str">
        <f>RIGHT($C$83,3)&amp;"*"&amp;RIGHT($C$82,4)&amp;"*"&amp;AX$55&amp;"*"&amp;"A"</f>
        <v>008*2020*8310*A</v>
      </c>
      <c r="B781" s="277"/>
      <c r="C781" s="279">
        <f>ROUND(AX60,2)</f>
        <v>0</v>
      </c>
      <c r="D781" s="277">
        <f>ROUND(AX61,0)</f>
        <v>0</v>
      </c>
      <c r="E781" s="277">
        <f>ROUND(AX62,0)</f>
        <v>0</v>
      </c>
      <c r="F781" s="277">
        <f>ROUND(AX63,0)</f>
        <v>0</v>
      </c>
      <c r="G781" s="277">
        <f>ROUND(AX64,0)</f>
        <v>0</v>
      </c>
      <c r="H781" s="277">
        <f>ROUND(AX65,0)</f>
        <v>0</v>
      </c>
      <c r="I781" s="277">
        <f>ROUND(AX66,0)</f>
        <v>0</v>
      </c>
      <c r="J781" s="277">
        <f>ROUND(AX67,0)</f>
        <v>0</v>
      </c>
      <c r="K781" s="277">
        <f>ROUND(AX68,0)</f>
        <v>0</v>
      </c>
      <c r="L781" s="277">
        <f>ROUND(AX69,0)</f>
        <v>0</v>
      </c>
      <c r="M781" s="277">
        <f>ROUND(AX70,0)</f>
        <v>0</v>
      </c>
      <c r="N781" s="277"/>
      <c r="O781" s="277"/>
      <c r="P781" s="277">
        <f>IF(AX76&gt;0,ROUND(AX76,0),0)</f>
        <v>0</v>
      </c>
      <c r="Q781" s="277">
        <f>IF(AX77&gt;0,ROUND(AX77,0),0)</f>
        <v>0</v>
      </c>
      <c r="R781" s="277">
        <f>IF(AX78&gt;0,ROUND(AX78,0),0)</f>
        <v>0</v>
      </c>
      <c r="S781" s="277">
        <f>IF(AX79&gt;0,ROUND(AX79,0),0)</f>
        <v>0</v>
      </c>
      <c r="T781" s="279">
        <f>IF(AX80&gt;0,ROUND(AX80,2),0)</f>
        <v>0</v>
      </c>
      <c r="U781" s="277"/>
      <c r="V781" s="278"/>
      <c r="W781" s="277"/>
      <c r="X781" s="277"/>
      <c r="Y781" s="277"/>
      <c r="Z781" s="278"/>
      <c r="AA781" s="278"/>
      <c r="AB781" s="278"/>
      <c r="AC781" s="278"/>
      <c r="AD781" s="278"/>
      <c r="AE781" s="278"/>
      <c r="AF781" s="278"/>
      <c r="AG781" s="278"/>
      <c r="AH781" s="278"/>
      <c r="AI781" s="278"/>
      <c r="AJ781" s="278"/>
      <c r="AK781" s="278"/>
      <c r="AL781" s="278"/>
      <c r="AM781" s="278"/>
      <c r="AN781" s="278"/>
      <c r="AO781" s="278"/>
      <c r="AP781" s="278"/>
      <c r="AQ781" s="278"/>
      <c r="AR781" s="278"/>
      <c r="AS781" s="278"/>
      <c r="AT781" s="278"/>
      <c r="AU781" s="278"/>
      <c r="AV781" s="278"/>
      <c r="AW781" s="278"/>
      <c r="AX781" s="278"/>
      <c r="AY781" s="278"/>
      <c r="AZ781" s="278"/>
      <c r="BA781" s="278"/>
      <c r="BB781" s="278"/>
      <c r="BC781" s="278"/>
      <c r="BD781" s="278"/>
      <c r="BE781" s="278"/>
      <c r="BF781" s="278"/>
      <c r="BG781" s="278"/>
      <c r="BH781" s="278"/>
      <c r="BI781" s="278"/>
      <c r="BJ781" s="278"/>
      <c r="BK781" s="278"/>
      <c r="BL781" s="278"/>
      <c r="BM781" s="278"/>
      <c r="BN781" s="278"/>
      <c r="BO781" s="278"/>
      <c r="BP781" s="278"/>
      <c r="BQ781" s="278"/>
      <c r="BR781" s="278"/>
      <c r="BS781" s="278"/>
      <c r="BT781" s="278"/>
      <c r="BU781" s="278"/>
      <c r="BV781" s="278"/>
      <c r="BW781" s="278"/>
      <c r="BX781" s="278"/>
      <c r="BY781" s="278"/>
      <c r="BZ781" s="278"/>
      <c r="CA781" s="278"/>
      <c r="CB781" s="278"/>
      <c r="CC781" s="278"/>
      <c r="CD781" s="278"/>
      <c r="CE781" s="278"/>
    </row>
    <row r="782" spans="1:83" ht="12.65" customHeight="1" x14ac:dyDescent="0.35">
      <c r="A782" s="209" t="str">
        <f>RIGHT($C$83,3)&amp;"*"&amp;RIGHT($C$82,4)&amp;"*"&amp;AY$55&amp;"*"&amp;"A"</f>
        <v>008*2020*8320*A</v>
      </c>
      <c r="B782" s="277">
        <f>ROUND(AY59,0)</f>
        <v>4581</v>
      </c>
      <c r="C782" s="279">
        <f>ROUND(AY60,2)</f>
        <v>8.1199999999999992</v>
      </c>
      <c r="D782" s="277">
        <f>ROUND(AY61,0)</f>
        <v>303999</v>
      </c>
      <c r="E782" s="277">
        <f>ROUND(AY62,0)</f>
        <v>86372</v>
      </c>
      <c r="F782" s="277">
        <f>ROUND(AY63,0)</f>
        <v>11060</v>
      </c>
      <c r="G782" s="277">
        <f>ROUND(AY64,0)</f>
        <v>180270</v>
      </c>
      <c r="H782" s="277">
        <f>ROUND(AY65,0)</f>
        <v>0</v>
      </c>
      <c r="I782" s="277">
        <f>ROUND(AY66,0)</f>
        <v>0</v>
      </c>
      <c r="J782" s="277">
        <f>ROUND(AY67,0)</f>
        <v>0</v>
      </c>
      <c r="K782" s="277">
        <f>ROUND(AY68,0)</f>
        <v>0</v>
      </c>
      <c r="L782" s="277">
        <f>ROUND(AY69,0)</f>
        <v>1447</v>
      </c>
      <c r="M782" s="277">
        <f>ROUND(AY70,0)</f>
        <v>0</v>
      </c>
      <c r="N782" s="277"/>
      <c r="O782" s="277"/>
      <c r="P782" s="277">
        <f>IF(AY76&gt;0,ROUND(AY76,0),0)</f>
        <v>1202</v>
      </c>
      <c r="Q782" s="277">
        <f>IF(AY77&gt;0,ROUND(AY77,0),0)</f>
        <v>0</v>
      </c>
      <c r="R782" s="277">
        <f>IF(AY78&gt;0,ROUND(AY78,0),0)</f>
        <v>0</v>
      </c>
      <c r="S782" s="277">
        <f>IF(AY79&gt;0,ROUND(AY79,0),0)</f>
        <v>0</v>
      </c>
      <c r="T782" s="279">
        <f>IF(AY80&gt;0,ROUND(AY80,2),0)</f>
        <v>0</v>
      </c>
      <c r="U782" s="277"/>
      <c r="V782" s="278"/>
      <c r="W782" s="277"/>
      <c r="X782" s="277"/>
      <c r="Y782" s="277"/>
      <c r="Z782" s="278"/>
      <c r="AA782" s="278"/>
      <c r="AB782" s="278"/>
      <c r="AC782" s="278"/>
      <c r="AD782" s="278"/>
      <c r="AE782" s="278"/>
      <c r="AF782" s="278"/>
      <c r="AG782" s="278"/>
      <c r="AH782" s="278"/>
      <c r="AI782" s="278"/>
      <c r="AJ782" s="278"/>
      <c r="AK782" s="278"/>
      <c r="AL782" s="278"/>
      <c r="AM782" s="278"/>
      <c r="AN782" s="278"/>
      <c r="AO782" s="278"/>
      <c r="AP782" s="278"/>
      <c r="AQ782" s="278"/>
      <c r="AR782" s="278"/>
      <c r="AS782" s="278"/>
      <c r="AT782" s="278"/>
      <c r="AU782" s="278"/>
      <c r="AV782" s="278"/>
      <c r="AW782" s="278"/>
      <c r="AX782" s="278"/>
      <c r="AY782" s="278"/>
      <c r="AZ782" s="278"/>
      <c r="BA782" s="278"/>
      <c r="BB782" s="278"/>
      <c r="BC782" s="278"/>
      <c r="BD782" s="278"/>
      <c r="BE782" s="278"/>
      <c r="BF782" s="278"/>
      <c r="BG782" s="278"/>
      <c r="BH782" s="278"/>
      <c r="BI782" s="278"/>
      <c r="BJ782" s="278"/>
      <c r="BK782" s="278"/>
      <c r="BL782" s="278"/>
      <c r="BM782" s="278"/>
      <c r="BN782" s="278"/>
      <c r="BO782" s="278"/>
      <c r="BP782" s="278"/>
      <c r="BQ782" s="278"/>
      <c r="BR782" s="278"/>
      <c r="BS782" s="278"/>
      <c r="BT782" s="278"/>
      <c r="BU782" s="278"/>
      <c r="BV782" s="278"/>
      <c r="BW782" s="278"/>
      <c r="BX782" s="278"/>
      <c r="BY782" s="278"/>
      <c r="BZ782" s="278"/>
      <c r="CA782" s="278"/>
      <c r="CB782" s="278"/>
      <c r="CC782" s="278"/>
      <c r="CD782" s="278"/>
      <c r="CE782" s="278"/>
    </row>
    <row r="783" spans="1:83" ht="12.65" customHeight="1" x14ac:dyDescent="0.35">
      <c r="A783" s="209" t="str">
        <f>RIGHT($C$83,3)&amp;"*"&amp;RIGHT($C$82,4)&amp;"*"&amp;AZ$55&amp;"*"&amp;"A"</f>
        <v>008*2020*8330*A</v>
      </c>
      <c r="B783" s="277">
        <f>ROUND(AZ59,0)</f>
        <v>26627</v>
      </c>
      <c r="C783" s="279">
        <f>ROUND(AZ60,2)</f>
        <v>0</v>
      </c>
      <c r="D783" s="277">
        <f>ROUND(AZ61,0)</f>
        <v>0</v>
      </c>
      <c r="E783" s="277">
        <f>ROUND(AZ62,0)</f>
        <v>0</v>
      </c>
      <c r="F783" s="277">
        <f>ROUND(AZ63,0)</f>
        <v>0</v>
      </c>
      <c r="G783" s="277">
        <f>ROUND(AZ64,0)</f>
        <v>0</v>
      </c>
      <c r="H783" s="277">
        <f>ROUND(AZ65,0)</f>
        <v>0</v>
      </c>
      <c r="I783" s="277">
        <f>ROUND(AZ66,0)</f>
        <v>0</v>
      </c>
      <c r="J783" s="277">
        <f>ROUND(AZ67,0)</f>
        <v>0</v>
      </c>
      <c r="K783" s="277">
        <f>ROUND(AZ68,0)</f>
        <v>0</v>
      </c>
      <c r="L783" s="277">
        <f>ROUND(AZ69,0)</f>
        <v>0</v>
      </c>
      <c r="M783" s="277">
        <f>ROUND(AZ70,0)</f>
        <v>0</v>
      </c>
      <c r="N783" s="277"/>
      <c r="O783" s="277"/>
      <c r="P783" s="277">
        <f>IF(AZ76&gt;0,ROUND(AZ76,0),0)</f>
        <v>1067</v>
      </c>
      <c r="Q783" s="277">
        <f>IF(AZ77&gt;0,ROUND(AZ77,0),0)</f>
        <v>0</v>
      </c>
      <c r="R783" s="277">
        <f>IF(AZ78&gt;0,ROUND(AZ78,0),0)</f>
        <v>0</v>
      </c>
      <c r="S783" s="277">
        <f>IF(AZ79&gt;0,ROUND(AZ79,0),0)</f>
        <v>0</v>
      </c>
      <c r="T783" s="279">
        <f>IF(AZ80&gt;0,ROUND(AZ80,2),0)</f>
        <v>0</v>
      </c>
      <c r="U783" s="277"/>
      <c r="V783" s="278"/>
      <c r="W783" s="277"/>
      <c r="X783" s="277"/>
      <c r="Y783" s="277"/>
      <c r="Z783" s="278"/>
      <c r="AA783" s="278"/>
      <c r="AB783" s="278"/>
      <c r="AC783" s="278"/>
      <c r="AD783" s="278"/>
      <c r="AE783" s="278"/>
      <c r="AF783" s="278"/>
      <c r="AG783" s="278"/>
      <c r="AH783" s="278"/>
      <c r="AI783" s="278"/>
      <c r="AJ783" s="278"/>
      <c r="AK783" s="278"/>
      <c r="AL783" s="278"/>
      <c r="AM783" s="278"/>
      <c r="AN783" s="278"/>
      <c r="AO783" s="278"/>
      <c r="AP783" s="278"/>
      <c r="AQ783" s="278"/>
      <c r="AR783" s="278"/>
      <c r="AS783" s="278"/>
      <c r="AT783" s="278"/>
      <c r="AU783" s="278"/>
      <c r="AV783" s="278"/>
      <c r="AW783" s="278"/>
      <c r="AX783" s="278"/>
      <c r="AY783" s="278"/>
      <c r="AZ783" s="278"/>
      <c r="BA783" s="278"/>
      <c r="BB783" s="278"/>
      <c r="BC783" s="278"/>
      <c r="BD783" s="278"/>
      <c r="BE783" s="278"/>
      <c r="BF783" s="278"/>
      <c r="BG783" s="278"/>
      <c r="BH783" s="278"/>
      <c r="BI783" s="278"/>
      <c r="BJ783" s="278"/>
      <c r="BK783" s="278"/>
      <c r="BL783" s="278"/>
      <c r="BM783" s="278"/>
      <c r="BN783" s="278"/>
      <c r="BO783" s="278"/>
      <c r="BP783" s="278"/>
      <c r="BQ783" s="278"/>
      <c r="BR783" s="278"/>
      <c r="BS783" s="278"/>
      <c r="BT783" s="278"/>
      <c r="BU783" s="278"/>
      <c r="BV783" s="278"/>
      <c r="BW783" s="278"/>
      <c r="BX783" s="278"/>
      <c r="BY783" s="278"/>
      <c r="BZ783" s="278"/>
      <c r="CA783" s="278"/>
      <c r="CB783" s="278"/>
      <c r="CC783" s="278"/>
      <c r="CD783" s="278"/>
      <c r="CE783" s="278"/>
    </row>
    <row r="784" spans="1:83" ht="12.65" customHeight="1" x14ac:dyDescent="0.35">
      <c r="A784" s="209" t="str">
        <f>RIGHT($C$83,3)&amp;"*"&amp;RIGHT($C$82,4)&amp;"*"&amp;BA$55&amp;"*"&amp;"A"</f>
        <v>008*2020*8350*A</v>
      </c>
      <c r="B784" s="277">
        <f>ROUND(BA59,0)</f>
        <v>0</v>
      </c>
      <c r="C784" s="279">
        <f>ROUND(BA60,2)</f>
        <v>0</v>
      </c>
      <c r="D784" s="277">
        <f>ROUND(BA61,0)</f>
        <v>0</v>
      </c>
      <c r="E784" s="277">
        <f>ROUND(BA62,0)</f>
        <v>0</v>
      </c>
      <c r="F784" s="277">
        <f>ROUND(BA63,0)</f>
        <v>0</v>
      </c>
      <c r="G784" s="277">
        <f>ROUND(BA64,0)</f>
        <v>0</v>
      </c>
      <c r="H784" s="277">
        <f>ROUND(BA65,0)</f>
        <v>0</v>
      </c>
      <c r="I784" s="277">
        <f>ROUND(BA66,0)</f>
        <v>0</v>
      </c>
      <c r="J784" s="277">
        <f>ROUND(BA67,0)</f>
        <v>0</v>
      </c>
      <c r="K784" s="277">
        <f>ROUND(BA68,0)</f>
        <v>0</v>
      </c>
      <c r="L784" s="277">
        <f>ROUND(BA69,0)</f>
        <v>0</v>
      </c>
      <c r="M784" s="277">
        <f>ROUND(BA70,0)</f>
        <v>0</v>
      </c>
      <c r="N784" s="277"/>
      <c r="O784" s="277"/>
      <c r="P784" s="277">
        <f>IF(BA76&gt;0,ROUND(BA76,0),0)</f>
        <v>0</v>
      </c>
      <c r="Q784" s="277">
        <f>IF(BA77&gt;0,ROUND(BA77,0),0)</f>
        <v>0</v>
      </c>
      <c r="R784" s="277">
        <f>IF(BA78&gt;0,ROUND(BA78,0),0)</f>
        <v>0</v>
      </c>
      <c r="S784" s="277">
        <f>IF(BA79&gt;0,ROUND(BA79,0),0)</f>
        <v>0</v>
      </c>
      <c r="T784" s="279">
        <f>IF(BA80&gt;0,ROUND(BA80,2),0)</f>
        <v>0</v>
      </c>
      <c r="U784" s="277"/>
      <c r="V784" s="278"/>
      <c r="W784" s="277"/>
      <c r="X784" s="277"/>
      <c r="Y784" s="277"/>
      <c r="Z784" s="278"/>
      <c r="AA784" s="278"/>
      <c r="AB784" s="278"/>
      <c r="AC784" s="278"/>
      <c r="AD784" s="278"/>
      <c r="AE784" s="278"/>
      <c r="AF784" s="278"/>
      <c r="AG784" s="278"/>
      <c r="AH784" s="278"/>
      <c r="AI784" s="278"/>
      <c r="AJ784" s="278"/>
      <c r="AK784" s="278"/>
      <c r="AL784" s="278"/>
      <c r="AM784" s="278"/>
      <c r="AN784" s="278"/>
      <c r="AO784" s="278"/>
      <c r="AP784" s="278"/>
      <c r="AQ784" s="278"/>
      <c r="AR784" s="278"/>
      <c r="AS784" s="278"/>
      <c r="AT784" s="278"/>
      <c r="AU784" s="278"/>
      <c r="AV784" s="278"/>
      <c r="AW784" s="278"/>
      <c r="AX784" s="278"/>
      <c r="AY784" s="278"/>
      <c r="AZ784" s="278"/>
      <c r="BA784" s="278"/>
      <c r="BB784" s="278"/>
      <c r="BC784" s="278"/>
      <c r="BD784" s="278"/>
      <c r="BE784" s="278"/>
      <c r="BF784" s="278"/>
      <c r="BG784" s="278"/>
      <c r="BH784" s="278"/>
      <c r="BI784" s="278"/>
      <c r="BJ784" s="278"/>
      <c r="BK784" s="278"/>
      <c r="BL784" s="278"/>
      <c r="BM784" s="278"/>
      <c r="BN784" s="278"/>
      <c r="BO784" s="278"/>
      <c r="BP784" s="278"/>
      <c r="BQ784" s="278"/>
      <c r="BR784" s="278"/>
      <c r="BS784" s="278"/>
      <c r="BT784" s="278"/>
      <c r="BU784" s="278"/>
      <c r="BV784" s="278"/>
      <c r="BW784" s="278"/>
      <c r="BX784" s="278"/>
      <c r="BY784" s="278"/>
      <c r="BZ784" s="278"/>
      <c r="CA784" s="278"/>
      <c r="CB784" s="278"/>
      <c r="CC784" s="278"/>
      <c r="CD784" s="278"/>
      <c r="CE784" s="278"/>
    </row>
    <row r="785" spans="1:83" ht="12.65" customHeight="1" x14ac:dyDescent="0.35">
      <c r="A785" s="209" t="str">
        <f>RIGHT($C$83,3)&amp;"*"&amp;RIGHT($C$82,4)&amp;"*"&amp;BB$55&amp;"*"&amp;"A"</f>
        <v>008*2020*8360*A</v>
      </c>
      <c r="B785" s="277"/>
      <c r="C785" s="279">
        <f>ROUND(BB60,2)</f>
        <v>0</v>
      </c>
      <c r="D785" s="277">
        <f>ROUND(BB61,0)</f>
        <v>0</v>
      </c>
      <c r="E785" s="277">
        <f>ROUND(BB62,0)</f>
        <v>0</v>
      </c>
      <c r="F785" s="277">
        <f>ROUND(BB63,0)</f>
        <v>0</v>
      </c>
      <c r="G785" s="277">
        <f>ROUND(BB64,0)</f>
        <v>0</v>
      </c>
      <c r="H785" s="277">
        <f>ROUND(BB65,0)</f>
        <v>0</v>
      </c>
      <c r="I785" s="277">
        <f>ROUND(BB66,0)</f>
        <v>0</v>
      </c>
      <c r="J785" s="277">
        <f>ROUND(BB67,0)</f>
        <v>0</v>
      </c>
      <c r="K785" s="277">
        <f>ROUND(BB68,0)</f>
        <v>0</v>
      </c>
      <c r="L785" s="277">
        <f>ROUND(BB69,0)</f>
        <v>0</v>
      </c>
      <c r="M785" s="277">
        <f>ROUND(BB70,0)</f>
        <v>0</v>
      </c>
      <c r="N785" s="277"/>
      <c r="O785" s="277"/>
      <c r="P785" s="277">
        <f>IF(BB76&gt;0,ROUND(BB76,0),0)</f>
        <v>0</v>
      </c>
      <c r="Q785" s="277">
        <f>IF(BB77&gt;0,ROUND(BB77,0),0)</f>
        <v>0</v>
      </c>
      <c r="R785" s="277">
        <f>IF(BB78&gt;0,ROUND(BB78,0),0)</f>
        <v>0</v>
      </c>
      <c r="S785" s="277">
        <f>IF(BB79&gt;0,ROUND(BB79,0),0)</f>
        <v>0</v>
      </c>
      <c r="T785" s="279">
        <f>IF(BB80&gt;0,ROUND(BB80,2),0)</f>
        <v>0</v>
      </c>
      <c r="U785" s="277"/>
      <c r="V785" s="278"/>
      <c r="W785" s="277"/>
      <c r="X785" s="277"/>
      <c r="Y785" s="277"/>
      <c r="Z785" s="278"/>
      <c r="AA785" s="278"/>
      <c r="AB785" s="278"/>
      <c r="AC785" s="278"/>
      <c r="AD785" s="278"/>
      <c r="AE785" s="278"/>
      <c r="AF785" s="278"/>
      <c r="AG785" s="278"/>
      <c r="AH785" s="278"/>
      <c r="AI785" s="278"/>
      <c r="AJ785" s="278"/>
      <c r="AK785" s="278"/>
      <c r="AL785" s="278"/>
      <c r="AM785" s="278"/>
      <c r="AN785" s="278"/>
      <c r="AO785" s="278"/>
      <c r="AP785" s="278"/>
      <c r="AQ785" s="278"/>
      <c r="AR785" s="278"/>
      <c r="AS785" s="278"/>
      <c r="AT785" s="278"/>
      <c r="AU785" s="278"/>
      <c r="AV785" s="278"/>
      <c r="AW785" s="278"/>
      <c r="AX785" s="278"/>
      <c r="AY785" s="278"/>
      <c r="AZ785" s="278"/>
      <c r="BA785" s="278"/>
      <c r="BB785" s="278"/>
      <c r="BC785" s="278"/>
      <c r="BD785" s="278"/>
      <c r="BE785" s="278"/>
      <c r="BF785" s="278"/>
      <c r="BG785" s="278"/>
      <c r="BH785" s="278"/>
      <c r="BI785" s="278"/>
      <c r="BJ785" s="278"/>
      <c r="BK785" s="278"/>
      <c r="BL785" s="278"/>
      <c r="BM785" s="278"/>
      <c r="BN785" s="278"/>
      <c r="BO785" s="278"/>
      <c r="BP785" s="278"/>
      <c r="BQ785" s="278"/>
      <c r="BR785" s="278"/>
      <c r="BS785" s="278"/>
      <c r="BT785" s="278"/>
      <c r="BU785" s="278"/>
      <c r="BV785" s="278"/>
      <c r="BW785" s="278"/>
      <c r="BX785" s="278"/>
      <c r="BY785" s="278"/>
      <c r="BZ785" s="278"/>
      <c r="CA785" s="278"/>
      <c r="CB785" s="278"/>
      <c r="CC785" s="278"/>
      <c r="CD785" s="278"/>
      <c r="CE785" s="278"/>
    </row>
    <row r="786" spans="1:83" ht="12.65" customHeight="1" x14ac:dyDescent="0.35">
      <c r="A786" s="209" t="str">
        <f>RIGHT($C$83,3)&amp;"*"&amp;RIGHT($C$82,4)&amp;"*"&amp;BC$55&amp;"*"&amp;"A"</f>
        <v>008*2020*8370*A</v>
      </c>
      <c r="B786" s="277"/>
      <c r="C786" s="279">
        <f>ROUND(BC60,2)</f>
        <v>0.28000000000000003</v>
      </c>
      <c r="D786" s="277">
        <f>ROUND(BC61,0)</f>
        <v>9998</v>
      </c>
      <c r="E786" s="277">
        <f>ROUND(BC62,0)</f>
        <v>697</v>
      </c>
      <c r="F786" s="277">
        <f>ROUND(BC63,0)</f>
        <v>0</v>
      </c>
      <c r="G786" s="277">
        <f>ROUND(BC64,0)</f>
        <v>1673</v>
      </c>
      <c r="H786" s="277">
        <f>ROUND(BC65,0)</f>
        <v>0</v>
      </c>
      <c r="I786" s="277">
        <f>ROUND(BC66,0)</f>
        <v>1252</v>
      </c>
      <c r="J786" s="277">
        <f>ROUND(BC67,0)</f>
        <v>0</v>
      </c>
      <c r="K786" s="277">
        <f>ROUND(BC68,0)</f>
        <v>0</v>
      </c>
      <c r="L786" s="277">
        <f>ROUND(BC69,0)</f>
        <v>0</v>
      </c>
      <c r="M786" s="277">
        <f>ROUND(BC70,0)</f>
        <v>0</v>
      </c>
      <c r="N786" s="277"/>
      <c r="O786" s="277"/>
      <c r="P786" s="277">
        <f>IF(BC76&gt;0,ROUND(BC76,0),0)</f>
        <v>0</v>
      </c>
      <c r="Q786" s="277">
        <f>IF(BC77&gt;0,ROUND(BC77,0),0)</f>
        <v>0</v>
      </c>
      <c r="R786" s="277">
        <f>IF(BC78&gt;0,ROUND(BC78,0),0)</f>
        <v>0</v>
      </c>
      <c r="S786" s="277">
        <f>IF(BC79&gt;0,ROUND(BC79,0),0)</f>
        <v>0</v>
      </c>
      <c r="T786" s="279">
        <f>IF(BC80&gt;0,ROUND(BC80,2),0)</f>
        <v>0</v>
      </c>
      <c r="U786" s="277"/>
      <c r="V786" s="278"/>
      <c r="W786" s="277"/>
      <c r="X786" s="277"/>
      <c r="Y786" s="277"/>
      <c r="Z786" s="278"/>
      <c r="AA786" s="278"/>
      <c r="AB786" s="278"/>
      <c r="AC786" s="278"/>
      <c r="AD786" s="278"/>
      <c r="AE786" s="278"/>
      <c r="AF786" s="278"/>
      <c r="AG786" s="278"/>
      <c r="AH786" s="278"/>
      <c r="AI786" s="278"/>
      <c r="AJ786" s="278"/>
      <c r="AK786" s="278"/>
      <c r="AL786" s="278"/>
      <c r="AM786" s="278"/>
      <c r="AN786" s="278"/>
      <c r="AO786" s="278"/>
      <c r="AP786" s="278"/>
      <c r="AQ786" s="278"/>
      <c r="AR786" s="278"/>
      <c r="AS786" s="278"/>
      <c r="AT786" s="278"/>
      <c r="AU786" s="278"/>
      <c r="AV786" s="278"/>
      <c r="AW786" s="278"/>
      <c r="AX786" s="278"/>
      <c r="AY786" s="278"/>
      <c r="AZ786" s="278"/>
      <c r="BA786" s="278"/>
      <c r="BB786" s="278"/>
      <c r="BC786" s="278"/>
      <c r="BD786" s="278"/>
      <c r="BE786" s="278"/>
      <c r="BF786" s="278"/>
      <c r="BG786" s="278"/>
      <c r="BH786" s="278"/>
      <c r="BI786" s="278"/>
      <c r="BJ786" s="278"/>
      <c r="BK786" s="278"/>
      <c r="BL786" s="278"/>
      <c r="BM786" s="278"/>
      <c r="BN786" s="278"/>
      <c r="BO786" s="278"/>
      <c r="BP786" s="278"/>
      <c r="BQ786" s="278"/>
      <c r="BR786" s="278"/>
      <c r="BS786" s="278"/>
      <c r="BT786" s="278"/>
      <c r="BU786" s="278"/>
      <c r="BV786" s="278"/>
      <c r="BW786" s="278"/>
      <c r="BX786" s="278"/>
      <c r="BY786" s="278"/>
      <c r="BZ786" s="278"/>
      <c r="CA786" s="278"/>
      <c r="CB786" s="278"/>
      <c r="CC786" s="278"/>
      <c r="CD786" s="278"/>
      <c r="CE786" s="278"/>
    </row>
    <row r="787" spans="1:83" ht="12.65" customHeight="1" x14ac:dyDescent="0.35">
      <c r="A787" s="209" t="str">
        <f>RIGHT($C$83,3)&amp;"*"&amp;RIGHT($C$82,4)&amp;"*"&amp;BD$55&amp;"*"&amp;"A"</f>
        <v>008*2020*8420*A</v>
      </c>
      <c r="B787" s="277"/>
      <c r="C787" s="279">
        <f>ROUND(BD60,2)</f>
        <v>1</v>
      </c>
      <c r="D787" s="277">
        <f>ROUND(BD61,0)</f>
        <v>65281</v>
      </c>
      <c r="E787" s="277">
        <f>ROUND(BD62,0)</f>
        <v>18002</v>
      </c>
      <c r="F787" s="277">
        <f>ROUND(BD63,0)</f>
        <v>0</v>
      </c>
      <c r="G787" s="277">
        <f>ROUND(BD64,0)</f>
        <v>1913</v>
      </c>
      <c r="H787" s="277">
        <f>ROUND(BD65,0)</f>
        <v>0</v>
      </c>
      <c r="I787" s="277">
        <f>ROUND(BD66,0)</f>
        <v>0</v>
      </c>
      <c r="J787" s="277">
        <f>ROUND(BD67,0)</f>
        <v>0</v>
      </c>
      <c r="K787" s="277">
        <f>ROUND(BD68,0)</f>
        <v>0</v>
      </c>
      <c r="L787" s="277">
        <f>ROUND(BD69,0)</f>
        <v>0</v>
      </c>
      <c r="M787" s="277">
        <f>ROUND(BD70,0)</f>
        <v>0</v>
      </c>
      <c r="N787" s="277"/>
      <c r="O787" s="277"/>
      <c r="P787" s="277">
        <f>IF(BD76&gt;0,ROUND(BD76,0),0)</f>
        <v>883</v>
      </c>
      <c r="Q787" s="277">
        <f>IF(BD77&gt;0,ROUND(BD77,0),0)</f>
        <v>0</v>
      </c>
      <c r="R787" s="277">
        <f>IF(BD78&gt;0,ROUND(BD78,0),0)</f>
        <v>0</v>
      </c>
      <c r="S787" s="277">
        <f>IF(BD79&gt;0,ROUND(BD79,0),0)</f>
        <v>0</v>
      </c>
      <c r="T787" s="279">
        <f>IF(BD80&gt;0,ROUND(BD80,2),0)</f>
        <v>0</v>
      </c>
      <c r="U787" s="277"/>
      <c r="V787" s="278"/>
      <c r="W787" s="277"/>
      <c r="X787" s="277"/>
      <c r="Y787" s="277"/>
      <c r="Z787" s="278"/>
      <c r="AA787" s="278"/>
      <c r="AB787" s="278"/>
      <c r="AC787" s="278"/>
      <c r="AD787" s="278"/>
      <c r="AE787" s="278"/>
      <c r="AF787" s="278"/>
      <c r="AG787" s="278"/>
      <c r="AH787" s="278"/>
      <c r="AI787" s="278"/>
      <c r="AJ787" s="278"/>
      <c r="AK787" s="278"/>
      <c r="AL787" s="278"/>
      <c r="AM787" s="278"/>
      <c r="AN787" s="278"/>
      <c r="AO787" s="278"/>
      <c r="AP787" s="278"/>
      <c r="AQ787" s="278"/>
      <c r="AR787" s="278"/>
      <c r="AS787" s="278"/>
      <c r="AT787" s="278"/>
      <c r="AU787" s="278"/>
      <c r="AV787" s="278"/>
      <c r="AW787" s="278"/>
      <c r="AX787" s="278"/>
      <c r="AY787" s="278"/>
      <c r="AZ787" s="278"/>
      <c r="BA787" s="278"/>
      <c r="BB787" s="278"/>
      <c r="BC787" s="278"/>
      <c r="BD787" s="278"/>
      <c r="BE787" s="278"/>
      <c r="BF787" s="278"/>
      <c r="BG787" s="278"/>
      <c r="BH787" s="278"/>
      <c r="BI787" s="278"/>
      <c r="BJ787" s="278"/>
      <c r="BK787" s="278"/>
      <c r="BL787" s="278"/>
      <c r="BM787" s="278"/>
      <c r="BN787" s="278"/>
      <c r="BO787" s="278"/>
      <c r="BP787" s="278"/>
      <c r="BQ787" s="278"/>
      <c r="BR787" s="278"/>
      <c r="BS787" s="278"/>
      <c r="BT787" s="278"/>
      <c r="BU787" s="278"/>
      <c r="BV787" s="278"/>
      <c r="BW787" s="278"/>
      <c r="BX787" s="278"/>
      <c r="BY787" s="278"/>
      <c r="BZ787" s="278"/>
      <c r="CA787" s="278"/>
      <c r="CB787" s="278"/>
      <c r="CC787" s="278"/>
      <c r="CD787" s="278"/>
      <c r="CE787" s="278"/>
    </row>
    <row r="788" spans="1:83" ht="12.65" customHeight="1" x14ac:dyDescent="0.35">
      <c r="A788" s="209" t="str">
        <f>RIGHT($C$83,3)&amp;"*"&amp;RIGHT($C$82,4)&amp;"*"&amp;BE$55&amp;"*"&amp;"A"</f>
        <v>008*2020*8430*A</v>
      </c>
      <c r="B788" s="277">
        <f>ROUND(BE59,0)</f>
        <v>85625</v>
      </c>
      <c r="C788" s="279">
        <f>ROUND(BE60,2)</f>
        <v>7.13</v>
      </c>
      <c r="D788" s="277">
        <f>ROUND(BE61,0)</f>
        <v>430524</v>
      </c>
      <c r="E788" s="277">
        <f>ROUND(BE62,0)</f>
        <v>103030</v>
      </c>
      <c r="F788" s="277">
        <f>ROUND(BE63,0)</f>
        <v>458</v>
      </c>
      <c r="G788" s="277">
        <f>ROUND(BE64,0)</f>
        <v>33866</v>
      </c>
      <c r="H788" s="277">
        <f>ROUND(BE65,0)</f>
        <v>212311</v>
      </c>
      <c r="I788" s="277">
        <f>ROUND(BE66,0)</f>
        <v>70586</v>
      </c>
      <c r="J788" s="277">
        <f>ROUND(BE67,0)</f>
        <v>0</v>
      </c>
      <c r="K788" s="277">
        <f>ROUND(BE68,0)</f>
        <v>1951</v>
      </c>
      <c r="L788" s="277">
        <f>ROUND(BE69,0)</f>
        <v>58877</v>
      </c>
      <c r="M788" s="277">
        <f>ROUND(BE70,0)</f>
        <v>0</v>
      </c>
      <c r="N788" s="277"/>
      <c r="O788" s="277"/>
      <c r="P788" s="277">
        <f>IF(BE76&gt;0,ROUND(BE76,0),0)</f>
        <v>30797</v>
      </c>
      <c r="Q788" s="277">
        <f>IF(BE77&gt;0,ROUND(BE77,0),0)</f>
        <v>0</v>
      </c>
      <c r="R788" s="277">
        <f>IF(BE78&gt;0,ROUND(BE78,0),0)</f>
        <v>0</v>
      </c>
      <c r="S788" s="277">
        <f>IF(BE79&gt;0,ROUND(BE79,0),0)</f>
        <v>0</v>
      </c>
      <c r="T788" s="279">
        <f>IF(BE80&gt;0,ROUND(BE80,2),0)</f>
        <v>0</v>
      </c>
      <c r="U788" s="277"/>
      <c r="V788" s="278"/>
      <c r="W788" s="277"/>
      <c r="X788" s="277"/>
      <c r="Y788" s="277"/>
      <c r="Z788" s="278"/>
      <c r="AA788" s="278"/>
      <c r="AB788" s="278"/>
      <c r="AC788" s="278"/>
      <c r="AD788" s="278"/>
      <c r="AE788" s="278"/>
      <c r="AF788" s="278"/>
      <c r="AG788" s="278"/>
      <c r="AH788" s="278"/>
      <c r="AI788" s="278"/>
      <c r="AJ788" s="278"/>
      <c r="AK788" s="278"/>
      <c r="AL788" s="278"/>
      <c r="AM788" s="278"/>
      <c r="AN788" s="278"/>
      <c r="AO788" s="278"/>
      <c r="AP788" s="278"/>
      <c r="AQ788" s="278"/>
      <c r="AR788" s="278"/>
      <c r="AS788" s="278"/>
      <c r="AT788" s="278"/>
      <c r="AU788" s="278"/>
      <c r="AV788" s="278"/>
      <c r="AW788" s="278"/>
      <c r="AX788" s="278"/>
      <c r="AY788" s="278"/>
      <c r="AZ788" s="278"/>
      <c r="BA788" s="278"/>
      <c r="BB788" s="278"/>
      <c r="BC788" s="278"/>
      <c r="BD788" s="278"/>
      <c r="BE788" s="278"/>
      <c r="BF788" s="278"/>
      <c r="BG788" s="278"/>
      <c r="BH788" s="278"/>
      <c r="BI788" s="278"/>
      <c r="BJ788" s="278"/>
      <c r="BK788" s="278"/>
      <c r="BL788" s="278"/>
      <c r="BM788" s="278"/>
      <c r="BN788" s="278"/>
      <c r="BO788" s="278"/>
      <c r="BP788" s="278"/>
      <c r="BQ788" s="278"/>
      <c r="BR788" s="278"/>
      <c r="BS788" s="278"/>
      <c r="BT788" s="278"/>
      <c r="BU788" s="278"/>
      <c r="BV788" s="278"/>
      <c r="BW788" s="278"/>
      <c r="BX788" s="278"/>
      <c r="BY788" s="278"/>
      <c r="BZ788" s="278"/>
      <c r="CA788" s="278"/>
      <c r="CB788" s="278"/>
      <c r="CC788" s="278"/>
      <c r="CD788" s="278"/>
      <c r="CE788" s="278"/>
    </row>
    <row r="789" spans="1:83" ht="12.65" customHeight="1" x14ac:dyDescent="0.35">
      <c r="A789" s="209" t="str">
        <f>RIGHT($C$83,3)&amp;"*"&amp;RIGHT($C$82,4)&amp;"*"&amp;BF$55&amp;"*"&amp;"A"</f>
        <v>008*2020*8460*A</v>
      </c>
      <c r="B789" s="277"/>
      <c r="C789" s="279">
        <f>ROUND(BF60,2)</f>
        <v>9.58</v>
      </c>
      <c r="D789" s="277">
        <f>ROUND(BF61,0)</f>
        <v>345083</v>
      </c>
      <c r="E789" s="277">
        <f>ROUND(BF62,0)</f>
        <v>89981</v>
      </c>
      <c r="F789" s="277">
        <f>ROUND(BF63,0)</f>
        <v>0</v>
      </c>
      <c r="G789" s="277">
        <f>ROUND(BF64,0)</f>
        <v>38984</v>
      </c>
      <c r="H789" s="277">
        <f>ROUND(BF65,0)</f>
        <v>638</v>
      </c>
      <c r="I789" s="277">
        <f>ROUND(BF66,0)</f>
        <v>130685</v>
      </c>
      <c r="J789" s="277">
        <f>ROUND(BF67,0)</f>
        <v>0</v>
      </c>
      <c r="K789" s="277">
        <f>ROUND(BF68,0)</f>
        <v>0</v>
      </c>
      <c r="L789" s="277">
        <f>ROUND(BF69,0)</f>
        <v>1216</v>
      </c>
      <c r="M789" s="277">
        <f>ROUND(BF70,0)</f>
        <v>0</v>
      </c>
      <c r="N789" s="277"/>
      <c r="O789" s="277"/>
      <c r="P789" s="277">
        <f>IF(BF76&gt;0,ROUND(BF76,0),0)</f>
        <v>1332</v>
      </c>
      <c r="Q789" s="277">
        <f>IF(BF77&gt;0,ROUND(BF77,0),0)</f>
        <v>0</v>
      </c>
      <c r="R789" s="277">
        <f>IF(BF78&gt;0,ROUND(BF78,0),0)</f>
        <v>0</v>
      </c>
      <c r="S789" s="277">
        <f>IF(BF79&gt;0,ROUND(BF79,0),0)</f>
        <v>0</v>
      </c>
      <c r="T789" s="279">
        <f>IF(BF80&gt;0,ROUND(BF80,2),0)</f>
        <v>0</v>
      </c>
      <c r="U789" s="277"/>
      <c r="V789" s="278"/>
      <c r="W789" s="277"/>
      <c r="X789" s="277"/>
      <c r="Y789" s="277"/>
      <c r="Z789" s="278"/>
      <c r="AA789" s="278"/>
      <c r="AB789" s="278"/>
      <c r="AC789" s="278"/>
      <c r="AD789" s="278"/>
      <c r="AE789" s="278"/>
      <c r="AF789" s="278"/>
      <c r="AG789" s="278"/>
      <c r="AH789" s="278"/>
      <c r="AI789" s="278"/>
      <c r="AJ789" s="278"/>
      <c r="AK789" s="278"/>
      <c r="AL789" s="278"/>
      <c r="AM789" s="278"/>
      <c r="AN789" s="278"/>
      <c r="AO789" s="278"/>
      <c r="AP789" s="278"/>
      <c r="AQ789" s="278"/>
      <c r="AR789" s="278"/>
      <c r="AS789" s="278"/>
      <c r="AT789" s="278"/>
      <c r="AU789" s="278"/>
      <c r="AV789" s="278"/>
      <c r="AW789" s="278"/>
      <c r="AX789" s="278"/>
      <c r="AY789" s="278"/>
      <c r="AZ789" s="278"/>
      <c r="BA789" s="278"/>
      <c r="BB789" s="278"/>
      <c r="BC789" s="278"/>
      <c r="BD789" s="278"/>
      <c r="BE789" s="278"/>
      <c r="BF789" s="278"/>
      <c r="BG789" s="278"/>
      <c r="BH789" s="278"/>
      <c r="BI789" s="278"/>
      <c r="BJ789" s="278"/>
      <c r="BK789" s="278"/>
      <c r="BL789" s="278"/>
      <c r="BM789" s="278"/>
      <c r="BN789" s="278"/>
      <c r="BO789" s="278"/>
      <c r="BP789" s="278"/>
      <c r="BQ789" s="278"/>
      <c r="BR789" s="278"/>
      <c r="BS789" s="278"/>
      <c r="BT789" s="278"/>
      <c r="BU789" s="278"/>
      <c r="BV789" s="278"/>
      <c r="BW789" s="278"/>
      <c r="BX789" s="278"/>
      <c r="BY789" s="278"/>
      <c r="BZ789" s="278"/>
      <c r="CA789" s="278"/>
      <c r="CB789" s="278"/>
      <c r="CC789" s="278"/>
      <c r="CD789" s="278"/>
      <c r="CE789" s="278"/>
    </row>
    <row r="790" spans="1:83" ht="12.65" customHeight="1" x14ac:dyDescent="0.35">
      <c r="A790" s="209" t="str">
        <f>RIGHT($C$83,3)&amp;"*"&amp;RIGHT($C$82,4)&amp;"*"&amp;BG$55&amp;"*"&amp;"A"</f>
        <v>008*2020*8470*A</v>
      </c>
      <c r="B790" s="277"/>
      <c r="C790" s="279">
        <f>ROUND(BG60,2)</f>
        <v>0</v>
      </c>
      <c r="D790" s="277">
        <f>ROUND(BG61,0)</f>
        <v>0</v>
      </c>
      <c r="E790" s="277">
        <f>ROUND(BG62,0)</f>
        <v>0</v>
      </c>
      <c r="F790" s="277">
        <f>ROUND(BG63,0)</f>
        <v>0</v>
      </c>
      <c r="G790" s="277">
        <f>ROUND(BG64,0)</f>
        <v>0</v>
      </c>
      <c r="H790" s="277">
        <f>ROUND(BG65,0)</f>
        <v>0</v>
      </c>
      <c r="I790" s="277">
        <f>ROUND(BG66,0)</f>
        <v>0</v>
      </c>
      <c r="J790" s="277">
        <f>ROUND(BG67,0)</f>
        <v>0</v>
      </c>
      <c r="K790" s="277">
        <f>ROUND(BG68,0)</f>
        <v>0</v>
      </c>
      <c r="L790" s="277">
        <f>ROUND(BG69,0)</f>
        <v>0</v>
      </c>
      <c r="M790" s="277">
        <f>ROUND(BG70,0)</f>
        <v>0</v>
      </c>
      <c r="N790" s="277"/>
      <c r="O790" s="277"/>
      <c r="P790" s="277">
        <f>IF(BG76&gt;0,ROUND(BG76,0),0)</f>
        <v>0</v>
      </c>
      <c r="Q790" s="277">
        <f>IF(BG77&gt;0,ROUND(BG77,0),0)</f>
        <v>0</v>
      </c>
      <c r="R790" s="277">
        <f>IF(BG78&gt;0,ROUND(BG78,0),0)</f>
        <v>0</v>
      </c>
      <c r="S790" s="277">
        <f>IF(BG79&gt;0,ROUND(BG79,0),0)</f>
        <v>0</v>
      </c>
      <c r="T790" s="279">
        <f>IF(BG80&gt;0,ROUND(BG80,2),0)</f>
        <v>0</v>
      </c>
      <c r="U790" s="277"/>
      <c r="V790" s="278"/>
      <c r="W790" s="277"/>
      <c r="X790" s="277"/>
      <c r="Y790" s="277"/>
      <c r="Z790" s="278"/>
      <c r="AA790" s="278"/>
      <c r="AB790" s="278"/>
      <c r="AC790" s="278"/>
      <c r="AD790" s="278"/>
      <c r="AE790" s="278"/>
      <c r="AF790" s="278"/>
      <c r="AG790" s="278"/>
      <c r="AH790" s="278"/>
      <c r="AI790" s="278"/>
      <c r="AJ790" s="278"/>
      <c r="AK790" s="278"/>
      <c r="AL790" s="278"/>
      <c r="AM790" s="278"/>
      <c r="AN790" s="278"/>
      <c r="AO790" s="278"/>
      <c r="AP790" s="278"/>
      <c r="AQ790" s="278"/>
      <c r="AR790" s="278"/>
      <c r="AS790" s="278"/>
      <c r="AT790" s="278"/>
      <c r="AU790" s="278"/>
      <c r="AV790" s="278"/>
      <c r="AW790" s="278"/>
      <c r="AX790" s="278"/>
      <c r="AY790" s="278"/>
      <c r="AZ790" s="278"/>
      <c r="BA790" s="278"/>
      <c r="BB790" s="278"/>
      <c r="BC790" s="278"/>
      <c r="BD790" s="278"/>
      <c r="BE790" s="278"/>
      <c r="BF790" s="278"/>
      <c r="BG790" s="278"/>
      <c r="BH790" s="278"/>
      <c r="BI790" s="278"/>
      <c r="BJ790" s="278"/>
      <c r="BK790" s="278"/>
      <c r="BL790" s="278"/>
      <c r="BM790" s="278"/>
      <c r="BN790" s="278"/>
      <c r="BO790" s="278"/>
      <c r="BP790" s="278"/>
      <c r="BQ790" s="278"/>
      <c r="BR790" s="278"/>
      <c r="BS790" s="278"/>
      <c r="BT790" s="278"/>
      <c r="BU790" s="278"/>
      <c r="BV790" s="278"/>
      <c r="BW790" s="278"/>
      <c r="BX790" s="278"/>
      <c r="BY790" s="278"/>
      <c r="BZ790" s="278"/>
      <c r="CA790" s="278"/>
      <c r="CB790" s="278"/>
      <c r="CC790" s="278"/>
      <c r="CD790" s="278"/>
      <c r="CE790" s="278"/>
    </row>
    <row r="791" spans="1:83" ht="12.65" customHeight="1" x14ac:dyDescent="0.35">
      <c r="A791" s="209" t="str">
        <f>RIGHT($C$83,3)&amp;"*"&amp;RIGHT($C$82,4)&amp;"*"&amp;BH$55&amp;"*"&amp;"A"</f>
        <v>008*2020*8480*A</v>
      </c>
      <c r="B791" s="277"/>
      <c r="C791" s="279">
        <f>ROUND(BH60,2)</f>
        <v>5.84</v>
      </c>
      <c r="D791" s="277">
        <f>ROUND(BH61,0)</f>
        <v>424029</v>
      </c>
      <c r="E791" s="277">
        <f>ROUND(BH62,0)</f>
        <v>100737</v>
      </c>
      <c r="F791" s="277">
        <f>ROUND(BH63,0)</f>
        <v>0</v>
      </c>
      <c r="G791" s="277">
        <f>ROUND(BH64,0)</f>
        <v>24163</v>
      </c>
      <c r="H791" s="277">
        <f>ROUND(BH65,0)</f>
        <v>0</v>
      </c>
      <c r="I791" s="277">
        <f>ROUND(BH66,0)</f>
        <v>712324</v>
      </c>
      <c r="J791" s="277">
        <f>ROUND(BH67,0)</f>
        <v>0</v>
      </c>
      <c r="K791" s="277">
        <f>ROUND(BH68,0)</f>
        <v>1234</v>
      </c>
      <c r="L791" s="277">
        <f>ROUND(BH69,0)</f>
        <v>873</v>
      </c>
      <c r="M791" s="277">
        <f>ROUND(BH70,0)</f>
        <v>0</v>
      </c>
      <c r="N791" s="277"/>
      <c r="O791" s="277"/>
      <c r="P791" s="277">
        <f>IF(BH76&gt;0,ROUND(BH76,0),0)</f>
        <v>1571</v>
      </c>
      <c r="Q791" s="277">
        <f>IF(BH77&gt;0,ROUND(BH77,0),0)</f>
        <v>0</v>
      </c>
      <c r="R791" s="277">
        <f>IF(BH78&gt;0,ROUND(BH78,0),0)</f>
        <v>0</v>
      </c>
      <c r="S791" s="277">
        <f>IF(BH79&gt;0,ROUND(BH79,0),0)</f>
        <v>0</v>
      </c>
      <c r="T791" s="279">
        <f>IF(BH80&gt;0,ROUND(BH80,2),0)</f>
        <v>0</v>
      </c>
      <c r="U791" s="277"/>
      <c r="V791" s="278"/>
      <c r="W791" s="277"/>
      <c r="X791" s="277"/>
      <c r="Y791" s="277"/>
      <c r="Z791" s="278"/>
      <c r="AA791" s="278"/>
      <c r="AB791" s="278"/>
      <c r="AC791" s="278"/>
      <c r="AD791" s="278"/>
      <c r="AE791" s="278"/>
      <c r="AF791" s="278"/>
      <c r="AG791" s="278"/>
      <c r="AH791" s="278"/>
      <c r="AI791" s="278"/>
      <c r="AJ791" s="278"/>
      <c r="AK791" s="278"/>
      <c r="AL791" s="278"/>
      <c r="AM791" s="278"/>
      <c r="AN791" s="278"/>
      <c r="AO791" s="278"/>
      <c r="AP791" s="278"/>
      <c r="AQ791" s="278"/>
      <c r="AR791" s="278"/>
      <c r="AS791" s="278"/>
      <c r="AT791" s="278"/>
      <c r="AU791" s="278"/>
      <c r="AV791" s="278"/>
      <c r="AW791" s="278"/>
      <c r="AX791" s="278"/>
      <c r="AY791" s="278"/>
      <c r="AZ791" s="278"/>
      <c r="BA791" s="278"/>
      <c r="BB791" s="278"/>
      <c r="BC791" s="278"/>
      <c r="BD791" s="278"/>
      <c r="BE791" s="278"/>
      <c r="BF791" s="278"/>
      <c r="BG791" s="278"/>
      <c r="BH791" s="278"/>
      <c r="BI791" s="278"/>
      <c r="BJ791" s="278"/>
      <c r="BK791" s="278"/>
      <c r="BL791" s="278"/>
      <c r="BM791" s="278"/>
      <c r="BN791" s="278"/>
      <c r="BO791" s="278"/>
      <c r="BP791" s="278"/>
      <c r="BQ791" s="278"/>
      <c r="BR791" s="278"/>
      <c r="BS791" s="278"/>
      <c r="BT791" s="278"/>
      <c r="BU791" s="278"/>
      <c r="BV791" s="278"/>
      <c r="BW791" s="278"/>
      <c r="BX791" s="278"/>
      <c r="BY791" s="278"/>
      <c r="BZ791" s="278"/>
      <c r="CA791" s="278"/>
      <c r="CB791" s="278"/>
      <c r="CC791" s="278"/>
      <c r="CD791" s="278"/>
      <c r="CE791" s="278"/>
    </row>
    <row r="792" spans="1:83" ht="12.65" customHeight="1" x14ac:dyDescent="0.35">
      <c r="A792" s="209" t="str">
        <f>RIGHT($C$83,3)&amp;"*"&amp;RIGHT($C$82,4)&amp;"*"&amp;BI$55&amp;"*"&amp;"A"</f>
        <v>008*2020*8490*A</v>
      </c>
      <c r="B792" s="277"/>
      <c r="C792" s="279">
        <f>ROUND(BI60,2)</f>
        <v>0</v>
      </c>
      <c r="D792" s="277">
        <f>ROUND(BI61,0)</f>
        <v>0</v>
      </c>
      <c r="E792" s="277">
        <f>ROUND(BI62,0)</f>
        <v>0</v>
      </c>
      <c r="F792" s="277">
        <f>ROUND(BI63,0)</f>
        <v>0</v>
      </c>
      <c r="G792" s="277">
        <f>ROUND(BI64,0)</f>
        <v>0</v>
      </c>
      <c r="H792" s="277">
        <f>ROUND(BI65,0)</f>
        <v>0</v>
      </c>
      <c r="I792" s="277">
        <f>ROUND(BI66,0)</f>
        <v>0</v>
      </c>
      <c r="J792" s="277">
        <f>ROUND(BI67,0)</f>
        <v>0</v>
      </c>
      <c r="K792" s="277">
        <f>ROUND(BI68,0)</f>
        <v>0</v>
      </c>
      <c r="L792" s="277">
        <f>ROUND(BI69,0)</f>
        <v>0</v>
      </c>
      <c r="M792" s="277">
        <f>ROUND(BI70,0)</f>
        <v>0</v>
      </c>
      <c r="N792" s="277"/>
      <c r="O792" s="277"/>
      <c r="P792" s="277">
        <f>IF(BI76&gt;0,ROUND(BI76,0),0)</f>
        <v>0</v>
      </c>
      <c r="Q792" s="277">
        <f>IF(BI77&gt;0,ROUND(BI77,0),0)</f>
        <v>0</v>
      </c>
      <c r="R792" s="277">
        <f>IF(BI78&gt;0,ROUND(BI78,0),0)</f>
        <v>0</v>
      </c>
      <c r="S792" s="277">
        <f>IF(BI79&gt;0,ROUND(BI79,0),0)</f>
        <v>0</v>
      </c>
      <c r="T792" s="279">
        <f>IF(BI80&gt;0,ROUND(BI80,2),0)</f>
        <v>0</v>
      </c>
      <c r="U792" s="277"/>
      <c r="V792" s="278"/>
      <c r="W792" s="277"/>
      <c r="X792" s="277"/>
      <c r="Y792" s="277"/>
      <c r="Z792" s="278"/>
      <c r="AA792" s="278"/>
      <c r="AB792" s="278"/>
      <c r="AC792" s="278"/>
      <c r="AD792" s="278"/>
      <c r="AE792" s="278"/>
      <c r="AF792" s="278"/>
      <c r="AG792" s="278"/>
      <c r="AH792" s="278"/>
      <c r="AI792" s="278"/>
      <c r="AJ792" s="278"/>
      <c r="AK792" s="278"/>
      <c r="AL792" s="278"/>
      <c r="AM792" s="278"/>
      <c r="AN792" s="278"/>
      <c r="AO792" s="278"/>
      <c r="AP792" s="278"/>
      <c r="AQ792" s="278"/>
      <c r="AR792" s="278"/>
      <c r="AS792" s="278"/>
      <c r="AT792" s="278"/>
      <c r="AU792" s="278"/>
      <c r="AV792" s="278"/>
      <c r="AW792" s="278"/>
      <c r="AX792" s="278"/>
      <c r="AY792" s="278"/>
      <c r="AZ792" s="278"/>
      <c r="BA792" s="278"/>
      <c r="BB792" s="278"/>
      <c r="BC792" s="278"/>
      <c r="BD792" s="278"/>
      <c r="BE792" s="278"/>
      <c r="BF792" s="278"/>
      <c r="BG792" s="278"/>
      <c r="BH792" s="278"/>
      <c r="BI792" s="278"/>
      <c r="BJ792" s="278"/>
      <c r="BK792" s="278"/>
      <c r="BL792" s="278"/>
      <c r="BM792" s="278"/>
      <c r="BN792" s="278"/>
      <c r="BO792" s="278"/>
      <c r="BP792" s="278"/>
      <c r="BQ792" s="278"/>
      <c r="BR792" s="278"/>
      <c r="BS792" s="278"/>
      <c r="BT792" s="278"/>
      <c r="BU792" s="278"/>
      <c r="BV792" s="278"/>
      <c r="BW792" s="278"/>
      <c r="BX792" s="278"/>
      <c r="BY792" s="278"/>
      <c r="BZ792" s="278"/>
      <c r="CA792" s="278"/>
      <c r="CB792" s="278"/>
      <c r="CC792" s="278"/>
      <c r="CD792" s="278"/>
      <c r="CE792" s="278"/>
    </row>
    <row r="793" spans="1:83" ht="12.65" customHeight="1" x14ac:dyDescent="0.35">
      <c r="A793" s="209" t="str">
        <f>RIGHT($C$83,3)&amp;"*"&amp;RIGHT($C$82,4)&amp;"*"&amp;BJ$55&amp;"*"&amp;"A"</f>
        <v>008*2020*8510*A</v>
      </c>
      <c r="B793" s="277"/>
      <c r="C793" s="279">
        <f>ROUND(BJ60,2)</f>
        <v>2.37</v>
      </c>
      <c r="D793" s="277">
        <f>ROUND(BJ61,0)</f>
        <v>243715</v>
      </c>
      <c r="E793" s="277">
        <f>ROUND(BJ62,0)</f>
        <v>43423</v>
      </c>
      <c r="F793" s="277">
        <f>ROUND(BJ63,0)</f>
        <v>0</v>
      </c>
      <c r="G793" s="277">
        <f>ROUND(BJ64,0)</f>
        <v>6244</v>
      </c>
      <c r="H793" s="277">
        <f>ROUND(BJ65,0)</f>
        <v>0</v>
      </c>
      <c r="I793" s="277">
        <f>ROUND(BJ66,0)</f>
        <v>151253</v>
      </c>
      <c r="J793" s="277">
        <f>ROUND(BJ67,0)</f>
        <v>0</v>
      </c>
      <c r="K793" s="277">
        <f>ROUND(BJ68,0)</f>
        <v>4339</v>
      </c>
      <c r="L793" s="277">
        <f>ROUND(BJ69,0)</f>
        <v>203</v>
      </c>
      <c r="M793" s="277">
        <f>ROUND(BJ70,0)</f>
        <v>0</v>
      </c>
      <c r="N793" s="277"/>
      <c r="O793" s="277"/>
      <c r="P793" s="277">
        <f>IF(BJ76&gt;0,ROUND(BJ76,0),0)</f>
        <v>620</v>
      </c>
      <c r="Q793" s="277">
        <f>IF(BJ77&gt;0,ROUND(BJ77,0),0)</f>
        <v>0</v>
      </c>
      <c r="R793" s="277">
        <f>IF(BJ78&gt;0,ROUND(BJ78,0),0)</f>
        <v>0</v>
      </c>
      <c r="S793" s="277">
        <f>IF(BJ79&gt;0,ROUND(BJ79,0),0)</f>
        <v>0</v>
      </c>
      <c r="T793" s="279">
        <f>IF(BJ80&gt;0,ROUND(BJ80,2),0)</f>
        <v>0</v>
      </c>
      <c r="U793" s="277"/>
      <c r="V793" s="278"/>
      <c r="W793" s="277"/>
      <c r="X793" s="277"/>
      <c r="Y793" s="277"/>
      <c r="Z793" s="278"/>
      <c r="AA793" s="278"/>
      <c r="AB793" s="278"/>
      <c r="AC793" s="278"/>
      <c r="AD793" s="278"/>
      <c r="AE793" s="278"/>
      <c r="AF793" s="278"/>
      <c r="AG793" s="278"/>
      <c r="AH793" s="278"/>
      <c r="AI793" s="278"/>
      <c r="AJ793" s="278"/>
      <c r="AK793" s="278"/>
      <c r="AL793" s="278"/>
      <c r="AM793" s="278"/>
      <c r="AN793" s="278"/>
      <c r="AO793" s="278"/>
      <c r="AP793" s="278"/>
      <c r="AQ793" s="278"/>
      <c r="AR793" s="278"/>
      <c r="AS793" s="278"/>
      <c r="AT793" s="278"/>
      <c r="AU793" s="278"/>
      <c r="AV793" s="278"/>
      <c r="AW793" s="278"/>
      <c r="AX793" s="278"/>
      <c r="AY793" s="278"/>
      <c r="AZ793" s="278"/>
      <c r="BA793" s="278"/>
      <c r="BB793" s="278"/>
      <c r="BC793" s="278"/>
      <c r="BD793" s="278"/>
      <c r="BE793" s="278"/>
      <c r="BF793" s="278"/>
      <c r="BG793" s="278"/>
      <c r="BH793" s="278"/>
      <c r="BI793" s="278"/>
      <c r="BJ793" s="278"/>
      <c r="BK793" s="278"/>
      <c r="BL793" s="278"/>
      <c r="BM793" s="278"/>
      <c r="BN793" s="278"/>
      <c r="BO793" s="278"/>
      <c r="BP793" s="278"/>
      <c r="BQ793" s="278"/>
      <c r="BR793" s="278"/>
      <c r="BS793" s="278"/>
      <c r="BT793" s="278"/>
      <c r="BU793" s="278"/>
      <c r="BV793" s="278"/>
      <c r="BW793" s="278"/>
      <c r="BX793" s="278"/>
      <c r="BY793" s="278"/>
      <c r="BZ793" s="278"/>
      <c r="CA793" s="278"/>
      <c r="CB793" s="278"/>
      <c r="CC793" s="278"/>
      <c r="CD793" s="278"/>
      <c r="CE793" s="278"/>
    </row>
    <row r="794" spans="1:83" ht="12.65" customHeight="1" x14ac:dyDescent="0.35">
      <c r="A794" s="209" t="str">
        <f>RIGHT($C$83,3)&amp;"*"&amp;RIGHT($C$82,4)&amp;"*"&amp;BK$55&amp;"*"&amp;"A"</f>
        <v>008*2020*8530*A</v>
      </c>
      <c r="B794" s="277"/>
      <c r="C794" s="279">
        <f>ROUND(BK60,2)</f>
        <v>10.42</v>
      </c>
      <c r="D794" s="277">
        <f>ROUND(BK61,0)</f>
        <v>503107</v>
      </c>
      <c r="E794" s="277">
        <f>ROUND(BK62,0)</f>
        <v>154125</v>
      </c>
      <c r="F794" s="277">
        <f>ROUND(BK63,0)</f>
        <v>0</v>
      </c>
      <c r="G794" s="277">
        <f>ROUND(BK64,0)</f>
        <v>8359</v>
      </c>
      <c r="H794" s="277">
        <f>ROUND(BK65,0)</f>
        <v>0</v>
      </c>
      <c r="I794" s="277">
        <f>ROUND(BK66,0)</f>
        <v>289473</v>
      </c>
      <c r="J794" s="277">
        <f>ROUND(BK67,0)</f>
        <v>0</v>
      </c>
      <c r="K794" s="277">
        <f>ROUND(BK68,0)</f>
        <v>3773</v>
      </c>
      <c r="L794" s="277">
        <f>ROUND(BK69,0)</f>
        <v>58970</v>
      </c>
      <c r="M794" s="277">
        <f>ROUND(BK70,0)</f>
        <v>0</v>
      </c>
      <c r="N794" s="277"/>
      <c r="O794" s="277"/>
      <c r="P794" s="277">
        <f>IF(BK76&gt;0,ROUND(BK76,0),0)</f>
        <v>1721</v>
      </c>
      <c r="Q794" s="277">
        <f>IF(BK77&gt;0,ROUND(BK77,0),0)</f>
        <v>0</v>
      </c>
      <c r="R794" s="277">
        <f>IF(BK78&gt;0,ROUND(BK78,0),0)</f>
        <v>0</v>
      </c>
      <c r="S794" s="277">
        <f>IF(BK79&gt;0,ROUND(BK79,0),0)</f>
        <v>0</v>
      </c>
      <c r="T794" s="279">
        <f>IF(BK80&gt;0,ROUND(BK80,2),0)</f>
        <v>0</v>
      </c>
      <c r="U794" s="277"/>
      <c r="V794" s="278"/>
      <c r="W794" s="277"/>
      <c r="X794" s="277"/>
      <c r="Y794" s="277"/>
      <c r="Z794" s="278"/>
      <c r="AA794" s="278"/>
      <c r="AB794" s="278"/>
      <c r="AC794" s="278"/>
      <c r="AD794" s="278"/>
      <c r="AE794" s="278"/>
      <c r="AF794" s="278"/>
      <c r="AG794" s="278"/>
      <c r="AH794" s="278"/>
      <c r="AI794" s="278"/>
      <c r="AJ794" s="278"/>
      <c r="AK794" s="278"/>
      <c r="AL794" s="278"/>
      <c r="AM794" s="278"/>
      <c r="AN794" s="278"/>
      <c r="AO794" s="278"/>
      <c r="AP794" s="278"/>
      <c r="AQ794" s="278"/>
      <c r="AR794" s="278"/>
      <c r="AS794" s="278"/>
      <c r="AT794" s="278"/>
      <c r="AU794" s="278"/>
      <c r="AV794" s="278"/>
      <c r="AW794" s="278"/>
      <c r="AX794" s="278"/>
      <c r="AY794" s="278"/>
      <c r="AZ794" s="278"/>
      <c r="BA794" s="278"/>
      <c r="BB794" s="278"/>
      <c r="BC794" s="278"/>
      <c r="BD794" s="278"/>
      <c r="BE794" s="278"/>
      <c r="BF794" s="278"/>
      <c r="BG794" s="278"/>
      <c r="BH794" s="278"/>
      <c r="BI794" s="278"/>
      <c r="BJ794" s="278"/>
      <c r="BK794" s="278"/>
      <c r="BL794" s="278"/>
      <c r="BM794" s="278"/>
      <c r="BN794" s="278"/>
      <c r="BO794" s="278"/>
      <c r="BP794" s="278"/>
      <c r="BQ794" s="278"/>
      <c r="BR794" s="278"/>
      <c r="BS794" s="278"/>
      <c r="BT794" s="278"/>
      <c r="BU794" s="278"/>
      <c r="BV794" s="278"/>
      <c r="BW794" s="278"/>
      <c r="BX794" s="278"/>
      <c r="BY794" s="278"/>
      <c r="BZ794" s="278"/>
      <c r="CA794" s="278"/>
      <c r="CB794" s="278"/>
      <c r="CC794" s="278"/>
      <c r="CD794" s="278"/>
      <c r="CE794" s="278"/>
    </row>
    <row r="795" spans="1:83" ht="12.65" customHeight="1" x14ac:dyDescent="0.35">
      <c r="A795" s="209" t="str">
        <f>RIGHT($C$83,3)&amp;"*"&amp;RIGHT($C$82,4)&amp;"*"&amp;BL$55&amp;"*"&amp;"A"</f>
        <v>008*2020*8560*A</v>
      </c>
      <c r="B795" s="277"/>
      <c r="C795" s="279">
        <f>ROUND(BL60,2)</f>
        <v>5.12</v>
      </c>
      <c r="D795" s="277">
        <f>ROUND(BL61,0)</f>
        <v>174812</v>
      </c>
      <c r="E795" s="277">
        <f>ROUND(BL62,0)</f>
        <v>57824</v>
      </c>
      <c r="F795" s="277">
        <f>ROUND(BL63,0)</f>
        <v>0</v>
      </c>
      <c r="G795" s="277">
        <f>ROUND(BL64,0)</f>
        <v>5539</v>
      </c>
      <c r="H795" s="277">
        <f>ROUND(BL65,0)</f>
        <v>0</v>
      </c>
      <c r="I795" s="277">
        <f>ROUND(BL66,0)</f>
        <v>448</v>
      </c>
      <c r="J795" s="277">
        <f>ROUND(BL67,0)</f>
        <v>0</v>
      </c>
      <c r="K795" s="277">
        <f>ROUND(BL68,0)</f>
        <v>3772</v>
      </c>
      <c r="L795" s="277">
        <f>ROUND(BL69,0)</f>
        <v>-518</v>
      </c>
      <c r="M795" s="277">
        <f>ROUND(BL70,0)</f>
        <v>0</v>
      </c>
      <c r="N795" s="277"/>
      <c r="O795" s="277"/>
      <c r="P795" s="277">
        <f>IF(BL76&gt;0,ROUND(BL76,0),0)</f>
        <v>410</v>
      </c>
      <c r="Q795" s="277">
        <f>IF(BL77&gt;0,ROUND(BL77,0),0)</f>
        <v>0</v>
      </c>
      <c r="R795" s="277">
        <f>IF(BL78&gt;0,ROUND(BL78,0),0)</f>
        <v>0</v>
      </c>
      <c r="S795" s="277">
        <f>IF(BL79&gt;0,ROUND(BL79,0),0)</f>
        <v>0</v>
      </c>
      <c r="T795" s="279">
        <f>IF(BL80&gt;0,ROUND(BL80,2),0)</f>
        <v>0</v>
      </c>
      <c r="U795" s="277"/>
      <c r="V795" s="278"/>
      <c r="W795" s="277"/>
      <c r="X795" s="277"/>
      <c r="Y795" s="277"/>
      <c r="Z795" s="278"/>
      <c r="AA795" s="278"/>
      <c r="AB795" s="278"/>
      <c r="AC795" s="278"/>
      <c r="AD795" s="278"/>
      <c r="AE795" s="278"/>
      <c r="AF795" s="278"/>
      <c r="AG795" s="278"/>
      <c r="AH795" s="278"/>
      <c r="AI795" s="278"/>
      <c r="AJ795" s="278"/>
      <c r="AK795" s="278"/>
      <c r="AL795" s="278"/>
      <c r="AM795" s="278"/>
      <c r="AN795" s="278"/>
      <c r="AO795" s="278"/>
      <c r="AP795" s="278"/>
      <c r="AQ795" s="278"/>
      <c r="AR795" s="278"/>
      <c r="AS795" s="278"/>
      <c r="AT795" s="278"/>
      <c r="AU795" s="278"/>
      <c r="AV795" s="278"/>
      <c r="AW795" s="278"/>
      <c r="AX795" s="278"/>
      <c r="AY795" s="278"/>
      <c r="AZ795" s="278"/>
      <c r="BA795" s="278"/>
      <c r="BB795" s="278"/>
      <c r="BC795" s="278"/>
      <c r="BD795" s="278"/>
      <c r="BE795" s="278"/>
      <c r="BF795" s="278"/>
      <c r="BG795" s="278"/>
      <c r="BH795" s="278"/>
      <c r="BI795" s="278"/>
      <c r="BJ795" s="278"/>
      <c r="BK795" s="278"/>
      <c r="BL795" s="278"/>
      <c r="BM795" s="278"/>
      <c r="BN795" s="278"/>
      <c r="BO795" s="278"/>
      <c r="BP795" s="278"/>
      <c r="BQ795" s="278"/>
      <c r="BR795" s="278"/>
      <c r="BS795" s="278"/>
      <c r="BT795" s="278"/>
      <c r="BU795" s="278"/>
      <c r="BV795" s="278"/>
      <c r="BW795" s="278"/>
      <c r="BX795" s="278"/>
      <c r="BY795" s="278"/>
      <c r="BZ795" s="278"/>
      <c r="CA795" s="278"/>
      <c r="CB795" s="278"/>
      <c r="CC795" s="278"/>
      <c r="CD795" s="278"/>
      <c r="CE795" s="278"/>
    </row>
    <row r="796" spans="1:83" ht="12.65" customHeight="1" x14ac:dyDescent="0.35">
      <c r="A796" s="209" t="str">
        <f>RIGHT($C$83,3)&amp;"*"&amp;RIGHT($C$82,4)&amp;"*"&amp;BM$55&amp;"*"&amp;"A"</f>
        <v>008*2020*8590*A</v>
      </c>
      <c r="B796" s="277"/>
      <c r="C796" s="279">
        <f>ROUND(BM60,2)</f>
        <v>0</v>
      </c>
      <c r="D796" s="277">
        <f>ROUND(BM61,0)</f>
        <v>0</v>
      </c>
      <c r="E796" s="277">
        <f>ROUND(BM62,0)</f>
        <v>0</v>
      </c>
      <c r="F796" s="277">
        <f>ROUND(BM63,0)</f>
        <v>0</v>
      </c>
      <c r="G796" s="277">
        <f>ROUND(BM64,0)</f>
        <v>0</v>
      </c>
      <c r="H796" s="277">
        <f>ROUND(BM65,0)</f>
        <v>0</v>
      </c>
      <c r="I796" s="277">
        <f>ROUND(BM66,0)</f>
        <v>0</v>
      </c>
      <c r="J796" s="277">
        <f>ROUND(BM67,0)</f>
        <v>0</v>
      </c>
      <c r="K796" s="277">
        <f>ROUND(BM68,0)</f>
        <v>0</v>
      </c>
      <c r="L796" s="277">
        <f>ROUND(BM69,0)</f>
        <v>0</v>
      </c>
      <c r="M796" s="277">
        <f>ROUND(BM70,0)</f>
        <v>0</v>
      </c>
      <c r="N796" s="277"/>
      <c r="O796" s="277"/>
      <c r="P796" s="277">
        <f>IF(BM76&gt;0,ROUND(BM76,0),0)</f>
        <v>0</v>
      </c>
      <c r="Q796" s="277">
        <f>IF(BM77&gt;0,ROUND(BM77,0),0)</f>
        <v>0</v>
      </c>
      <c r="R796" s="277">
        <f>IF(BM78&gt;0,ROUND(BM78,0),0)</f>
        <v>0</v>
      </c>
      <c r="S796" s="277">
        <f>IF(BM79&gt;0,ROUND(BM79,0),0)</f>
        <v>0</v>
      </c>
      <c r="T796" s="279">
        <f>IF(BM80&gt;0,ROUND(BM80,2),0)</f>
        <v>0</v>
      </c>
      <c r="U796" s="277"/>
      <c r="V796" s="278"/>
      <c r="W796" s="277"/>
      <c r="X796" s="277"/>
      <c r="Y796" s="277"/>
      <c r="Z796" s="278"/>
      <c r="AA796" s="278"/>
      <c r="AB796" s="278"/>
      <c r="AC796" s="278"/>
      <c r="AD796" s="278"/>
      <c r="AE796" s="278"/>
      <c r="AF796" s="278"/>
      <c r="AG796" s="278"/>
      <c r="AH796" s="278"/>
      <c r="AI796" s="278"/>
      <c r="AJ796" s="278"/>
      <c r="AK796" s="278"/>
      <c r="AL796" s="278"/>
      <c r="AM796" s="278"/>
      <c r="AN796" s="278"/>
      <c r="AO796" s="278"/>
      <c r="AP796" s="278"/>
      <c r="AQ796" s="278"/>
      <c r="AR796" s="278"/>
      <c r="AS796" s="278"/>
      <c r="AT796" s="278"/>
      <c r="AU796" s="278"/>
      <c r="AV796" s="278"/>
      <c r="AW796" s="278"/>
      <c r="AX796" s="278"/>
      <c r="AY796" s="278"/>
      <c r="AZ796" s="278"/>
      <c r="BA796" s="278"/>
      <c r="BB796" s="278"/>
      <c r="BC796" s="278"/>
      <c r="BD796" s="278"/>
      <c r="BE796" s="278"/>
      <c r="BF796" s="278"/>
      <c r="BG796" s="278"/>
      <c r="BH796" s="278"/>
      <c r="BI796" s="278"/>
      <c r="BJ796" s="278"/>
      <c r="BK796" s="278"/>
      <c r="BL796" s="278"/>
      <c r="BM796" s="278"/>
      <c r="BN796" s="278"/>
      <c r="BO796" s="278"/>
      <c r="BP796" s="278"/>
      <c r="BQ796" s="278"/>
      <c r="BR796" s="278"/>
      <c r="BS796" s="278"/>
      <c r="BT796" s="278"/>
      <c r="BU796" s="278"/>
      <c r="BV796" s="278"/>
      <c r="BW796" s="278"/>
      <c r="BX796" s="278"/>
      <c r="BY796" s="278"/>
      <c r="BZ796" s="278"/>
      <c r="CA796" s="278"/>
      <c r="CB796" s="278"/>
      <c r="CC796" s="278"/>
      <c r="CD796" s="278"/>
      <c r="CE796" s="278"/>
    </row>
    <row r="797" spans="1:83" ht="12.65" customHeight="1" x14ac:dyDescent="0.35">
      <c r="A797" s="209" t="str">
        <f>RIGHT($C$83,3)&amp;"*"&amp;RIGHT($C$82,4)&amp;"*"&amp;BN$55&amp;"*"&amp;"A"</f>
        <v>008*2020*8610*A</v>
      </c>
      <c r="B797" s="277"/>
      <c r="C797" s="279">
        <f>ROUND(BN60,2)</f>
        <v>9.77</v>
      </c>
      <c r="D797" s="277">
        <f>ROUND(BN61,0)</f>
        <v>814051</v>
      </c>
      <c r="E797" s="277">
        <f>ROUND(BN62,0)</f>
        <v>142560</v>
      </c>
      <c r="F797" s="277">
        <f>ROUND(BN63,0)</f>
        <v>184979</v>
      </c>
      <c r="G797" s="277">
        <f>ROUND(BN64,0)</f>
        <v>409354</v>
      </c>
      <c r="H797" s="277">
        <f>ROUND(BN65,0)</f>
        <v>0</v>
      </c>
      <c r="I797" s="277">
        <f>ROUND(BN66,0)</f>
        <v>212795</v>
      </c>
      <c r="J797" s="277">
        <f>ROUND(BN67,0)</f>
        <v>1119833</v>
      </c>
      <c r="K797" s="277">
        <f>ROUND(BN68,0)</f>
        <v>11981</v>
      </c>
      <c r="L797" s="277">
        <f>ROUND(BN69,0)</f>
        <v>731680</v>
      </c>
      <c r="M797" s="277">
        <f>ROUND(BN70,0)</f>
        <v>0</v>
      </c>
      <c r="N797" s="277"/>
      <c r="O797" s="277"/>
      <c r="P797" s="277">
        <f>IF(BN76&gt;0,ROUND(BN76,0),0)</f>
        <v>6034</v>
      </c>
      <c r="Q797" s="277">
        <f>IF(BN77&gt;0,ROUND(BN77,0),0)</f>
        <v>0</v>
      </c>
      <c r="R797" s="277">
        <f>IF(BN78&gt;0,ROUND(BN78,0),0)</f>
        <v>0</v>
      </c>
      <c r="S797" s="277">
        <f>IF(BN79&gt;0,ROUND(BN79,0),0)</f>
        <v>0</v>
      </c>
      <c r="T797" s="279">
        <f>IF(BN80&gt;0,ROUND(BN80,2),0)</f>
        <v>0</v>
      </c>
      <c r="U797" s="277"/>
      <c r="V797" s="278"/>
      <c r="W797" s="277"/>
      <c r="X797" s="277"/>
      <c r="Y797" s="277"/>
      <c r="Z797" s="278"/>
      <c r="AA797" s="278"/>
      <c r="AB797" s="278"/>
      <c r="AC797" s="278"/>
      <c r="AD797" s="278"/>
      <c r="AE797" s="278"/>
      <c r="AF797" s="278"/>
      <c r="AG797" s="278"/>
      <c r="AH797" s="278"/>
      <c r="AI797" s="278"/>
      <c r="AJ797" s="278"/>
      <c r="AK797" s="278"/>
      <c r="AL797" s="278"/>
      <c r="AM797" s="278"/>
      <c r="AN797" s="278"/>
      <c r="AO797" s="278"/>
      <c r="AP797" s="278"/>
      <c r="AQ797" s="278"/>
      <c r="AR797" s="278"/>
      <c r="AS797" s="278"/>
      <c r="AT797" s="278"/>
      <c r="AU797" s="278"/>
      <c r="AV797" s="278"/>
      <c r="AW797" s="278"/>
      <c r="AX797" s="278"/>
      <c r="AY797" s="278"/>
      <c r="AZ797" s="278"/>
      <c r="BA797" s="278"/>
      <c r="BB797" s="278"/>
      <c r="BC797" s="278"/>
      <c r="BD797" s="278"/>
      <c r="BE797" s="278"/>
      <c r="BF797" s="278"/>
      <c r="BG797" s="278"/>
      <c r="BH797" s="278"/>
      <c r="BI797" s="278"/>
      <c r="BJ797" s="278"/>
      <c r="BK797" s="278"/>
      <c r="BL797" s="278"/>
      <c r="BM797" s="278"/>
      <c r="BN797" s="278"/>
      <c r="BO797" s="278"/>
      <c r="BP797" s="278"/>
      <c r="BQ797" s="278"/>
      <c r="BR797" s="278"/>
      <c r="BS797" s="278"/>
      <c r="BT797" s="278"/>
      <c r="BU797" s="278"/>
      <c r="BV797" s="278"/>
      <c r="BW797" s="278"/>
      <c r="BX797" s="278"/>
      <c r="BY797" s="278"/>
      <c r="BZ797" s="278"/>
      <c r="CA797" s="278"/>
      <c r="CB797" s="278"/>
      <c r="CC797" s="278"/>
      <c r="CD797" s="278"/>
      <c r="CE797" s="278"/>
    </row>
    <row r="798" spans="1:83" ht="12.65" customHeight="1" x14ac:dyDescent="0.35">
      <c r="A798" s="209" t="str">
        <f>RIGHT($C$83,3)&amp;"*"&amp;RIGHT($C$82,4)&amp;"*"&amp;BO$55&amp;"*"&amp;"A"</f>
        <v>008*2020*8620*A</v>
      </c>
      <c r="B798" s="277"/>
      <c r="C798" s="279">
        <f>ROUND(BO60,2)</f>
        <v>0</v>
      </c>
      <c r="D798" s="277">
        <f>ROUND(BO61,0)</f>
        <v>0</v>
      </c>
      <c r="E798" s="277">
        <f>ROUND(BO62,0)</f>
        <v>0</v>
      </c>
      <c r="F798" s="277">
        <f>ROUND(BO63,0)</f>
        <v>0</v>
      </c>
      <c r="G798" s="277">
        <f>ROUND(BO64,0)</f>
        <v>0</v>
      </c>
      <c r="H798" s="277">
        <f>ROUND(BO65,0)</f>
        <v>0</v>
      </c>
      <c r="I798" s="277">
        <f>ROUND(BO66,0)</f>
        <v>0</v>
      </c>
      <c r="J798" s="277">
        <f>ROUND(BO67,0)</f>
        <v>0</v>
      </c>
      <c r="K798" s="277">
        <f>ROUND(BO68,0)</f>
        <v>0</v>
      </c>
      <c r="L798" s="277">
        <f>ROUND(BO69,0)</f>
        <v>0</v>
      </c>
      <c r="M798" s="277">
        <f>ROUND(BO70,0)</f>
        <v>0</v>
      </c>
      <c r="N798" s="277"/>
      <c r="O798" s="277"/>
      <c r="P798" s="277">
        <f>IF(BO76&gt;0,ROUND(BO76,0),0)</f>
        <v>0</v>
      </c>
      <c r="Q798" s="277">
        <f>IF(BO77&gt;0,ROUND(BO77,0),0)</f>
        <v>0</v>
      </c>
      <c r="R798" s="277">
        <f>IF(BO78&gt;0,ROUND(BO78,0),0)</f>
        <v>0</v>
      </c>
      <c r="S798" s="277">
        <f>IF(BO79&gt;0,ROUND(BO79,0),0)</f>
        <v>0</v>
      </c>
      <c r="T798" s="279">
        <f>IF(BO80&gt;0,ROUND(BO80,2),0)</f>
        <v>0</v>
      </c>
      <c r="U798" s="277"/>
      <c r="V798" s="278"/>
      <c r="W798" s="277"/>
      <c r="X798" s="277"/>
      <c r="Y798" s="277"/>
      <c r="Z798" s="278"/>
      <c r="AA798" s="278"/>
      <c r="AB798" s="278"/>
      <c r="AC798" s="278"/>
      <c r="AD798" s="278"/>
      <c r="AE798" s="278"/>
      <c r="AF798" s="278"/>
      <c r="AG798" s="278"/>
      <c r="AH798" s="278"/>
      <c r="AI798" s="278"/>
      <c r="AJ798" s="278"/>
      <c r="AK798" s="278"/>
      <c r="AL798" s="278"/>
      <c r="AM798" s="278"/>
      <c r="AN798" s="278"/>
      <c r="AO798" s="278"/>
      <c r="AP798" s="278"/>
      <c r="AQ798" s="278"/>
      <c r="AR798" s="278"/>
      <c r="AS798" s="278"/>
      <c r="AT798" s="278"/>
      <c r="AU798" s="278"/>
      <c r="AV798" s="278"/>
      <c r="AW798" s="278"/>
      <c r="AX798" s="278"/>
      <c r="AY798" s="278"/>
      <c r="AZ798" s="278"/>
      <c r="BA798" s="278"/>
      <c r="BB798" s="278"/>
      <c r="BC798" s="278"/>
      <c r="BD798" s="278"/>
      <c r="BE798" s="278"/>
      <c r="BF798" s="278"/>
      <c r="BG798" s="278"/>
      <c r="BH798" s="278"/>
      <c r="BI798" s="278"/>
      <c r="BJ798" s="278"/>
      <c r="BK798" s="278"/>
      <c r="BL798" s="278"/>
      <c r="BM798" s="278"/>
      <c r="BN798" s="278"/>
      <c r="BO798" s="278"/>
      <c r="BP798" s="278"/>
      <c r="BQ798" s="278"/>
      <c r="BR798" s="278"/>
      <c r="BS798" s="278"/>
      <c r="BT798" s="278"/>
      <c r="BU798" s="278"/>
      <c r="BV798" s="278"/>
      <c r="BW798" s="278"/>
      <c r="BX798" s="278"/>
      <c r="BY798" s="278"/>
      <c r="BZ798" s="278"/>
      <c r="CA798" s="278"/>
      <c r="CB798" s="278"/>
      <c r="CC798" s="278"/>
      <c r="CD798" s="278"/>
      <c r="CE798" s="278"/>
    </row>
    <row r="799" spans="1:83" ht="12.65" customHeight="1" x14ac:dyDescent="0.35">
      <c r="A799" s="209" t="str">
        <f>RIGHT($C$83,3)&amp;"*"&amp;RIGHT($C$82,4)&amp;"*"&amp;BP$55&amp;"*"&amp;"A"</f>
        <v>008*2020*8630*A</v>
      </c>
      <c r="B799" s="277"/>
      <c r="C799" s="279">
        <f>ROUND(BP60,2)</f>
        <v>0</v>
      </c>
      <c r="D799" s="277">
        <f>ROUND(BP61,0)</f>
        <v>0</v>
      </c>
      <c r="E799" s="277">
        <f>ROUND(BP62,0)</f>
        <v>0</v>
      </c>
      <c r="F799" s="277">
        <f>ROUND(BP63,0)</f>
        <v>0</v>
      </c>
      <c r="G799" s="277">
        <f>ROUND(BP64,0)</f>
        <v>0</v>
      </c>
      <c r="H799" s="277">
        <f>ROUND(BP65,0)</f>
        <v>0</v>
      </c>
      <c r="I799" s="277">
        <f>ROUND(BP66,0)</f>
        <v>0</v>
      </c>
      <c r="J799" s="277">
        <f>ROUND(BP67,0)</f>
        <v>0</v>
      </c>
      <c r="K799" s="277">
        <f>ROUND(BP68,0)</f>
        <v>0</v>
      </c>
      <c r="L799" s="277">
        <f>ROUND(BP69,0)</f>
        <v>0</v>
      </c>
      <c r="M799" s="277">
        <f>ROUND(BP70,0)</f>
        <v>0</v>
      </c>
      <c r="N799" s="277"/>
      <c r="O799" s="277"/>
      <c r="P799" s="277">
        <f>IF(BP76&gt;0,ROUND(BP76,0),0)</f>
        <v>0</v>
      </c>
      <c r="Q799" s="277">
        <f>IF(BP77&gt;0,ROUND(BP77,0),0)</f>
        <v>0</v>
      </c>
      <c r="R799" s="277">
        <f>IF(BP78&gt;0,ROUND(BP78,0),0)</f>
        <v>0</v>
      </c>
      <c r="S799" s="277">
        <f>IF(BP79&gt;0,ROUND(BP79,0),0)</f>
        <v>0</v>
      </c>
      <c r="T799" s="279">
        <f>IF(BP80&gt;0,ROUND(BP80,2),0)</f>
        <v>0</v>
      </c>
      <c r="U799" s="277"/>
      <c r="V799" s="278"/>
      <c r="W799" s="277"/>
      <c r="X799" s="277"/>
      <c r="Y799" s="277"/>
      <c r="Z799" s="278"/>
      <c r="AA799" s="278"/>
      <c r="AB799" s="278"/>
      <c r="AC799" s="278"/>
      <c r="AD799" s="278"/>
      <c r="AE799" s="278"/>
      <c r="AF799" s="278"/>
      <c r="AG799" s="278"/>
      <c r="AH799" s="278"/>
      <c r="AI799" s="278"/>
      <c r="AJ799" s="278"/>
      <c r="AK799" s="278"/>
      <c r="AL799" s="278"/>
      <c r="AM799" s="278"/>
      <c r="AN799" s="278"/>
      <c r="AO799" s="278"/>
      <c r="AP799" s="278"/>
      <c r="AQ799" s="278"/>
      <c r="AR799" s="278"/>
      <c r="AS799" s="278"/>
      <c r="AT799" s="278"/>
      <c r="AU799" s="278"/>
      <c r="AV799" s="278"/>
      <c r="AW799" s="278"/>
      <c r="AX799" s="278"/>
      <c r="AY799" s="278"/>
      <c r="AZ799" s="278"/>
      <c r="BA799" s="278"/>
      <c r="BB799" s="278"/>
      <c r="BC799" s="278"/>
      <c r="BD799" s="278"/>
      <c r="BE799" s="278"/>
      <c r="BF799" s="278"/>
      <c r="BG799" s="278"/>
      <c r="BH799" s="278"/>
      <c r="BI799" s="278"/>
      <c r="BJ799" s="278"/>
      <c r="BK799" s="278"/>
      <c r="BL799" s="278"/>
      <c r="BM799" s="278"/>
      <c r="BN799" s="278"/>
      <c r="BO799" s="278"/>
      <c r="BP799" s="278"/>
      <c r="BQ799" s="278"/>
      <c r="BR799" s="278"/>
      <c r="BS799" s="278"/>
      <c r="BT799" s="278"/>
      <c r="BU799" s="278"/>
      <c r="BV799" s="278"/>
      <c r="BW799" s="278"/>
      <c r="BX799" s="278"/>
      <c r="BY799" s="278"/>
      <c r="BZ799" s="278"/>
      <c r="CA799" s="278"/>
      <c r="CB799" s="278"/>
      <c r="CC799" s="278"/>
      <c r="CD799" s="278"/>
      <c r="CE799" s="278"/>
    </row>
    <row r="800" spans="1:83" ht="12.65" customHeight="1" x14ac:dyDescent="0.35">
      <c r="A800" s="209" t="str">
        <f>RIGHT($C$83,3)&amp;"*"&amp;RIGHT($C$82,4)&amp;"*"&amp;BQ$55&amp;"*"&amp;"A"</f>
        <v>008*2020*8640*A</v>
      </c>
      <c r="B800" s="277"/>
      <c r="C800" s="279">
        <f>ROUND(BQ60,2)</f>
        <v>0</v>
      </c>
      <c r="D800" s="277">
        <f>ROUND(BQ61,0)</f>
        <v>0</v>
      </c>
      <c r="E800" s="277">
        <f>ROUND(BQ62,0)</f>
        <v>0</v>
      </c>
      <c r="F800" s="277">
        <f>ROUND(BQ63,0)</f>
        <v>0</v>
      </c>
      <c r="G800" s="277">
        <f>ROUND(BQ64,0)</f>
        <v>0</v>
      </c>
      <c r="H800" s="277">
        <f>ROUND(BQ65,0)</f>
        <v>0</v>
      </c>
      <c r="I800" s="277">
        <f>ROUND(BQ66,0)</f>
        <v>0</v>
      </c>
      <c r="J800" s="277">
        <f>ROUND(BQ67,0)</f>
        <v>0</v>
      </c>
      <c r="K800" s="277">
        <f>ROUND(BQ68,0)</f>
        <v>0</v>
      </c>
      <c r="L800" s="277">
        <f>ROUND(BQ69,0)</f>
        <v>0</v>
      </c>
      <c r="M800" s="277">
        <f>ROUND(BQ70,0)</f>
        <v>0</v>
      </c>
      <c r="N800" s="277"/>
      <c r="O800" s="277"/>
      <c r="P800" s="277">
        <f>IF(BQ76&gt;0,ROUND(BQ76,0),0)</f>
        <v>0</v>
      </c>
      <c r="Q800" s="277">
        <f>IF(BQ77&gt;0,ROUND(BQ77,0),0)</f>
        <v>0</v>
      </c>
      <c r="R800" s="277">
        <f>IF(BQ78&gt;0,ROUND(BQ78,0),0)</f>
        <v>0</v>
      </c>
      <c r="S800" s="277">
        <f>IF(BQ79&gt;0,ROUND(BQ79,0),0)</f>
        <v>0</v>
      </c>
      <c r="T800" s="279">
        <f>IF(BQ80&gt;0,ROUND(BQ80,2),0)</f>
        <v>0</v>
      </c>
      <c r="U800" s="277"/>
      <c r="V800" s="278"/>
      <c r="W800" s="277"/>
      <c r="X800" s="277"/>
      <c r="Y800" s="277"/>
      <c r="Z800" s="278"/>
      <c r="AA800" s="278"/>
      <c r="AB800" s="278"/>
      <c r="AC800" s="278"/>
      <c r="AD800" s="278"/>
      <c r="AE800" s="278"/>
      <c r="AF800" s="278"/>
      <c r="AG800" s="278"/>
      <c r="AH800" s="278"/>
      <c r="AI800" s="278"/>
      <c r="AJ800" s="278"/>
      <c r="AK800" s="278"/>
      <c r="AL800" s="278"/>
      <c r="AM800" s="278"/>
      <c r="AN800" s="278"/>
      <c r="AO800" s="278"/>
      <c r="AP800" s="278"/>
      <c r="AQ800" s="278"/>
      <c r="AR800" s="278"/>
      <c r="AS800" s="278"/>
      <c r="AT800" s="278"/>
      <c r="AU800" s="278"/>
      <c r="AV800" s="278"/>
      <c r="AW800" s="278"/>
      <c r="AX800" s="278"/>
      <c r="AY800" s="278"/>
      <c r="AZ800" s="278"/>
      <c r="BA800" s="278"/>
      <c r="BB800" s="278"/>
      <c r="BC800" s="278"/>
      <c r="BD800" s="278"/>
      <c r="BE800" s="278"/>
      <c r="BF800" s="278"/>
      <c r="BG800" s="278"/>
      <c r="BH800" s="278"/>
      <c r="BI800" s="278"/>
      <c r="BJ800" s="278"/>
      <c r="BK800" s="278"/>
      <c r="BL800" s="278"/>
      <c r="BM800" s="278"/>
      <c r="BN800" s="278"/>
      <c r="BO800" s="278"/>
      <c r="BP800" s="278"/>
      <c r="BQ800" s="278"/>
      <c r="BR800" s="278"/>
      <c r="BS800" s="278"/>
      <c r="BT800" s="278"/>
      <c r="BU800" s="278"/>
      <c r="BV800" s="278"/>
      <c r="BW800" s="278"/>
      <c r="BX800" s="278"/>
      <c r="BY800" s="278"/>
      <c r="BZ800" s="278"/>
      <c r="CA800" s="278"/>
      <c r="CB800" s="278"/>
      <c r="CC800" s="278"/>
      <c r="CD800" s="278"/>
      <c r="CE800" s="278"/>
    </row>
    <row r="801" spans="1:83" ht="12.65" customHeight="1" x14ac:dyDescent="0.35">
      <c r="A801" s="209" t="str">
        <f>RIGHT($C$83,3)&amp;"*"&amp;RIGHT($C$82,4)&amp;"*"&amp;BR$55&amp;"*"&amp;"A"</f>
        <v>008*2020*8650*A</v>
      </c>
      <c r="B801" s="277"/>
      <c r="C801" s="279">
        <f>ROUND(BR60,2)</f>
        <v>0</v>
      </c>
      <c r="D801" s="277">
        <f>ROUND(BR61,0)</f>
        <v>0</v>
      </c>
      <c r="E801" s="277">
        <f>ROUND(BR62,0)</f>
        <v>0</v>
      </c>
      <c r="F801" s="277">
        <f>ROUND(BR63,0)</f>
        <v>0</v>
      </c>
      <c r="G801" s="277">
        <f>ROUND(BR64,0)</f>
        <v>0</v>
      </c>
      <c r="H801" s="277">
        <f>ROUND(BR65,0)</f>
        <v>0</v>
      </c>
      <c r="I801" s="277">
        <f>ROUND(BR66,0)</f>
        <v>0</v>
      </c>
      <c r="J801" s="277">
        <f>ROUND(BR67,0)</f>
        <v>0</v>
      </c>
      <c r="K801" s="277">
        <f>ROUND(BR68,0)</f>
        <v>0</v>
      </c>
      <c r="L801" s="277">
        <f>ROUND(BR69,0)</f>
        <v>0</v>
      </c>
      <c r="M801" s="277">
        <f>ROUND(BR70,0)</f>
        <v>0</v>
      </c>
      <c r="N801" s="277"/>
      <c r="O801" s="277"/>
      <c r="P801" s="277">
        <f>IF(BR76&gt;0,ROUND(BR76,0),0)</f>
        <v>0</v>
      </c>
      <c r="Q801" s="277">
        <f>IF(BR77&gt;0,ROUND(BR77,0),0)</f>
        <v>0</v>
      </c>
      <c r="R801" s="277">
        <f>IF(BR78&gt;0,ROUND(BR78,0),0)</f>
        <v>0</v>
      </c>
      <c r="S801" s="277">
        <f>IF(BR79&gt;0,ROUND(BR79,0),0)</f>
        <v>0</v>
      </c>
      <c r="T801" s="279">
        <f>IF(BR80&gt;0,ROUND(BR80,2),0)</f>
        <v>0</v>
      </c>
      <c r="U801" s="277"/>
      <c r="V801" s="278"/>
      <c r="W801" s="277"/>
      <c r="X801" s="277"/>
      <c r="Y801" s="277"/>
      <c r="Z801" s="278"/>
      <c r="AA801" s="278"/>
      <c r="AB801" s="278"/>
      <c r="AC801" s="278"/>
      <c r="AD801" s="278"/>
      <c r="AE801" s="278"/>
      <c r="AF801" s="278"/>
      <c r="AG801" s="278"/>
      <c r="AH801" s="278"/>
      <c r="AI801" s="278"/>
      <c r="AJ801" s="278"/>
      <c r="AK801" s="278"/>
      <c r="AL801" s="278"/>
      <c r="AM801" s="278"/>
      <c r="AN801" s="278"/>
      <c r="AO801" s="278"/>
      <c r="AP801" s="278"/>
      <c r="AQ801" s="278"/>
      <c r="AR801" s="278"/>
      <c r="AS801" s="278"/>
      <c r="AT801" s="278"/>
      <c r="AU801" s="278"/>
      <c r="AV801" s="278"/>
      <c r="AW801" s="278"/>
      <c r="AX801" s="278"/>
      <c r="AY801" s="278"/>
      <c r="AZ801" s="278"/>
      <c r="BA801" s="278"/>
      <c r="BB801" s="278"/>
      <c r="BC801" s="278"/>
      <c r="BD801" s="278"/>
      <c r="BE801" s="278"/>
      <c r="BF801" s="278"/>
      <c r="BG801" s="278"/>
      <c r="BH801" s="278"/>
      <c r="BI801" s="278"/>
      <c r="BJ801" s="278"/>
      <c r="BK801" s="278"/>
      <c r="BL801" s="278"/>
      <c r="BM801" s="278"/>
      <c r="BN801" s="278"/>
      <c r="BO801" s="278"/>
      <c r="BP801" s="278"/>
      <c r="BQ801" s="278"/>
      <c r="BR801" s="278"/>
      <c r="BS801" s="278"/>
      <c r="BT801" s="278"/>
      <c r="BU801" s="278"/>
      <c r="BV801" s="278"/>
      <c r="BW801" s="278"/>
      <c r="BX801" s="278"/>
      <c r="BY801" s="278"/>
      <c r="BZ801" s="278"/>
      <c r="CA801" s="278"/>
      <c r="CB801" s="278"/>
      <c r="CC801" s="278"/>
      <c r="CD801" s="278"/>
      <c r="CE801" s="278"/>
    </row>
    <row r="802" spans="1:83" ht="12.65" customHeight="1" x14ac:dyDescent="0.35">
      <c r="A802" s="209" t="str">
        <f>RIGHT($C$83,3)&amp;"*"&amp;RIGHT($C$82,4)&amp;"*"&amp;BS$55&amp;"*"&amp;"A"</f>
        <v>008*2020*8660*A</v>
      </c>
      <c r="B802" s="277"/>
      <c r="C802" s="279">
        <f>ROUND(BS60,2)</f>
        <v>0</v>
      </c>
      <c r="D802" s="277">
        <f>ROUND(BS61,0)</f>
        <v>0</v>
      </c>
      <c r="E802" s="277">
        <f>ROUND(BS62,0)</f>
        <v>0</v>
      </c>
      <c r="F802" s="277">
        <f>ROUND(BS63,0)</f>
        <v>0</v>
      </c>
      <c r="G802" s="277">
        <f>ROUND(BS64,0)</f>
        <v>0</v>
      </c>
      <c r="H802" s="277">
        <f>ROUND(BS65,0)</f>
        <v>0</v>
      </c>
      <c r="I802" s="277">
        <f>ROUND(BS66,0)</f>
        <v>0</v>
      </c>
      <c r="J802" s="277">
        <f>ROUND(BS67,0)</f>
        <v>0</v>
      </c>
      <c r="K802" s="277">
        <f>ROUND(BS68,0)</f>
        <v>0</v>
      </c>
      <c r="L802" s="277">
        <f>ROUND(BS69,0)</f>
        <v>0</v>
      </c>
      <c r="M802" s="277">
        <f>ROUND(BS70,0)</f>
        <v>0</v>
      </c>
      <c r="N802" s="277"/>
      <c r="O802" s="277"/>
      <c r="P802" s="277">
        <f>IF(BS76&gt;0,ROUND(BS76,0),0)</f>
        <v>0</v>
      </c>
      <c r="Q802" s="277">
        <f>IF(BS77&gt;0,ROUND(BS77,0),0)</f>
        <v>0</v>
      </c>
      <c r="R802" s="277">
        <f>IF(BS78&gt;0,ROUND(BS78,0),0)</f>
        <v>0</v>
      </c>
      <c r="S802" s="277">
        <f>IF(BS79&gt;0,ROUND(BS79,0),0)</f>
        <v>0</v>
      </c>
      <c r="T802" s="279">
        <f>IF(BS80&gt;0,ROUND(BS80,2),0)</f>
        <v>0</v>
      </c>
      <c r="U802" s="277"/>
      <c r="V802" s="278"/>
      <c r="W802" s="277"/>
      <c r="X802" s="277"/>
      <c r="Y802" s="277"/>
      <c r="Z802" s="278"/>
      <c r="AA802" s="278"/>
      <c r="AB802" s="278"/>
      <c r="AC802" s="278"/>
      <c r="AD802" s="278"/>
      <c r="AE802" s="278"/>
      <c r="AF802" s="278"/>
      <c r="AG802" s="278"/>
      <c r="AH802" s="278"/>
      <c r="AI802" s="278"/>
      <c r="AJ802" s="278"/>
      <c r="AK802" s="278"/>
      <c r="AL802" s="278"/>
      <c r="AM802" s="278"/>
      <c r="AN802" s="278"/>
      <c r="AO802" s="278"/>
      <c r="AP802" s="278"/>
      <c r="AQ802" s="278"/>
      <c r="AR802" s="278"/>
      <c r="AS802" s="278"/>
      <c r="AT802" s="278"/>
      <c r="AU802" s="278"/>
      <c r="AV802" s="278"/>
      <c r="AW802" s="278"/>
      <c r="AX802" s="278"/>
      <c r="AY802" s="278"/>
      <c r="AZ802" s="278"/>
      <c r="BA802" s="278"/>
      <c r="BB802" s="278"/>
      <c r="BC802" s="278"/>
      <c r="BD802" s="278"/>
      <c r="BE802" s="278"/>
      <c r="BF802" s="278"/>
      <c r="BG802" s="278"/>
      <c r="BH802" s="278"/>
      <c r="BI802" s="278"/>
      <c r="BJ802" s="278"/>
      <c r="BK802" s="278"/>
      <c r="BL802" s="278"/>
      <c r="BM802" s="278"/>
      <c r="BN802" s="278"/>
      <c r="BO802" s="278"/>
      <c r="BP802" s="278"/>
      <c r="BQ802" s="278"/>
      <c r="BR802" s="278"/>
      <c r="BS802" s="278"/>
      <c r="BT802" s="278"/>
      <c r="BU802" s="278"/>
      <c r="BV802" s="278"/>
      <c r="BW802" s="278"/>
      <c r="BX802" s="278"/>
      <c r="BY802" s="278"/>
      <c r="BZ802" s="278"/>
      <c r="CA802" s="278"/>
      <c r="CB802" s="278"/>
      <c r="CC802" s="278"/>
      <c r="CD802" s="278"/>
      <c r="CE802" s="278"/>
    </row>
    <row r="803" spans="1:83" ht="12.65" customHeight="1" x14ac:dyDescent="0.35">
      <c r="A803" s="209" t="str">
        <f>RIGHT($C$83,3)&amp;"*"&amp;RIGHT($C$82,4)&amp;"*"&amp;BT$55&amp;"*"&amp;"A"</f>
        <v>008*2020*8670*A</v>
      </c>
      <c r="B803" s="277"/>
      <c r="C803" s="279">
        <f>ROUND(BT60,2)</f>
        <v>0</v>
      </c>
      <c r="D803" s="277">
        <f>ROUND(BT61,0)</f>
        <v>0</v>
      </c>
      <c r="E803" s="277">
        <f>ROUND(BT62,0)</f>
        <v>0</v>
      </c>
      <c r="F803" s="277">
        <f>ROUND(BT63,0)</f>
        <v>0</v>
      </c>
      <c r="G803" s="277">
        <f>ROUND(BT64,0)</f>
        <v>0</v>
      </c>
      <c r="H803" s="277">
        <f>ROUND(BT65,0)</f>
        <v>0</v>
      </c>
      <c r="I803" s="277">
        <f>ROUND(BT66,0)</f>
        <v>0</v>
      </c>
      <c r="J803" s="277">
        <f>ROUND(BT67,0)</f>
        <v>0</v>
      </c>
      <c r="K803" s="277">
        <f>ROUND(BT68,0)</f>
        <v>0</v>
      </c>
      <c r="L803" s="277">
        <f>ROUND(BT69,0)</f>
        <v>0</v>
      </c>
      <c r="M803" s="277">
        <f>ROUND(BT70,0)</f>
        <v>0</v>
      </c>
      <c r="N803" s="277"/>
      <c r="O803" s="277"/>
      <c r="P803" s="277">
        <f>IF(BT76&gt;0,ROUND(BT76,0),0)</f>
        <v>0</v>
      </c>
      <c r="Q803" s="277">
        <f>IF(BT77&gt;0,ROUND(BT77,0),0)</f>
        <v>0</v>
      </c>
      <c r="R803" s="277">
        <f>IF(BT78&gt;0,ROUND(BT78,0),0)</f>
        <v>0</v>
      </c>
      <c r="S803" s="277">
        <f>IF(BT79&gt;0,ROUND(BT79,0),0)</f>
        <v>0</v>
      </c>
      <c r="T803" s="279">
        <f>IF(BT80&gt;0,ROUND(BT80,2),0)</f>
        <v>0</v>
      </c>
      <c r="U803" s="277"/>
      <c r="V803" s="278"/>
      <c r="W803" s="277"/>
      <c r="X803" s="277"/>
      <c r="Y803" s="277"/>
      <c r="Z803" s="278"/>
      <c r="AA803" s="278"/>
      <c r="AB803" s="278"/>
      <c r="AC803" s="278"/>
      <c r="AD803" s="278"/>
      <c r="AE803" s="278"/>
      <c r="AF803" s="278"/>
      <c r="AG803" s="278"/>
      <c r="AH803" s="278"/>
      <c r="AI803" s="278"/>
      <c r="AJ803" s="278"/>
      <c r="AK803" s="278"/>
      <c r="AL803" s="278"/>
      <c r="AM803" s="278"/>
      <c r="AN803" s="278"/>
      <c r="AO803" s="278"/>
      <c r="AP803" s="278"/>
      <c r="AQ803" s="278"/>
      <c r="AR803" s="278"/>
      <c r="AS803" s="278"/>
      <c r="AT803" s="278"/>
      <c r="AU803" s="278"/>
      <c r="AV803" s="278"/>
      <c r="AW803" s="278"/>
      <c r="AX803" s="278"/>
      <c r="AY803" s="278"/>
      <c r="AZ803" s="278"/>
      <c r="BA803" s="278"/>
      <c r="BB803" s="278"/>
      <c r="BC803" s="278"/>
      <c r="BD803" s="278"/>
      <c r="BE803" s="278"/>
      <c r="BF803" s="278"/>
      <c r="BG803" s="278"/>
      <c r="BH803" s="278"/>
      <c r="BI803" s="278"/>
      <c r="BJ803" s="278"/>
      <c r="BK803" s="278"/>
      <c r="BL803" s="278"/>
      <c r="BM803" s="278"/>
      <c r="BN803" s="278"/>
      <c r="BO803" s="278"/>
      <c r="BP803" s="278"/>
      <c r="BQ803" s="278"/>
      <c r="BR803" s="278"/>
      <c r="BS803" s="278"/>
      <c r="BT803" s="278"/>
      <c r="BU803" s="278"/>
      <c r="BV803" s="278"/>
      <c r="BW803" s="278"/>
      <c r="BX803" s="278"/>
      <c r="BY803" s="278"/>
      <c r="BZ803" s="278"/>
      <c r="CA803" s="278"/>
      <c r="CB803" s="278"/>
      <c r="CC803" s="278"/>
      <c r="CD803" s="278"/>
      <c r="CE803" s="278"/>
    </row>
    <row r="804" spans="1:83" ht="12.65" customHeight="1" x14ac:dyDescent="0.35">
      <c r="A804" s="209" t="str">
        <f>RIGHT($C$83,3)&amp;"*"&amp;RIGHT($C$82,4)&amp;"*"&amp;BU$55&amp;"*"&amp;"A"</f>
        <v>008*2020*8680*A</v>
      </c>
      <c r="B804" s="277"/>
      <c r="C804" s="279">
        <f>ROUND(BU60,2)</f>
        <v>0</v>
      </c>
      <c r="D804" s="277">
        <f>ROUND(BU61,0)</f>
        <v>0</v>
      </c>
      <c r="E804" s="277">
        <f>ROUND(BU62,0)</f>
        <v>0</v>
      </c>
      <c r="F804" s="277">
        <f>ROUND(BU63,0)</f>
        <v>0</v>
      </c>
      <c r="G804" s="277">
        <f>ROUND(BU64,0)</f>
        <v>0</v>
      </c>
      <c r="H804" s="277">
        <f>ROUND(BU65,0)</f>
        <v>0</v>
      </c>
      <c r="I804" s="277">
        <f>ROUND(BU66,0)</f>
        <v>0</v>
      </c>
      <c r="J804" s="277">
        <f>ROUND(BU67,0)</f>
        <v>0</v>
      </c>
      <c r="K804" s="277">
        <f>ROUND(BU68,0)</f>
        <v>0</v>
      </c>
      <c r="L804" s="277">
        <f>ROUND(BU69,0)</f>
        <v>0</v>
      </c>
      <c r="M804" s="277">
        <f>ROUND(BU70,0)</f>
        <v>0</v>
      </c>
      <c r="N804" s="277"/>
      <c r="O804" s="277"/>
      <c r="P804" s="277">
        <f>IF(BU76&gt;0,ROUND(BU76,0),0)</f>
        <v>0</v>
      </c>
      <c r="Q804" s="277">
        <f>IF(BU77&gt;0,ROUND(BU77,0),0)</f>
        <v>0</v>
      </c>
      <c r="R804" s="277">
        <f>IF(BU78&gt;0,ROUND(BU78,0),0)</f>
        <v>0</v>
      </c>
      <c r="S804" s="277">
        <f>IF(BU79&gt;0,ROUND(BU79,0),0)</f>
        <v>0</v>
      </c>
      <c r="T804" s="279">
        <f>IF(BU80&gt;0,ROUND(BU80,2),0)</f>
        <v>0</v>
      </c>
      <c r="U804" s="277"/>
      <c r="V804" s="278"/>
      <c r="W804" s="277"/>
      <c r="X804" s="277"/>
      <c r="Y804" s="277"/>
      <c r="Z804" s="278"/>
      <c r="AA804" s="278"/>
      <c r="AB804" s="278"/>
      <c r="AC804" s="278"/>
      <c r="AD804" s="278"/>
      <c r="AE804" s="278"/>
      <c r="AF804" s="278"/>
      <c r="AG804" s="278"/>
      <c r="AH804" s="278"/>
      <c r="AI804" s="278"/>
      <c r="AJ804" s="278"/>
      <c r="AK804" s="278"/>
      <c r="AL804" s="278"/>
      <c r="AM804" s="278"/>
      <c r="AN804" s="278"/>
      <c r="AO804" s="278"/>
      <c r="AP804" s="278"/>
      <c r="AQ804" s="278"/>
      <c r="AR804" s="278"/>
      <c r="AS804" s="278"/>
      <c r="AT804" s="278"/>
      <c r="AU804" s="278"/>
      <c r="AV804" s="278"/>
      <c r="AW804" s="278"/>
      <c r="AX804" s="278"/>
      <c r="AY804" s="278"/>
      <c r="AZ804" s="278"/>
      <c r="BA804" s="278"/>
      <c r="BB804" s="278"/>
      <c r="BC804" s="278"/>
      <c r="BD804" s="278"/>
      <c r="BE804" s="278"/>
      <c r="BF804" s="278"/>
      <c r="BG804" s="278"/>
      <c r="BH804" s="278"/>
      <c r="BI804" s="278"/>
      <c r="BJ804" s="278"/>
      <c r="BK804" s="278"/>
      <c r="BL804" s="278"/>
      <c r="BM804" s="278"/>
      <c r="BN804" s="278"/>
      <c r="BO804" s="278"/>
      <c r="BP804" s="278"/>
      <c r="BQ804" s="278"/>
      <c r="BR804" s="278"/>
      <c r="BS804" s="278"/>
      <c r="BT804" s="278"/>
      <c r="BU804" s="278"/>
      <c r="BV804" s="278"/>
      <c r="BW804" s="278"/>
      <c r="BX804" s="278"/>
      <c r="BY804" s="278"/>
      <c r="BZ804" s="278"/>
      <c r="CA804" s="278"/>
      <c r="CB804" s="278"/>
      <c r="CC804" s="278"/>
      <c r="CD804" s="278"/>
      <c r="CE804" s="278"/>
    </row>
    <row r="805" spans="1:83" ht="12.65" customHeight="1" x14ac:dyDescent="0.35">
      <c r="A805" s="209" t="str">
        <f>RIGHT($C$83,3)&amp;"*"&amp;RIGHT($C$82,4)&amp;"*"&amp;BV$55&amp;"*"&amp;"A"</f>
        <v>008*2020*8690*A</v>
      </c>
      <c r="B805" s="277"/>
      <c r="C805" s="279">
        <f>ROUND(BV60,2)</f>
        <v>7.23</v>
      </c>
      <c r="D805" s="277">
        <f>ROUND(BV61,0)</f>
        <v>280228</v>
      </c>
      <c r="E805" s="277">
        <f>ROUND(BV62,0)</f>
        <v>104767</v>
      </c>
      <c r="F805" s="277">
        <f>ROUND(BV63,0)</f>
        <v>0</v>
      </c>
      <c r="G805" s="277">
        <f>ROUND(BV64,0)</f>
        <v>2116</v>
      </c>
      <c r="H805" s="277">
        <f>ROUND(BV65,0)</f>
        <v>0</v>
      </c>
      <c r="I805" s="277">
        <f>ROUND(BV66,0)</f>
        <v>15060</v>
      </c>
      <c r="J805" s="277">
        <f>ROUND(BV67,0)</f>
        <v>0</v>
      </c>
      <c r="K805" s="277">
        <f>ROUND(BV68,0)</f>
        <v>4260</v>
      </c>
      <c r="L805" s="277">
        <f>ROUND(BV69,0)</f>
        <v>663</v>
      </c>
      <c r="M805" s="277">
        <f>ROUND(BV70,0)</f>
        <v>0</v>
      </c>
      <c r="N805" s="277"/>
      <c r="O805" s="277"/>
      <c r="P805" s="277">
        <f>IF(BV76&gt;0,ROUND(BV76,0),0)</f>
        <v>1522</v>
      </c>
      <c r="Q805" s="277">
        <f>IF(BV77&gt;0,ROUND(BV77,0),0)</f>
        <v>0</v>
      </c>
      <c r="R805" s="277">
        <f>IF(BV78&gt;0,ROUND(BV78,0),0)</f>
        <v>0</v>
      </c>
      <c r="S805" s="277">
        <f>IF(BV79&gt;0,ROUND(BV79,0),0)</f>
        <v>0</v>
      </c>
      <c r="T805" s="279">
        <f>IF(BV80&gt;0,ROUND(BV80,2),0)</f>
        <v>0</v>
      </c>
      <c r="U805" s="277"/>
      <c r="V805" s="278"/>
      <c r="W805" s="277"/>
      <c r="X805" s="277"/>
      <c r="Y805" s="277"/>
      <c r="Z805" s="278"/>
      <c r="AA805" s="278"/>
      <c r="AB805" s="278"/>
      <c r="AC805" s="278"/>
      <c r="AD805" s="278"/>
      <c r="AE805" s="278"/>
      <c r="AF805" s="278"/>
      <c r="AG805" s="278"/>
      <c r="AH805" s="278"/>
      <c r="AI805" s="278"/>
      <c r="AJ805" s="278"/>
      <c r="AK805" s="278"/>
      <c r="AL805" s="278"/>
      <c r="AM805" s="278"/>
      <c r="AN805" s="278"/>
      <c r="AO805" s="278"/>
      <c r="AP805" s="278"/>
      <c r="AQ805" s="278"/>
      <c r="AR805" s="278"/>
      <c r="AS805" s="278"/>
      <c r="AT805" s="278"/>
      <c r="AU805" s="278"/>
      <c r="AV805" s="278"/>
      <c r="AW805" s="278"/>
      <c r="AX805" s="278"/>
      <c r="AY805" s="278"/>
      <c r="AZ805" s="278"/>
      <c r="BA805" s="278"/>
      <c r="BB805" s="278"/>
      <c r="BC805" s="278"/>
      <c r="BD805" s="278"/>
      <c r="BE805" s="278"/>
      <c r="BF805" s="278"/>
      <c r="BG805" s="278"/>
      <c r="BH805" s="278"/>
      <c r="BI805" s="278"/>
      <c r="BJ805" s="278"/>
      <c r="BK805" s="278"/>
      <c r="BL805" s="278"/>
      <c r="BM805" s="278"/>
      <c r="BN805" s="278"/>
      <c r="BO805" s="278"/>
      <c r="BP805" s="278"/>
      <c r="BQ805" s="278"/>
      <c r="BR805" s="278"/>
      <c r="BS805" s="278"/>
      <c r="BT805" s="278"/>
      <c r="BU805" s="278"/>
      <c r="BV805" s="278"/>
      <c r="BW805" s="278"/>
      <c r="BX805" s="278"/>
      <c r="BY805" s="278"/>
      <c r="BZ805" s="278"/>
      <c r="CA805" s="278"/>
      <c r="CB805" s="278"/>
      <c r="CC805" s="278"/>
      <c r="CD805" s="278"/>
      <c r="CE805" s="278"/>
    </row>
    <row r="806" spans="1:83" ht="12.65" customHeight="1" x14ac:dyDescent="0.35">
      <c r="A806" s="209" t="str">
        <f>RIGHT($C$83,3)&amp;"*"&amp;RIGHT($C$82,4)&amp;"*"&amp;BW$55&amp;"*"&amp;"A"</f>
        <v>008*2020*8700*A</v>
      </c>
      <c r="B806" s="277"/>
      <c r="C806" s="279">
        <f>ROUND(BW60,2)</f>
        <v>0</v>
      </c>
      <c r="D806" s="277">
        <f>ROUND(BW61,0)</f>
        <v>0</v>
      </c>
      <c r="E806" s="277">
        <f>ROUND(BW62,0)</f>
        <v>0</v>
      </c>
      <c r="F806" s="277">
        <f>ROUND(BW63,0)</f>
        <v>0</v>
      </c>
      <c r="G806" s="277">
        <f>ROUND(BW64,0)</f>
        <v>0</v>
      </c>
      <c r="H806" s="277">
        <f>ROUND(BW65,0)</f>
        <v>0</v>
      </c>
      <c r="I806" s="277">
        <f>ROUND(BW66,0)</f>
        <v>0</v>
      </c>
      <c r="J806" s="277">
        <f>ROUND(BW67,0)</f>
        <v>0</v>
      </c>
      <c r="K806" s="277">
        <f>ROUND(BW68,0)</f>
        <v>0</v>
      </c>
      <c r="L806" s="277">
        <f>ROUND(BW69,0)</f>
        <v>0</v>
      </c>
      <c r="M806" s="277">
        <f>ROUND(BW70,0)</f>
        <v>0</v>
      </c>
      <c r="N806" s="277"/>
      <c r="O806" s="277"/>
      <c r="P806" s="277">
        <f>IF(BW76&gt;0,ROUND(BW76,0),0)</f>
        <v>0</v>
      </c>
      <c r="Q806" s="277">
        <f>IF(BW77&gt;0,ROUND(BW77,0),0)</f>
        <v>0</v>
      </c>
      <c r="R806" s="277">
        <f>IF(BW78&gt;0,ROUND(BW78,0),0)</f>
        <v>0</v>
      </c>
      <c r="S806" s="277">
        <f>IF(BW79&gt;0,ROUND(BW79,0),0)</f>
        <v>0</v>
      </c>
      <c r="T806" s="279">
        <f>IF(BW80&gt;0,ROUND(BW80,2),0)</f>
        <v>0</v>
      </c>
      <c r="U806" s="277"/>
      <c r="V806" s="278"/>
      <c r="W806" s="277"/>
      <c r="X806" s="277"/>
      <c r="Y806" s="277"/>
      <c r="Z806" s="278"/>
      <c r="AA806" s="278"/>
      <c r="AB806" s="278"/>
      <c r="AC806" s="278"/>
      <c r="AD806" s="278"/>
      <c r="AE806" s="278"/>
      <c r="AF806" s="278"/>
      <c r="AG806" s="278"/>
      <c r="AH806" s="278"/>
      <c r="AI806" s="278"/>
      <c r="AJ806" s="278"/>
      <c r="AK806" s="278"/>
      <c r="AL806" s="278"/>
      <c r="AM806" s="278"/>
      <c r="AN806" s="278"/>
      <c r="AO806" s="278"/>
      <c r="AP806" s="278"/>
      <c r="AQ806" s="278"/>
      <c r="AR806" s="278"/>
      <c r="AS806" s="278"/>
      <c r="AT806" s="278"/>
      <c r="AU806" s="278"/>
      <c r="AV806" s="278"/>
      <c r="AW806" s="278"/>
      <c r="AX806" s="278"/>
      <c r="AY806" s="278"/>
      <c r="AZ806" s="278"/>
      <c r="BA806" s="278"/>
      <c r="BB806" s="278"/>
      <c r="BC806" s="278"/>
      <c r="BD806" s="278"/>
      <c r="BE806" s="278"/>
      <c r="BF806" s="278"/>
      <c r="BG806" s="278"/>
      <c r="BH806" s="278"/>
      <c r="BI806" s="278"/>
      <c r="BJ806" s="278"/>
      <c r="BK806" s="278"/>
      <c r="BL806" s="278"/>
      <c r="BM806" s="278"/>
      <c r="BN806" s="278"/>
      <c r="BO806" s="278"/>
      <c r="BP806" s="278"/>
      <c r="BQ806" s="278"/>
      <c r="BR806" s="278"/>
      <c r="BS806" s="278"/>
      <c r="BT806" s="278"/>
      <c r="BU806" s="278"/>
      <c r="BV806" s="278"/>
      <c r="BW806" s="278"/>
      <c r="BX806" s="278"/>
      <c r="BY806" s="278"/>
      <c r="BZ806" s="278"/>
      <c r="CA806" s="278"/>
      <c r="CB806" s="278"/>
      <c r="CC806" s="278"/>
      <c r="CD806" s="278"/>
      <c r="CE806" s="278"/>
    </row>
    <row r="807" spans="1:83" ht="12.65" customHeight="1" x14ac:dyDescent="0.35">
      <c r="A807" s="209" t="str">
        <f>RIGHT($C$83,3)&amp;"*"&amp;RIGHT($C$82,4)&amp;"*"&amp;BX$55&amp;"*"&amp;"A"</f>
        <v>008*2020*8710*A</v>
      </c>
      <c r="B807" s="277"/>
      <c r="C807" s="279">
        <f>ROUND(BX60,2)</f>
        <v>0</v>
      </c>
      <c r="D807" s="277">
        <f>ROUND(BX61,0)</f>
        <v>0</v>
      </c>
      <c r="E807" s="277">
        <f>ROUND(BX62,0)</f>
        <v>0</v>
      </c>
      <c r="F807" s="277">
        <f>ROUND(BX63,0)</f>
        <v>0</v>
      </c>
      <c r="G807" s="277">
        <f>ROUND(BX64,0)</f>
        <v>0</v>
      </c>
      <c r="H807" s="277">
        <f>ROUND(BX65,0)</f>
        <v>0</v>
      </c>
      <c r="I807" s="277">
        <f>ROUND(BX66,0)</f>
        <v>0</v>
      </c>
      <c r="J807" s="277">
        <f>ROUND(BX67,0)</f>
        <v>0</v>
      </c>
      <c r="K807" s="277">
        <f>ROUND(BX68,0)</f>
        <v>0</v>
      </c>
      <c r="L807" s="277">
        <f>ROUND(BX69,0)</f>
        <v>0</v>
      </c>
      <c r="M807" s="277">
        <f>ROUND(BX70,0)</f>
        <v>0</v>
      </c>
      <c r="N807" s="277"/>
      <c r="O807" s="277"/>
      <c r="P807" s="277">
        <f>IF(BX76&gt;0,ROUND(BX76,0),0)</f>
        <v>0</v>
      </c>
      <c r="Q807" s="277">
        <f>IF(BX77&gt;0,ROUND(BX77,0),0)</f>
        <v>0</v>
      </c>
      <c r="R807" s="277">
        <f>IF(BX78&gt;0,ROUND(BX78,0),0)</f>
        <v>0</v>
      </c>
      <c r="S807" s="277">
        <f>IF(BX79&gt;0,ROUND(BX79,0),0)</f>
        <v>0</v>
      </c>
      <c r="T807" s="279">
        <f>IF(BX80&gt;0,ROUND(BX80,2),0)</f>
        <v>0</v>
      </c>
      <c r="U807" s="277"/>
      <c r="V807" s="278"/>
      <c r="W807" s="277"/>
      <c r="X807" s="277"/>
      <c r="Y807" s="277"/>
      <c r="Z807" s="278"/>
      <c r="AA807" s="278"/>
      <c r="AB807" s="278"/>
      <c r="AC807" s="278"/>
      <c r="AD807" s="278"/>
      <c r="AE807" s="278"/>
      <c r="AF807" s="278"/>
      <c r="AG807" s="278"/>
      <c r="AH807" s="278"/>
      <c r="AI807" s="278"/>
      <c r="AJ807" s="278"/>
      <c r="AK807" s="278"/>
      <c r="AL807" s="278"/>
      <c r="AM807" s="278"/>
      <c r="AN807" s="278"/>
      <c r="AO807" s="278"/>
      <c r="AP807" s="278"/>
      <c r="AQ807" s="278"/>
      <c r="AR807" s="278"/>
      <c r="AS807" s="278"/>
      <c r="AT807" s="278"/>
      <c r="AU807" s="278"/>
      <c r="AV807" s="278"/>
      <c r="AW807" s="278"/>
      <c r="AX807" s="278"/>
      <c r="AY807" s="278"/>
      <c r="AZ807" s="278"/>
      <c r="BA807" s="278"/>
      <c r="BB807" s="278"/>
      <c r="BC807" s="278"/>
      <c r="BD807" s="278"/>
      <c r="BE807" s="278"/>
      <c r="BF807" s="278"/>
      <c r="BG807" s="278"/>
      <c r="BH807" s="278"/>
      <c r="BI807" s="278"/>
      <c r="BJ807" s="278"/>
      <c r="BK807" s="278"/>
      <c r="BL807" s="278"/>
      <c r="BM807" s="278"/>
      <c r="BN807" s="278"/>
      <c r="BO807" s="278"/>
      <c r="BP807" s="278"/>
      <c r="BQ807" s="278"/>
      <c r="BR807" s="278"/>
      <c r="BS807" s="278"/>
      <c r="BT807" s="278"/>
      <c r="BU807" s="278"/>
      <c r="BV807" s="278"/>
      <c r="BW807" s="278"/>
      <c r="BX807" s="278"/>
      <c r="BY807" s="278"/>
      <c r="BZ807" s="278"/>
      <c r="CA807" s="278"/>
      <c r="CB807" s="278"/>
      <c r="CC807" s="278"/>
      <c r="CD807" s="278"/>
      <c r="CE807" s="278"/>
    </row>
    <row r="808" spans="1:83" ht="12.65" customHeight="1" x14ac:dyDescent="0.35">
      <c r="A808" s="209" t="str">
        <f>RIGHT($C$83,3)&amp;"*"&amp;RIGHT($C$82,4)&amp;"*"&amp;BY$55&amp;"*"&amp;"A"</f>
        <v>008*2020*8720*A</v>
      </c>
      <c r="B808" s="277"/>
      <c r="C808" s="279">
        <f>ROUND(BY60,2)</f>
        <v>3.27</v>
      </c>
      <c r="D808" s="277">
        <f>ROUND(BY61,0)</f>
        <v>233836</v>
      </c>
      <c r="E808" s="277">
        <f>ROUND(BY62,0)</f>
        <v>60554</v>
      </c>
      <c r="F808" s="277">
        <f>ROUND(BY63,0)</f>
        <v>0</v>
      </c>
      <c r="G808" s="277">
        <f>ROUND(BY64,0)</f>
        <v>268</v>
      </c>
      <c r="H808" s="277">
        <f>ROUND(BY65,0)</f>
        <v>0</v>
      </c>
      <c r="I808" s="277">
        <f>ROUND(BY66,0)</f>
        <v>0</v>
      </c>
      <c r="J808" s="277">
        <f>ROUND(BY67,0)</f>
        <v>0</v>
      </c>
      <c r="K808" s="277">
        <f>ROUND(BY68,0)</f>
        <v>0</v>
      </c>
      <c r="L808" s="277">
        <f>ROUND(BY69,0)</f>
        <v>0</v>
      </c>
      <c r="M808" s="277">
        <f>ROUND(BY70,0)</f>
        <v>0</v>
      </c>
      <c r="N808" s="277"/>
      <c r="O808" s="277"/>
      <c r="P808" s="277">
        <f>IF(BY76&gt;0,ROUND(BY76,0),0)</f>
        <v>112</v>
      </c>
      <c r="Q808" s="277">
        <f>IF(BY77&gt;0,ROUND(BY77,0),0)</f>
        <v>0</v>
      </c>
      <c r="R808" s="277">
        <f>IF(BY78&gt;0,ROUND(BY78,0),0)</f>
        <v>0</v>
      </c>
      <c r="S808" s="277">
        <f>IF(BY79&gt;0,ROUND(BY79,0),0)</f>
        <v>0</v>
      </c>
      <c r="T808" s="279">
        <f>IF(BY80&gt;0,ROUND(BY80,2),0)</f>
        <v>0</v>
      </c>
      <c r="U808" s="277"/>
      <c r="V808" s="278"/>
      <c r="W808" s="277"/>
      <c r="X808" s="277"/>
      <c r="Y808" s="277"/>
      <c r="Z808" s="278"/>
      <c r="AA808" s="278"/>
      <c r="AB808" s="278"/>
      <c r="AC808" s="278"/>
      <c r="AD808" s="278"/>
      <c r="AE808" s="278"/>
      <c r="AF808" s="278"/>
      <c r="AG808" s="278"/>
      <c r="AH808" s="278"/>
      <c r="AI808" s="278"/>
      <c r="AJ808" s="278"/>
      <c r="AK808" s="278"/>
      <c r="AL808" s="278"/>
      <c r="AM808" s="278"/>
      <c r="AN808" s="278"/>
      <c r="AO808" s="278"/>
      <c r="AP808" s="278"/>
      <c r="AQ808" s="278"/>
      <c r="AR808" s="278"/>
      <c r="AS808" s="278"/>
      <c r="AT808" s="278"/>
      <c r="AU808" s="278"/>
      <c r="AV808" s="278"/>
      <c r="AW808" s="278"/>
      <c r="AX808" s="278"/>
      <c r="AY808" s="278"/>
      <c r="AZ808" s="278"/>
      <c r="BA808" s="278"/>
      <c r="BB808" s="278"/>
      <c r="BC808" s="278"/>
      <c r="BD808" s="278"/>
      <c r="BE808" s="278"/>
      <c r="BF808" s="278"/>
      <c r="BG808" s="278"/>
      <c r="BH808" s="278"/>
      <c r="BI808" s="278"/>
      <c r="BJ808" s="278"/>
      <c r="BK808" s="278"/>
      <c r="BL808" s="278"/>
      <c r="BM808" s="278"/>
      <c r="BN808" s="278"/>
      <c r="BO808" s="278"/>
      <c r="BP808" s="278"/>
      <c r="BQ808" s="278"/>
      <c r="BR808" s="278"/>
      <c r="BS808" s="278"/>
      <c r="BT808" s="278"/>
      <c r="BU808" s="278"/>
      <c r="BV808" s="278"/>
      <c r="BW808" s="278"/>
      <c r="BX808" s="278"/>
      <c r="BY808" s="278"/>
      <c r="BZ808" s="278"/>
      <c r="CA808" s="278"/>
      <c r="CB808" s="278"/>
      <c r="CC808" s="278"/>
      <c r="CD808" s="278"/>
      <c r="CE808" s="278"/>
    </row>
    <row r="809" spans="1:83" ht="12.65" customHeight="1" x14ac:dyDescent="0.35">
      <c r="A809" s="209" t="str">
        <f>RIGHT($C$83,3)&amp;"*"&amp;RIGHT($C$82,4)&amp;"*"&amp;BZ$55&amp;"*"&amp;"A"</f>
        <v>008*2020*8730*A</v>
      </c>
      <c r="B809" s="277"/>
      <c r="C809" s="279">
        <f>ROUND(BZ60,2)</f>
        <v>0</v>
      </c>
      <c r="D809" s="277">
        <f>ROUND(BZ61,0)</f>
        <v>0</v>
      </c>
      <c r="E809" s="277">
        <f>ROUND(BZ62,0)</f>
        <v>0</v>
      </c>
      <c r="F809" s="277">
        <f>ROUND(BZ63,0)</f>
        <v>0</v>
      </c>
      <c r="G809" s="277">
        <f>ROUND(BZ64,0)</f>
        <v>0</v>
      </c>
      <c r="H809" s="277">
        <f>ROUND(BZ65,0)</f>
        <v>0</v>
      </c>
      <c r="I809" s="277">
        <f>ROUND(BZ66,0)</f>
        <v>0</v>
      </c>
      <c r="J809" s="277">
        <f>ROUND(BZ67,0)</f>
        <v>0</v>
      </c>
      <c r="K809" s="277">
        <f>ROUND(BZ68,0)</f>
        <v>0</v>
      </c>
      <c r="L809" s="277">
        <f>ROUND(BZ69,0)</f>
        <v>0</v>
      </c>
      <c r="M809" s="277">
        <f>ROUND(BZ70,0)</f>
        <v>0</v>
      </c>
      <c r="N809" s="277"/>
      <c r="O809" s="277"/>
      <c r="P809" s="277">
        <f>IF(BZ76&gt;0,ROUND(BZ76,0),0)</f>
        <v>0</v>
      </c>
      <c r="Q809" s="277">
        <f>IF(BZ77&gt;0,ROUND(BZ77,0),0)</f>
        <v>0</v>
      </c>
      <c r="R809" s="277">
        <f>IF(BZ78&gt;0,ROUND(BZ78,0),0)</f>
        <v>0</v>
      </c>
      <c r="S809" s="277">
        <f>IF(BZ79&gt;0,ROUND(BZ79,0),0)</f>
        <v>0</v>
      </c>
      <c r="T809" s="279">
        <f>IF(BZ80&gt;0,ROUND(BZ80,2),0)</f>
        <v>0</v>
      </c>
      <c r="U809" s="277"/>
      <c r="V809" s="278"/>
      <c r="W809" s="277"/>
      <c r="X809" s="277"/>
      <c r="Y809" s="277"/>
      <c r="Z809" s="278"/>
      <c r="AA809" s="278"/>
      <c r="AB809" s="278"/>
      <c r="AC809" s="278"/>
      <c r="AD809" s="278"/>
      <c r="AE809" s="278"/>
      <c r="AF809" s="278"/>
      <c r="AG809" s="278"/>
      <c r="AH809" s="278"/>
      <c r="AI809" s="278"/>
      <c r="AJ809" s="278"/>
      <c r="AK809" s="278"/>
      <c r="AL809" s="278"/>
      <c r="AM809" s="278"/>
      <c r="AN809" s="278"/>
      <c r="AO809" s="278"/>
      <c r="AP809" s="278"/>
      <c r="AQ809" s="278"/>
      <c r="AR809" s="278"/>
      <c r="AS809" s="278"/>
      <c r="AT809" s="278"/>
      <c r="AU809" s="278"/>
      <c r="AV809" s="278"/>
      <c r="AW809" s="278"/>
      <c r="AX809" s="278"/>
      <c r="AY809" s="278"/>
      <c r="AZ809" s="278"/>
      <c r="BA809" s="278"/>
      <c r="BB809" s="278"/>
      <c r="BC809" s="278"/>
      <c r="BD809" s="278"/>
      <c r="BE809" s="278"/>
      <c r="BF809" s="278"/>
      <c r="BG809" s="278"/>
      <c r="BH809" s="278"/>
      <c r="BI809" s="278"/>
      <c r="BJ809" s="278"/>
      <c r="BK809" s="278"/>
      <c r="BL809" s="278"/>
      <c r="BM809" s="278"/>
      <c r="BN809" s="278"/>
      <c r="BO809" s="278"/>
      <c r="BP809" s="278"/>
      <c r="BQ809" s="278"/>
      <c r="BR809" s="278"/>
      <c r="BS809" s="278"/>
      <c r="BT809" s="278"/>
      <c r="BU809" s="278"/>
      <c r="BV809" s="278"/>
      <c r="BW809" s="278"/>
      <c r="BX809" s="278"/>
      <c r="BY809" s="278"/>
      <c r="BZ809" s="278"/>
      <c r="CA809" s="278"/>
      <c r="CB809" s="278"/>
      <c r="CC809" s="278"/>
      <c r="CD809" s="278"/>
      <c r="CE809" s="278"/>
    </row>
    <row r="810" spans="1:83" ht="12.65" customHeight="1" x14ac:dyDescent="0.35">
      <c r="A810" s="209" t="str">
        <f>RIGHT($C$83,3)&amp;"*"&amp;RIGHT($C$82,4)&amp;"*"&amp;CA$55&amp;"*"&amp;"A"</f>
        <v>008*2020*8740*A</v>
      </c>
      <c r="B810" s="277"/>
      <c r="C810" s="279">
        <f>ROUND(CA60,2)</f>
        <v>0</v>
      </c>
      <c r="D810" s="277">
        <f>ROUND(CA61,0)</f>
        <v>0</v>
      </c>
      <c r="E810" s="277">
        <f>ROUND(CA62,0)</f>
        <v>0</v>
      </c>
      <c r="F810" s="277">
        <f>ROUND(CA63,0)</f>
        <v>0</v>
      </c>
      <c r="G810" s="277">
        <f>ROUND(CA64,0)</f>
        <v>0</v>
      </c>
      <c r="H810" s="277">
        <f>ROUND(CA65,0)</f>
        <v>0</v>
      </c>
      <c r="I810" s="277">
        <f>ROUND(CA66,0)</f>
        <v>0</v>
      </c>
      <c r="J810" s="277">
        <f>ROUND(CA67,0)</f>
        <v>0</v>
      </c>
      <c r="K810" s="277">
        <f>ROUND(CA68,0)</f>
        <v>0</v>
      </c>
      <c r="L810" s="277">
        <f>ROUND(CA69,0)</f>
        <v>0</v>
      </c>
      <c r="M810" s="277">
        <f>ROUND(CA70,0)</f>
        <v>0</v>
      </c>
      <c r="N810" s="277"/>
      <c r="O810" s="277"/>
      <c r="P810" s="277">
        <f>IF(CA76&gt;0,ROUND(CA76,0),0)</f>
        <v>0</v>
      </c>
      <c r="Q810" s="277">
        <f>IF(CA77&gt;0,ROUND(CA77,0),0)</f>
        <v>0</v>
      </c>
      <c r="R810" s="277">
        <f>IF(CA78&gt;0,ROUND(CA78,0),0)</f>
        <v>0</v>
      </c>
      <c r="S810" s="277">
        <f>IF(CA79&gt;0,ROUND(CA79,0),0)</f>
        <v>0</v>
      </c>
      <c r="T810" s="279">
        <f>IF(CA80&gt;0,ROUND(CA80,2),0)</f>
        <v>0</v>
      </c>
      <c r="U810" s="277"/>
      <c r="V810" s="278"/>
      <c r="W810" s="277"/>
      <c r="X810" s="277"/>
      <c r="Y810" s="277"/>
      <c r="Z810" s="278"/>
      <c r="AA810" s="278"/>
      <c r="AB810" s="278"/>
      <c r="AC810" s="278"/>
      <c r="AD810" s="278"/>
      <c r="AE810" s="278"/>
      <c r="AF810" s="278"/>
      <c r="AG810" s="278"/>
      <c r="AH810" s="278"/>
      <c r="AI810" s="278"/>
      <c r="AJ810" s="278"/>
      <c r="AK810" s="278"/>
      <c r="AL810" s="278"/>
      <c r="AM810" s="278"/>
      <c r="AN810" s="278"/>
      <c r="AO810" s="278"/>
      <c r="AP810" s="278"/>
      <c r="AQ810" s="278"/>
      <c r="AR810" s="278"/>
      <c r="AS810" s="278"/>
      <c r="AT810" s="278"/>
      <c r="AU810" s="278"/>
      <c r="AV810" s="278"/>
      <c r="AW810" s="278"/>
      <c r="AX810" s="278"/>
      <c r="AY810" s="278"/>
      <c r="AZ810" s="278"/>
      <c r="BA810" s="278"/>
      <c r="BB810" s="278"/>
      <c r="BC810" s="278"/>
      <c r="BD810" s="278"/>
      <c r="BE810" s="278"/>
      <c r="BF810" s="278"/>
      <c r="BG810" s="278"/>
      <c r="BH810" s="278"/>
      <c r="BI810" s="278"/>
      <c r="BJ810" s="278"/>
      <c r="BK810" s="278"/>
      <c r="BL810" s="278"/>
      <c r="BM810" s="278"/>
      <c r="BN810" s="278"/>
      <c r="BO810" s="278"/>
      <c r="BP810" s="278"/>
      <c r="BQ810" s="278"/>
      <c r="BR810" s="278"/>
      <c r="BS810" s="278"/>
      <c r="BT810" s="278"/>
      <c r="BU810" s="278"/>
      <c r="BV810" s="278"/>
      <c r="BW810" s="278"/>
      <c r="BX810" s="278"/>
      <c r="BY810" s="278"/>
      <c r="BZ810" s="278"/>
      <c r="CA810" s="278"/>
      <c r="CB810" s="278"/>
      <c r="CC810" s="278"/>
      <c r="CD810" s="278"/>
      <c r="CE810" s="278"/>
    </row>
    <row r="811" spans="1:83" ht="12.65" customHeight="1" x14ac:dyDescent="0.35">
      <c r="A811" s="209" t="str">
        <f>RIGHT($C$83,3)&amp;"*"&amp;RIGHT($C$82,4)&amp;"*"&amp;CB$55&amp;"*"&amp;"A"</f>
        <v>008*2020*8770*A</v>
      </c>
      <c r="B811" s="277"/>
      <c r="C811" s="279">
        <f>ROUND(CB60,2)</f>
        <v>0</v>
      </c>
      <c r="D811" s="277">
        <f>ROUND(CB61,0)</f>
        <v>0</v>
      </c>
      <c r="E811" s="277">
        <f>ROUND(CB62,0)</f>
        <v>0</v>
      </c>
      <c r="F811" s="277">
        <f>ROUND(CB63,0)</f>
        <v>0</v>
      </c>
      <c r="G811" s="277">
        <f>ROUND(CB64,0)</f>
        <v>0</v>
      </c>
      <c r="H811" s="277">
        <f>ROUND(CB65,0)</f>
        <v>0</v>
      </c>
      <c r="I811" s="277">
        <f>ROUND(CB66,0)</f>
        <v>0</v>
      </c>
      <c r="J811" s="277">
        <f>ROUND(CB67,0)</f>
        <v>0</v>
      </c>
      <c r="K811" s="277">
        <f>ROUND(CB68,0)</f>
        <v>0</v>
      </c>
      <c r="L811" s="277">
        <f>ROUND(CB69,0)</f>
        <v>0</v>
      </c>
      <c r="M811" s="277">
        <f>ROUND(CB70,0)</f>
        <v>0</v>
      </c>
      <c r="N811" s="277"/>
      <c r="O811" s="277"/>
      <c r="P811" s="277">
        <f>IF(CB76&gt;0,ROUND(CB76,0),0)</f>
        <v>0</v>
      </c>
      <c r="Q811" s="277">
        <f>IF(CB77&gt;0,ROUND(CB77,0),0)</f>
        <v>0</v>
      </c>
      <c r="R811" s="277">
        <f>IF(CB78&gt;0,ROUND(CB78,0),0)</f>
        <v>0</v>
      </c>
      <c r="S811" s="277">
        <f>IF(CB79&gt;0,ROUND(CB79,0),0)</f>
        <v>0</v>
      </c>
      <c r="T811" s="279">
        <f>IF(CB80&gt;0,ROUND(CB80,2),0)</f>
        <v>0</v>
      </c>
      <c r="U811" s="277"/>
      <c r="V811" s="278"/>
      <c r="W811" s="277"/>
      <c r="X811" s="277"/>
      <c r="Y811" s="277"/>
      <c r="Z811" s="278"/>
      <c r="AA811" s="278"/>
      <c r="AB811" s="278"/>
      <c r="AC811" s="278"/>
      <c r="AD811" s="278"/>
      <c r="AE811" s="278"/>
      <c r="AF811" s="278"/>
      <c r="AG811" s="278"/>
      <c r="AH811" s="278"/>
      <c r="AI811" s="278"/>
      <c r="AJ811" s="278"/>
      <c r="AK811" s="278"/>
      <c r="AL811" s="278"/>
      <c r="AM811" s="278"/>
      <c r="AN811" s="278"/>
      <c r="AO811" s="278"/>
      <c r="AP811" s="278"/>
      <c r="AQ811" s="278"/>
      <c r="AR811" s="278"/>
      <c r="AS811" s="278"/>
      <c r="AT811" s="278"/>
      <c r="AU811" s="278"/>
      <c r="AV811" s="278"/>
      <c r="AW811" s="278"/>
      <c r="AX811" s="278"/>
      <c r="AY811" s="278"/>
      <c r="AZ811" s="278"/>
      <c r="BA811" s="278"/>
      <c r="BB811" s="278"/>
      <c r="BC811" s="278"/>
      <c r="BD811" s="278"/>
      <c r="BE811" s="278"/>
      <c r="BF811" s="278"/>
      <c r="BG811" s="278"/>
      <c r="BH811" s="278"/>
      <c r="BI811" s="278"/>
      <c r="BJ811" s="278"/>
      <c r="BK811" s="278"/>
      <c r="BL811" s="278"/>
      <c r="BM811" s="278"/>
      <c r="BN811" s="278"/>
      <c r="BO811" s="278"/>
      <c r="BP811" s="278"/>
      <c r="BQ811" s="278"/>
      <c r="BR811" s="278"/>
      <c r="BS811" s="278"/>
      <c r="BT811" s="278"/>
      <c r="BU811" s="278"/>
      <c r="BV811" s="278"/>
      <c r="BW811" s="278"/>
      <c r="BX811" s="278"/>
      <c r="BY811" s="278"/>
      <c r="BZ811" s="278"/>
      <c r="CA811" s="278"/>
      <c r="CB811" s="278"/>
      <c r="CC811" s="278"/>
      <c r="CD811" s="278"/>
      <c r="CE811" s="278"/>
    </row>
    <row r="812" spans="1:83" ht="12.65" customHeight="1" x14ac:dyDescent="0.35">
      <c r="A812" s="209" t="str">
        <f>RIGHT($C$83,3)&amp;"*"&amp;RIGHT($C$82,4)&amp;"*"&amp;CC$55&amp;"*"&amp;"A"</f>
        <v>008*2020*8790*A</v>
      </c>
      <c r="B812" s="277"/>
      <c r="C812" s="279">
        <f>ROUND(CC60,2)</f>
        <v>0.98</v>
      </c>
      <c r="D812" s="277">
        <f>ROUND(CC61,0)</f>
        <v>41248</v>
      </c>
      <c r="E812" s="277">
        <f>ROUND(CC62,0)</f>
        <v>4335</v>
      </c>
      <c r="F812" s="277">
        <f>ROUND(CC63,0)</f>
        <v>0</v>
      </c>
      <c r="G812" s="277">
        <f>ROUND(CC64,0)</f>
        <v>-160</v>
      </c>
      <c r="H812" s="277">
        <f>ROUND(CC65,0)</f>
        <v>0</v>
      </c>
      <c r="I812" s="277">
        <f>ROUND(CC66,0)</f>
        <v>0</v>
      </c>
      <c r="J812" s="277">
        <f>ROUND(CC67,0)</f>
        <v>0</v>
      </c>
      <c r="K812" s="277">
        <f>ROUND(CC68,0)</f>
        <v>0</v>
      </c>
      <c r="L812" s="277">
        <f>ROUND(CC69,0)</f>
        <v>0</v>
      </c>
      <c r="M812" s="277">
        <f>ROUND(CC70,0)</f>
        <v>0</v>
      </c>
      <c r="N812" s="277"/>
      <c r="O812" s="277"/>
      <c r="P812" s="277">
        <f>IF(CC76&gt;0,ROUND(CC76,0),0)</f>
        <v>276</v>
      </c>
      <c r="Q812" s="277">
        <f>IF(CC77&gt;0,ROUND(CC77,0),0)</f>
        <v>0</v>
      </c>
      <c r="R812" s="277">
        <f>IF(CC78&gt;0,ROUND(CC78,0),0)</f>
        <v>0</v>
      </c>
      <c r="S812" s="277">
        <f>IF(CC79&gt;0,ROUND(CC79,0),0)</f>
        <v>0</v>
      </c>
      <c r="T812" s="279">
        <f>IF(CC80&gt;0,ROUND(CC80,2),0)</f>
        <v>0</v>
      </c>
      <c r="U812" s="277"/>
      <c r="V812" s="278"/>
      <c r="W812" s="277"/>
      <c r="X812" s="277"/>
      <c r="Y812" s="277"/>
      <c r="Z812" s="278"/>
      <c r="AA812" s="278"/>
      <c r="AB812" s="278"/>
      <c r="AC812" s="278"/>
      <c r="AD812" s="278"/>
      <c r="AE812" s="278"/>
      <c r="AF812" s="278"/>
      <c r="AG812" s="278"/>
      <c r="AH812" s="278"/>
      <c r="AI812" s="278"/>
      <c r="AJ812" s="278"/>
      <c r="AK812" s="278"/>
      <c r="AL812" s="278"/>
      <c r="AM812" s="278"/>
      <c r="AN812" s="278"/>
      <c r="AO812" s="278"/>
      <c r="AP812" s="278"/>
      <c r="AQ812" s="278"/>
      <c r="AR812" s="278"/>
      <c r="AS812" s="278"/>
      <c r="AT812" s="278"/>
      <c r="AU812" s="278"/>
      <c r="AV812" s="278"/>
      <c r="AW812" s="278"/>
      <c r="AX812" s="278"/>
      <c r="AY812" s="278"/>
      <c r="AZ812" s="278"/>
      <c r="BA812" s="278"/>
      <c r="BB812" s="278"/>
      <c r="BC812" s="278"/>
      <c r="BD812" s="278"/>
      <c r="BE812" s="278"/>
      <c r="BF812" s="278"/>
      <c r="BG812" s="278"/>
      <c r="BH812" s="278"/>
      <c r="BI812" s="278"/>
      <c r="BJ812" s="278"/>
      <c r="BK812" s="278"/>
      <c r="BL812" s="278"/>
      <c r="BM812" s="278"/>
      <c r="BN812" s="278"/>
      <c r="BO812" s="278"/>
      <c r="BP812" s="278"/>
      <c r="BQ812" s="278"/>
      <c r="BR812" s="278"/>
      <c r="BS812" s="278"/>
      <c r="BT812" s="278"/>
      <c r="BU812" s="278"/>
      <c r="BV812" s="278"/>
      <c r="BW812" s="278"/>
      <c r="BX812" s="278"/>
      <c r="BY812" s="278"/>
      <c r="BZ812" s="278"/>
      <c r="CA812" s="278"/>
      <c r="CB812" s="278"/>
      <c r="CC812" s="278"/>
      <c r="CD812" s="278"/>
      <c r="CE812" s="278"/>
    </row>
    <row r="813" spans="1:83" ht="12.65" customHeight="1" x14ac:dyDescent="0.35">
      <c r="A813" s="209" t="str">
        <f>RIGHT($C$83,3)&amp;"*"&amp;RIGHT($C$82,4)&amp;"*"&amp;"9000"&amp;"*"&amp;"A"</f>
        <v>008*2020*9000*A</v>
      </c>
      <c r="B813" s="277"/>
      <c r="C813" s="280"/>
      <c r="D813" s="277"/>
      <c r="E813" s="277"/>
      <c r="F813" s="277"/>
      <c r="G813" s="277"/>
      <c r="H813" s="277"/>
      <c r="I813" s="277"/>
      <c r="J813" s="277"/>
      <c r="K813" s="277"/>
      <c r="L813" s="277"/>
      <c r="M813" s="277"/>
      <c r="N813" s="277"/>
      <c r="O813" s="277"/>
      <c r="P813" s="277"/>
      <c r="Q813" s="277"/>
      <c r="R813" s="277"/>
      <c r="S813" s="277"/>
      <c r="T813" s="280"/>
      <c r="U813" s="277">
        <f>ROUND(CD69,0)</f>
        <v>0</v>
      </c>
      <c r="V813" s="278">
        <f>ROUND(CD70,0)</f>
        <v>0</v>
      </c>
      <c r="W813" s="277">
        <f>ROUND(CE72,0)</f>
        <v>0</v>
      </c>
      <c r="X813" s="277">
        <f>ROUND(C131,0)</f>
        <v>338847</v>
      </c>
      <c r="Y813" s="277"/>
      <c r="Z813" s="278"/>
      <c r="AA813" s="278"/>
      <c r="AB813" s="278"/>
      <c r="AC813" s="278"/>
      <c r="AD813" s="278"/>
      <c r="AE813" s="278"/>
      <c r="AF813" s="278"/>
      <c r="AG813" s="278"/>
      <c r="AH813" s="278"/>
      <c r="AI813" s="278"/>
      <c r="AJ813" s="278"/>
      <c r="AK813" s="278"/>
      <c r="AL813" s="278"/>
      <c r="AM813" s="278"/>
      <c r="AN813" s="278"/>
      <c r="AO813" s="278"/>
      <c r="AP813" s="278"/>
      <c r="AQ813" s="278"/>
      <c r="AR813" s="278"/>
      <c r="AS813" s="278"/>
      <c r="AT813" s="278"/>
      <c r="AU813" s="278"/>
      <c r="AV813" s="278"/>
      <c r="AW813" s="278"/>
      <c r="AX813" s="278"/>
      <c r="AY813" s="278"/>
      <c r="AZ813" s="278"/>
      <c r="BA813" s="278"/>
      <c r="BB813" s="278"/>
      <c r="BC813" s="278"/>
      <c r="BD813" s="278"/>
      <c r="BE813" s="278"/>
      <c r="BF813" s="278"/>
      <c r="BG813" s="278"/>
      <c r="BH813" s="278"/>
      <c r="BI813" s="278"/>
      <c r="BJ813" s="278"/>
      <c r="BK813" s="278"/>
      <c r="BL813" s="278"/>
      <c r="BM813" s="278"/>
      <c r="BN813" s="278"/>
      <c r="BO813" s="278"/>
      <c r="BP813" s="278"/>
      <c r="BQ813" s="278"/>
      <c r="BR813" s="278"/>
      <c r="BS813" s="278"/>
      <c r="BT813" s="278"/>
      <c r="BU813" s="278"/>
      <c r="BV813" s="278"/>
      <c r="BW813" s="278"/>
      <c r="BX813" s="278"/>
      <c r="BY813" s="278"/>
      <c r="BZ813" s="278"/>
      <c r="CA813" s="278"/>
      <c r="CB813" s="278"/>
      <c r="CC813" s="278"/>
      <c r="CD813" s="278"/>
      <c r="CE813" s="278"/>
    </row>
    <row r="814" spans="1:83" ht="12.65" customHeight="1" x14ac:dyDescent="0.35">
      <c r="B814" s="278"/>
      <c r="C814" s="278"/>
      <c r="D814" s="278"/>
      <c r="E814" s="278"/>
      <c r="F814" s="278"/>
      <c r="G814" s="278"/>
      <c r="H814" s="278"/>
      <c r="I814" s="278"/>
      <c r="J814" s="278"/>
      <c r="K814" s="278"/>
      <c r="L814" s="278"/>
      <c r="M814" s="278"/>
      <c r="N814" s="278"/>
      <c r="O814" s="278"/>
      <c r="P814" s="278"/>
      <c r="Q814" s="278"/>
      <c r="R814" s="278"/>
      <c r="S814" s="278"/>
      <c r="T814" s="278"/>
      <c r="U814" s="278"/>
      <c r="V814" s="278"/>
      <c r="W814" s="278"/>
      <c r="X814" s="278"/>
      <c r="Y814" s="278"/>
      <c r="Z814" s="278"/>
      <c r="AA814" s="278"/>
      <c r="AB814" s="278"/>
      <c r="AC814" s="278"/>
      <c r="AD814" s="278"/>
      <c r="AE814" s="278"/>
      <c r="AF814" s="278"/>
      <c r="AG814" s="278"/>
      <c r="AH814" s="278"/>
      <c r="AI814" s="278"/>
      <c r="AJ814" s="278"/>
      <c r="AK814" s="278"/>
      <c r="AL814" s="278"/>
      <c r="AM814" s="278"/>
      <c r="AN814" s="278"/>
      <c r="AO814" s="278"/>
      <c r="AP814" s="278"/>
      <c r="AQ814" s="278"/>
      <c r="AR814" s="278"/>
      <c r="AS814" s="278"/>
      <c r="AT814" s="278"/>
      <c r="AU814" s="278"/>
      <c r="AV814" s="278"/>
      <c r="AW814" s="278"/>
      <c r="AX814" s="278"/>
      <c r="AY814" s="278"/>
      <c r="AZ814" s="278"/>
      <c r="BA814" s="278"/>
      <c r="BB814" s="278"/>
      <c r="BC814" s="278"/>
      <c r="BD814" s="278"/>
      <c r="BE814" s="278"/>
      <c r="BF814" s="278"/>
      <c r="BG814" s="278"/>
      <c r="BH814" s="278"/>
      <c r="BI814" s="278"/>
      <c r="BJ814" s="278"/>
      <c r="BK814" s="278"/>
      <c r="BL814" s="278"/>
      <c r="BM814" s="278"/>
      <c r="BN814" s="278"/>
      <c r="BO814" s="278"/>
      <c r="BP814" s="278"/>
      <c r="BQ814" s="278"/>
      <c r="BR814" s="278"/>
      <c r="BS814" s="278"/>
      <c r="BT814" s="278"/>
      <c r="BU814" s="278"/>
      <c r="BV814" s="278"/>
      <c r="BW814" s="278"/>
      <c r="BX814" s="278"/>
      <c r="BY814" s="278"/>
      <c r="BZ814" s="278"/>
      <c r="CA814" s="278"/>
      <c r="CB814" s="278"/>
      <c r="CC814" s="278"/>
      <c r="CD814" s="278"/>
      <c r="CE814" s="278"/>
    </row>
    <row r="815" spans="1:83" ht="12.65" customHeight="1" x14ac:dyDescent="0.35">
      <c r="B815" s="281" t="s">
        <v>1004</v>
      </c>
      <c r="C815" s="282">
        <f t="shared" ref="C815:K815" si="23">SUM(C734:C813)</f>
        <v>195.48000000000002</v>
      </c>
      <c r="D815" s="278">
        <f t="shared" si="23"/>
        <v>14293532</v>
      </c>
      <c r="E815" s="278">
        <f t="shared" si="23"/>
        <v>3021740</v>
      </c>
      <c r="F815" s="278">
        <f t="shared" si="23"/>
        <v>2990766</v>
      </c>
      <c r="G815" s="278">
        <f t="shared" si="23"/>
        <v>2631968</v>
      </c>
      <c r="H815" s="278">
        <f t="shared" si="23"/>
        <v>267413</v>
      </c>
      <c r="I815" s="278">
        <f t="shared" si="23"/>
        <v>2693617</v>
      </c>
      <c r="J815" s="278">
        <f t="shared" si="23"/>
        <v>1288740</v>
      </c>
      <c r="K815" s="278">
        <f t="shared" si="23"/>
        <v>416377</v>
      </c>
      <c r="L815" s="278">
        <f>SUM(L734:L813)+SUM(U734:U813)</f>
        <v>1174740</v>
      </c>
      <c r="M815" s="278">
        <f>SUM(M734:M813)+SUM(V734:V813)</f>
        <v>0</v>
      </c>
      <c r="N815" s="278">
        <f t="shared" ref="N815:Y815" si="24">SUM(N734:N813)</f>
        <v>46719622</v>
      </c>
      <c r="O815" s="278">
        <f t="shared" si="24"/>
        <v>3422587</v>
      </c>
      <c r="P815" s="278">
        <f t="shared" si="24"/>
        <v>85625</v>
      </c>
      <c r="Q815" s="278">
        <f t="shared" si="24"/>
        <v>4581</v>
      </c>
      <c r="R815" s="278">
        <f t="shared" si="24"/>
        <v>0</v>
      </c>
      <c r="S815" s="278">
        <f t="shared" si="24"/>
        <v>0</v>
      </c>
      <c r="T815" s="282">
        <f t="shared" si="24"/>
        <v>20.69</v>
      </c>
      <c r="U815" s="278">
        <f t="shared" si="24"/>
        <v>0</v>
      </c>
      <c r="V815" s="278">
        <f t="shared" si="24"/>
        <v>0</v>
      </c>
      <c r="W815" s="278">
        <f t="shared" si="24"/>
        <v>0</v>
      </c>
      <c r="X815" s="278">
        <f t="shared" si="24"/>
        <v>338847</v>
      </c>
      <c r="Y815" s="278" t="e">
        <f t="shared" si="24"/>
        <v>#DIV/0!</v>
      </c>
      <c r="Z815" s="278"/>
      <c r="AA815" s="278"/>
      <c r="AB815" s="278"/>
      <c r="AC815" s="278"/>
      <c r="AD815" s="278"/>
      <c r="AE815" s="278"/>
      <c r="AF815" s="278"/>
      <c r="AG815" s="278"/>
      <c r="AH815" s="278"/>
      <c r="AI815" s="278"/>
      <c r="AJ815" s="278"/>
      <c r="AK815" s="278"/>
      <c r="AL815" s="278"/>
      <c r="AM815" s="278"/>
      <c r="AN815" s="278"/>
      <c r="AO815" s="278"/>
      <c r="AP815" s="278"/>
      <c r="AQ815" s="278"/>
      <c r="AR815" s="278"/>
      <c r="AS815" s="278"/>
      <c r="AT815" s="278"/>
      <c r="AU815" s="278"/>
      <c r="AV815" s="278"/>
      <c r="AW815" s="278"/>
      <c r="AX815" s="278"/>
      <c r="AY815" s="278"/>
      <c r="AZ815" s="278"/>
      <c r="BA815" s="278"/>
      <c r="BB815" s="278"/>
      <c r="BC815" s="278"/>
      <c r="BD815" s="278"/>
      <c r="BE815" s="278"/>
      <c r="BF815" s="278"/>
      <c r="BG815" s="278"/>
      <c r="BH815" s="278"/>
      <c r="BI815" s="278"/>
      <c r="BJ815" s="278"/>
      <c r="BK815" s="278"/>
      <c r="BL815" s="278"/>
      <c r="BM815" s="278"/>
      <c r="BN815" s="278"/>
      <c r="BO815" s="278"/>
      <c r="BP815" s="278"/>
      <c r="BQ815" s="278"/>
      <c r="BR815" s="278"/>
      <c r="BS815" s="278"/>
      <c r="BT815" s="278"/>
      <c r="BU815" s="278"/>
      <c r="BV815" s="278"/>
      <c r="BW815" s="278"/>
      <c r="BX815" s="278"/>
      <c r="BY815" s="278"/>
      <c r="BZ815" s="278"/>
      <c r="CA815" s="278"/>
      <c r="CB815" s="278"/>
      <c r="CC815" s="278"/>
      <c r="CD815" s="278"/>
      <c r="CE815" s="278"/>
    </row>
    <row r="816" spans="1:83" ht="12.65" customHeight="1" x14ac:dyDescent="0.35">
      <c r="B816" s="278" t="s">
        <v>1005</v>
      </c>
      <c r="C816" s="282">
        <f>CE60</f>
        <v>195.48000000000002</v>
      </c>
      <c r="D816" s="278">
        <f>CE61</f>
        <v>14293531.710000003</v>
      </c>
      <c r="E816" s="278">
        <f>CE62</f>
        <v>3021740</v>
      </c>
      <c r="F816" s="278">
        <f>CE63</f>
        <v>2990765.48</v>
      </c>
      <c r="G816" s="278">
        <f>CE64</f>
        <v>2631970.0000000009</v>
      </c>
      <c r="H816" s="281">
        <f>CE65</f>
        <v>267414.14</v>
      </c>
      <c r="I816" s="281">
        <f>CE66</f>
        <v>2693618.1399999997</v>
      </c>
      <c r="J816" s="281">
        <f>CE67</f>
        <v>1288740</v>
      </c>
      <c r="K816" s="281">
        <f>CE68</f>
        <v>416376.77</v>
      </c>
      <c r="L816" s="281">
        <f>CE69</f>
        <v>1174738.3999999999</v>
      </c>
      <c r="M816" s="281">
        <f>CE70</f>
        <v>0</v>
      </c>
      <c r="N816" s="278">
        <f>CE75</f>
        <v>46719620.219999999</v>
      </c>
      <c r="O816" s="278">
        <f>CE73</f>
        <v>3422586.93</v>
      </c>
      <c r="P816" s="278">
        <f>CE76</f>
        <v>85625</v>
      </c>
      <c r="Q816" s="278">
        <f>CE77</f>
        <v>4581</v>
      </c>
      <c r="R816" s="278">
        <f>CE78</f>
        <v>0</v>
      </c>
      <c r="S816" s="278">
        <f>CE79</f>
        <v>0</v>
      </c>
      <c r="T816" s="282">
        <f>CE80</f>
        <v>20.69</v>
      </c>
      <c r="U816" s="278" t="s">
        <v>1006</v>
      </c>
      <c r="V816" s="278" t="s">
        <v>1006</v>
      </c>
      <c r="W816" s="278" t="s">
        <v>1006</v>
      </c>
      <c r="X816" s="278" t="s">
        <v>1006</v>
      </c>
      <c r="Y816" s="278">
        <f>M716</f>
        <v>9624388.7599999979</v>
      </c>
      <c r="Z816" s="278"/>
      <c r="AA816" s="278"/>
      <c r="AB816" s="278"/>
      <c r="AC816" s="278"/>
      <c r="AD816" s="278"/>
      <c r="AE816" s="278"/>
      <c r="AF816" s="278"/>
      <c r="AG816" s="278"/>
      <c r="AH816" s="278"/>
      <c r="AI816" s="278"/>
      <c r="AJ816" s="278"/>
      <c r="AK816" s="278"/>
      <c r="AL816" s="278"/>
      <c r="AM816" s="278"/>
      <c r="AN816" s="278"/>
      <c r="AO816" s="278"/>
      <c r="AP816" s="278"/>
      <c r="AQ816" s="278"/>
      <c r="AR816" s="278"/>
      <c r="AS816" s="278"/>
      <c r="AT816" s="278"/>
      <c r="AU816" s="278"/>
      <c r="AV816" s="278"/>
      <c r="AW816" s="278"/>
      <c r="AX816" s="278"/>
      <c r="AY816" s="278"/>
      <c r="AZ816" s="278"/>
      <c r="BA816" s="278"/>
      <c r="BB816" s="278"/>
      <c r="BC816" s="278"/>
      <c r="BD816" s="278"/>
      <c r="BE816" s="278"/>
      <c r="BF816" s="278"/>
      <c r="BG816" s="278"/>
      <c r="BH816" s="278"/>
      <c r="BI816" s="278"/>
      <c r="BJ816" s="278"/>
      <c r="BK816" s="278"/>
      <c r="BL816" s="278"/>
      <c r="BM816" s="278"/>
      <c r="BN816" s="278"/>
      <c r="BO816" s="278"/>
      <c r="BP816" s="278"/>
      <c r="BQ816" s="278"/>
      <c r="BR816" s="278"/>
      <c r="BS816" s="278"/>
      <c r="BT816" s="278"/>
      <c r="BU816" s="278"/>
      <c r="BV816" s="278"/>
      <c r="BW816" s="278"/>
      <c r="BX816" s="278"/>
      <c r="BY816" s="278"/>
      <c r="BZ816" s="278"/>
      <c r="CA816" s="278"/>
      <c r="CB816" s="278"/>
      <c r="CC816" s="278"/>
      <c r="CD816" s="278"/>
      <c r="CE816" s="278"/>
    </row>
    <row r="817" spans="2:15" ht="12.65" customHeight="1" x14ac:dyDescent="0.35">
      <c r="B817" s="180" t="s">
        <v>471</v>
      </c>
      <c r="C817" s="199" t="s">
        <v>1007</v>
      </c>
      <c r="D817" s="180">
        <f>C378</f>
        <v>14293531.720000001</v>
      </c>
      <c r="E817" s="180">
        <f>C379</f>
        <v>3021740.06</v>
      </c>
      <c r="F817" s="180">
        <f>C380</f>
        <v>2990765</v>
      </c>
      <c r="G817" s="241">
        <f>C381</f>
        <v>2631968.4700000002</v>
      </c>
      <c r="H817" s="241">
        <f>C382</f>
        <v>267414.14</v>
      </c>
      <c r="I817" s="241">
        <f>C383</f>
        <v>2693618.12</v>
      </c>
      <c r="J817" s="241">
        <f>C384</f>
        <v>1288739</v>
      </c>
      <c r="K817" s="241">
        <f>C385</f>
        <v>416376.77</v>
      </c>
      <c r="L817" s="241">
        <f>C386+C387+C388+C389</f>
        <v>1174738.47</v>
      </c>
      <c r="M817" s="241">
        <f>C370</f>
        <v>0</v>
      </c>
      <c r="N817" s="180">
        <f>D361</f>
        <v>46719619.93</v>
      </c>
      <c r="O817" s="180">
        <f>C359</f>
        <v>3422586.93</v>
      </c>
    </row>
  </sheetData>
  <mergeCells count="1">
    <mergeCell ref="B220:C220"/>
  </mergeCells>
  <phoneticPr fontId="0" type="noConversion"/>
  <hyperlinks>
    <hyperlink ref="A16" r:id="rId1" xr:uid="{00000000-0004-0000-0000-000000000000}"/>
    <hyperlink ref="A17" r:id="rId2" xr:uid="{00000000-0004-0000-00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/>
  <dimension ref="A1:M384"/>
  <sheetViews>
    <sheetView showGridLines="0" zoomScale="65" workbookViewId="0">
      <selection activeCell="A386" sqref="A386"/>
    </sheetView>
  </sheetViews>
  <sheetFormatPr defaultColWidth="8.875" defaultRowHeight="20.149999999999999" customHeight="1" x14ac:dyDescent="0.35"/>
  <cols>
    <col min="1" max="1" width="5.75" style="78" customWidth="1"/>
    <col min="2" max="2" width="22.4375" style="78" customWidth="1"/>
    <col min="3" max="8" width="13.75" style="78" customWidth="1"/>
    <col min="9" max="9" width="15.75" style="78" customWidth="1"/>
    <col min="10" max="16384" width="8.875" style="78"/>
  </cols>
  <sheetData>
    <row r="1" spans="1:13" ht="20.149999999999999" customHeight="1" x14ac:dyDescent="0.3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49999999999999" customHeight="1" x14ac:dyDescent="0.3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49999999999999" customHeight="1" x14ac:dyDescent="0.35">
      <c r="A3" s="45"/>
      <c r="B3" s="77"/>
      <c r="C3" s="77"/>
      <c r="D3" s="77"/>
      <c r="E3" s="77"/>
      <c r="F3" s="77"/>
      <c r="G3" s="77"/>
      <c r="H3" s="77"/>
      <c r="I3" s="45"/>
    </row>
    <row r="4" spans="1:13" ht="20.149999999999999" customHeight="1" x14ac:dyDescent="0.35">
      <c r="A4" s="79" t="str">
        <f>"HOSPITAL NAME: "&amp;data!C84</f>
        <v>HOSPITAL NAME: Klickitat County Public Hospital District #1</v>
      </c>
      <c r="B4" s="77"/>
      <c r="C4" s="77"/>
      <c r="D4" s="77"/>
      <c r="E4" s="77"/>
      <c r="F4" s="77"/>
      <c r="G4" s="80"/>
      <c r="H4" s="79" t="str">
        <f>"FYE: "&amp;data!C82</f>
        <v>FYE: 12/31/2020</v>
      </c>
    </row>
    <row r="5" spans="1:13" ht="20.149999999999999" customHeight="1" x14ac:dyDescent="0.3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49999999999999" customHeight="1" x14ac:dyDescent="0.3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49999999999999" customHeight="1" x14ac:dyDescent="0.3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49999999999999" customHeight="1" x14ac:dyDescent="0.3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49999999999999" customHeight="1" x14ac:dyDescent="0.35">
      <c r="A9" s="23">
        <v>4</v>
      </c>
      <c r="B9" s="14" t="s">
        <v>233</v>
      </c>
      <c r="C9" s="14">
        <f>data!C59</f>
        <v>0</v>
      </c>
      <c r="D9" s="14">
        <f>data!D59</f>
        <v>0</v>
      </c>
      <c r="E9" s="14">
        <f>data!E59</f>
        <v>526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49999999999999" customHeight="1" x14ac:dyDescent="0.35">
      <c r="A10" s="23">
        <v>5</v>
      </c>
      <c r="B10" s="14" t="s">
        <v>234</v>
      </c>
      <c r="C10" s="26">
        <f>data!C60</f>
        <v>0</v>
      </c>
      <c r="D10" s="26">
        <f>data!D60</f>
        <v>0</v>
      </c>
      <c r="E10" s="26">
        <f>data!E60</f>
        <v>18.690000000000001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49999999999999" customHeight="1" x14ac:dyDescent="0.35">
      <c r="A11" s="23">
        <v>6</v>
      </c>
      <c r="B11" s="14" t="s">
        <v>235</v>
      </c>
      <c r="C11" s="14">
        <f>data!C61</f>
        <v>0</v>
      </c>
      <c r="D11" s="14">
        <f>data!D61</f>
        <v>0</v>
      </c>
      <c r="E11" s="14">
        <f>data!E61</f>
        <v>1219968.73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49999999999999" customHeight="1" x14ac:dyDescent="0.35">
      <c r="A12" s="23">
        <v>7</v>
      </c>
      <c r="B12" s="14" t="s">
        <v>3</v>
      </c>
      <c r="C12" s="14">
        <f>data!C62</f>
        <v>0</v>
      </c>
      <c r="D12" s="14">
        <f>data!D62</f>
        <v>0</v>
      </c>
      <c r="E12" s="14">
        <f>data!E62</f>
        <v>314238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49999999999999" customHeight="1" x14ac:dyDescent="0.3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1115546.6599999999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49999999999999" customHeight="1" x14ac:dyDescent="0.35">
      <c r="A14" s="23">
        <v>9</v>
      </c>
      <c r="B14" s="14" t="s">
        <v>237</v>
      </c>
      <c r="C14" s="14">
        <f>data!C64</f>
        <v>0</v>
      </c>
      <c r="D14" s="14">
        <f>data!D64</f>
        <v>0</v>
      </c>
      <c r="E14" s="14">
        <f>data!E64</f>
        <v>88910.48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49999999999999" customHeight="1" x14ac:dyDescent="0.3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9208.65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9"/>
    </row>
    <row r="16" spans="1:13" ht="20.149999999999999" customHeight="1" x14ac:dyDescent="0.35">
      <c r="A16" s="23">
        <v>11</v>
      </c>
      <c r="B16" s="14" t="s">
        <v>445</v>
      </c>
      <c r="C16" s="14">
        <f>data!C66</f>
        <v>0</v>
      </c>
      <c r="D16" s="14">
        <f>data!D66</f>
        <v>0</v>
      </c>
      <c r="E16" s="14">
        <f>data!E66</f>
        <v>35401.06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49999999999999" customHeight="1" x14ac:dyDescent="0.35">
      <c r="A17" s="23">
        <v>12</v>
      </c>
      <c r="B17" s="14" t="s">
        <v>6</v>
      </c>
      <c r="C17" s="14">
        <f>data!C67</f>
        <v>0</v>
      </c>
      <c r="D17" s="14">
        <f>data!D67</f>
        <v>0</v>
      </c>
      <c r="E17" s="14">
        <f>data!E67</f>
        <v>0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49999999999999" customHeight="1" x14ac:dyDescent="0.3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48800.15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49999999999999" customHeight="1" x14ac:dyDescent="0.35">
      <c r="A19" s="23">
        <v>14</v>
      </c>
      <c r="B19" s="14" t="s">
        <v>241</v>
      </c>
      <c r="C19" s="14">
        <f>data!C69</f>
        <v>0</v>
      </c>
      <c r="D19" s="14">
        <f>data!D69</f>
        <v>0</v>
      </c>
      <c r="E19" s="14">
        <f>data!E69</f>
        <v>13278.19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49999999999999" customHeight="1" x14ac:dyDescent="0.3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49999999999999" customHeight="1" x14ac:dyDescent="0.35">
      <c r="A21" s="23">
        <v>16</v>
      </c>
      <c r="B21" s="48" t="s">
        <v>1180</v>
      </c>
      <c r="C21" s="14">
        <f>data!C71</f>
        <v>0</v>
      </c>
      <c r="D21" s="14">
        <f>data!D71</f>
        <v>0</v>
      </c>
      <c r="E21" s="14">
        <f>data!E71</f>
        <v>2845351.9199999995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49999999999999" customHeight="1" x14ac:dyDescent="0.3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49999999999999" customHeight="1" x14ac:dyDescent="0.35">
      <c r="A23" s="23">
        <v>18</v>
      </c>
      <c r="B23" s="14" t="s">
        <v>1181</v>
      </c>
      <c r="C23" s="48" t="e">
        <f>+data!M668</f>
        <v>#DIV/0!</v>
      </c>
      <c r="D23" s="48" t="e">
        <f>+data!M669</f>
        <v>#DIV/0!</v>
      </c>
      <c r="E23" s="48" t="e">
        <f>+data!M670</f>
        <v>#DIV/0!</v>
      </c>
      <c r="F23" s="48" t="e">
        <f>+data!M671</f>
        <v>#DIV/0!</v>
      </c>
      <c r="G23" s="48" t="e">
        <f>+data!M672</f>
        <v>#DIV/0!</v>
      </c>
      <c r="H23" s="48" t="e">
        <f>+data!M673</f>
        <v>#DIV/0!</v>
      </c>
      <c r="I23" s="48" t="e">
        <f>+data!M674</f>
        <v>#DIV/0!</v>
      </c>
    </row>
    <row r="24" spans="1:9" ht="20.149999999999999" customHeight="1" x14ac:dyDescent="0.35">
      <c r="A24" s="23">
        <v>19</v>
      </c>
      <c r="B24" s="48" t="s">
        <v>1182</v>
      </c>
      <c r="C24" s="14">
        <f>data!C73</f>
        <v>0</v>
      </c>
      <c r="D24" s="14">
        <f>data!D73</f>
        <v>0</v>
      </c>
      <c r="E24" s="14">
        <f>data!E73</f>
        <v>1646018.8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49999999999999" customHeight="1" x14ac:dyDescent="0.35">
      <c r="A25" s="23">
        <v>20</v>
      </c>
      <c r="B25" s="48" t="s">
        <v>1183</v>
      </c>
      <c r="C25" s="14">
        <f>data!C74</f>
        <v>0</v>
      </c>
      <c r="D25" s="14">
        <f>data!D74</f>
        <v>0</v>
      </c>
      <c r="E25" s="14">
        <f>data!E74</f>
        <v>761938.95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35">
      <c r="A26" s="23">
        <v>21</v>
      </c>
      <c r="B26" s="48" t="s">
        <v>1184</v>
      </c>
      <c r="C26" s="14">
        <f>data!C75</f>
        <v>0</v>
      </c>
      <c r="D26" s="14">
        <f>data!D75</f>
        <v>0</v>
      </c>
      <c r="E26" s="14">
        <f>data!E75</f>
        <v>2407957.75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49999999999999" customHeight="1" x14ac:dyDescent="0.3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49999999999999" customHeight="1" x14ac:dyDescent="0.35">
      <c r="A28" s="23">
        <v>22</v>
      </c>
      <c r="B28" s="14" t="s">
        <v>1186</v>
      </c>
      <c r="C28" s="14">
        <f>data!C76</f>
        <v>0</v>
      </c>
      <c r="D28" s="14">
        <f>data!D76</f>
        <v>0</v>
      </c>
      <c r="E28" s="14">
        <f>data!E76</f>
        <v>8987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49999999999999" customHeight="1" x14ac:dyDescent="0.35">
      <c r="A29" s="23">
        <v>23</v>
      </c>
      <c r="B29" s="14" t="s">
        <v>1187</v>
      </c>
      <c r="C29" s="14">
        <f>data!C77</f>
        <v>0</v>
      </c>
      <c r="D29" s="14">
        <f>data!D77</f>
        <v>0</v>
      </c>
      <c r="E29" s="14">
        <f>data!E77</f>
        <v>4581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49999999999999" customHeight="1" x14ac:dyDescent="0.35">
      <c r="A30" s="23">
        <v>24</v>
      </c>
      <c r="B30" s="14" t="s">
        <v>1188</v>
      </c>
      <c r="C30" s="14">
        <f>data!C78</f>
        <v>0</v>
      </c>
      <c r="D30" s="14">
        <f>data!D78</f>
        <v>0</v>
      </c>
      <c r="E30" s="14">
        <f>data!E78</f>
        <v>0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49999999999999" customHeight="1" x14ac:dyDescent="0.35">
      <c r="A31" s="23">
        <v>25</v>
      </c>
      <c r="B31" s="14" t="s">
        <v>1189</v>
      </c>
      <c r="C31" s="14">
        <f>data!C79</f>
        <v>0</v>
      </c>
      <c r="D31" s="14">
        <f>data!D79</f>
        <v>0</v>
      </c>
      <c r="E31" s="14">
        <f>data!E79</f>
        <v>0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49999999999999" customHeight="1" x14ac:dyDescent="0.35">
      <c r="A32" s="23">
        <v>26</v>
      </c>
      <c r="B32" s="14" t="s">
        <v>252</v>
      </c>
      <c r="C32" s="84">
        <f>data!C80</f>
        <v>0</v>
      </c>
      <c r="D32" s="84">
        <f>data!D80</f>
        <v>0</v>
      </c>
      <c r="E32" s="84">
        <f>data!E80</f>
        <v>9.44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49999999999999" customHeight="1" x14ac:dyDescent="0.3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49999999999999" customHeight="1" x14ac:dyDescent="0.3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49999999999999" customHeight="1" x14ac:dyDescent="0.3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49999999999999" customHeight="1" x14ac:dyDescent="0.35">
      <c r="A36" s="79" t="str">
        <f>"HOSPITAL NAME: "&amp;data!C84</f>
        <v>HOSPITAL NAME: Klickitat County Public Hospital District #1</v>
      </c>
      <c r="B36" s="77"/>
      <c r="C36" s="77"/>
      <c r="D36" s="77"/>
      <c r="E36" s="77"/>
      <c r="F36" s="77"/>
      <c r="G36" s="80"/>
      <c r="H36" s="79" t="str">
        <f>"FYE: "&amp;data!C82</f>
        <v>FYE: 12/31/2020</v>
      </c>
    </row>
    <row r="37" spans="1:9" ht="20.149999999999999" customHeight="1" x14ac:dyDescent="0.3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49999999999999" customHeight="1" x14ac:dyDescent="0.3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49999999999999" customHeight="1" x14ac:dyDescent="0.3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49999999999999" customHeight="1" x14ac:dyDescent="0.3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49999999999999" customHeight="1" x14ac:dyDescent="0.3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3895</v>
      </c>
      <c r="G41" s="14">
        <f>data!N59</f>
        <v>2083</v>
      </c>
      <c r="H41" s="14">
        <f>data!O59</f>
        <v>0</v>
      </c>
      <c r="I41" s="14">
        <f>data!P59</f>
        <v>2452</v>
      </c>
    </row>
    <row r="42" spans="1:9" ht="20.149999999999999" customHeight="1" x14ac:dyDescent="0.3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6.1</v>
      </c>
      <c r="G42" s="26">
        <f>data!N60</f>
        <v>2.48</v>
      </c>
      <c r="H42" s="26">
        <f>data!O60</f>
        <v>0</v>
      </c>
      <c r="I42" s="26">
        <f>data!P60</f>
        <v>8.07</v>
      </c>
    </row>
    <row r="43" spans="1:9" ht="20.149999999999999" customHeight="1" x14ac:dyDescent="0.3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406620.1</v>
      </c>
      <c r="G43" s="14">
        <f>data!N61</f>
        <v>250926.93</v>
      </c>
      <c r="H43" s="14">
        <f>data!O61</f>
        <v>0</v>
      </c>
      <c r="I43" s="14">
        <f>data!P61</f>
        <v>837320.06</v>
      </c>
    </row>
    <row r="44" spans="1:9" ht="20.149999999999999" customHeight="1" x14ac:dyDescent="0.3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58881</v>
      </c>
      <c r="G44" s="14">
        <f>data!N62</f>
        <v>53506</v>
      </c>
      <c r="H44" s="14">
        <f>data!O62</f>
        <v>0</v>
      </c>
      <c r="I44" s="14">
        <f>data!P62</f>
        <v>129221</v>
      </c>
    </row>
    <row r="45" spans="1:9" ht="20.149999999999999" customHeight="1" x14ac:dyDescent="0.3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382306.66</v>
      </c>
    </row>
    <row r="46" spans="1:9" ht="20.149999999999999" customHeight="1" x14ac:dyDescent="0.3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53010.39</v>
      </c>
      <c r="G46" s="14">
        <f>data!N64</f>
        <v>155.86000000000001</v>
      </c>
      <c r="H46" s="14">
        <f>data!O64</f>
        <v>0</v>
      </c>
      <c r="I46" s="14">
        <f>data!P64</f>
        <v>130843.61</v>
      </c>
    </row>
    <row r="47" spans="1:9" ht="20.149999999999999" customHeight="1" x14ac:dyDescent="0.3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491.36</v>
      </c>
      <c r="G47" s="14">
        <f>data!N65</f>
        <v>0</v>
      </c>
      <c r="H47" s="14">
        <f>data!O65</f>
        <v>0</v>
      </c>
      <c r="I47" s="14">
        <f>data!P65</f>
        <v>0</v>
      </c>
    </row>
    <row r="48" spans="1:9" ht="20.149999999999999" customHeight="1" x14ac:dyDescent="0.3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289.8</v>
      </c>
      <c r="G48" s="14">
        <f>data!N66</f>
        <v>0</v>
      </c>
      <c r="H48" s="14">
        <f>data!O66</f>
        <v>0</v>
      </c>
      <c r="I48" s="14">
        <f>data!P66</f>
        <v>20466.66</v>
      </c>
    </row>
    <row r="49" spans="1:9" ht="20.149999999999999" customHeight="1" x14ac:dyDescent="0.3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0</v>
      </c>
    </row>
    <row r="50" spans="1:9" ht="20.149999999999999" customHeight="1" x14ac:dyDescent="0.3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13606.77</v>
      </c>
      <c r="G50" s="14">
        <f>data!N68</f>
        <v>0</v>
      </c>
      <c r="H50" s="14">
        <f>data!O68</f>
        <v>0</v>
      </c>
      <c r="I50" s="14">
        <f>data!P68</f>
        <v>7067.05</v>
      </c>
    </row>
    <row r="51" spans="1:9" ht="20.149999999999999" customHeight="1" x14ac:dyDescent="0.3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11468.62</v>
      </c>
      <c r="G51" s="14">
        <f>data!N69</f>
        <v>30970.73</v>
      </c>
      <c r="H51" s="14">
        <f>data!O69</f>
        <v>0</v>
      </c>
      <c r="I51" s="14">
        <f>data!P69</f>
        <v>65074.68</v>
      </c>
    </row>
    <row r="52" spans="1:9" ht="20.149999999999999" customHeight="1" x14ac:dyDescent="0.3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49999999999999" customHeight="1" x14ac:dyDescent="0.3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544368.03999999992</v>
      </c>
      <c r="G53" s="14">
        <f>data!N71</f>
        <v>335559.51999999996</v>
      </c>
      <c r="H53" s="14">
        <f>data!O71</f>
        <v>0</v>
      </c>
      <c r="I53" s="14">
        <f>data!P71</f>
        <v>1572299.72</v>
      </c>
    </row>
    <row r="54" spans="1:9" ht="20.149999999999999" customHeight="1" x14ac:dyDescent="0.3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49999999999999" customHeight="1" x14ac:dyDescent="0.35">
      <c r="A55" s="23">
        <v>18</v>
      </c>
      <c r="B55" s="14" t="s">
        <v>1181</v>
      </c>
      <c r="C55" s="48" t="e">
        <f>+data!M675</f>
        <v>#DIV/0!</v>
      </c>
      <c r="D55" s="48" t="e">
        <f>+data!M676</f>
        <v>#DIV/0!</v>
      </c>
      <c r="E55" s="48" t="e">
        <f>+data!M677</f>
        <v>#DIV/0!</v>
      </c>
      <c r="F55" s="48" t="e">
        <f>+data!M678</f>
        <v>#DIV/0!</v>
      </c>
      <c r="G55" s="48" t="e">
        <f>+data!M679</f>
        <v>#DIV/0!</v>
      </c>
      <c r="H55" s="48" t="e">
        <f>+data!M680</f>
        <v>#DIV/0!</v>
      </c>
      <c r="I55" s="48" t="e">
        <f>+data!M681</f>
        <v>#DIV/0!</v>
      </c>
    </row>
    <row r="56" spans="1:9" ht="20.149999999999999" customHeight="1" x14ac:dyDescent="0.3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0</v>
      </c>
      <c r="I56" s="14">
        <f>data!P73</f>
        <v>106701</v>
      </c>
    </row>
    <row r="57" spans="1:9" ht="20.149999999999999" customHeight="1" x14ac:dyDescent="0.3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1131690</v>
      </c>
      <c r="G57" s="14">
        <f>data!N74</f>
        <v>664497</v>
      </c>
      <c r="H57" s="14">
        <f>data!O74</f>
        <v>0</v>
      </c>
      <c r="I57" s="14">
        <f>data!P74</f>
        <v>3112058</v>
      </c>
    </row>
    <row r="58" spans="1:9" ht="20.149999999999999" customHeight="1" x14ac:dyDescent="0.3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1131690</v>
      </c>
      <c r="G58" s="14">
        <f>data!N75</f>
        <v>664497</v>
      </c>
      <c r="H58" s="14">
        <f>data!O75</f>
        <v>0</v>
      </c>
      <c r="I58" s="14">
        <f>data!P75</f>
        <v>3218759</v>
      </c>
    </row>
    <row r="59" spans="1:9" ht="20.149999999999999" customHeight="1" x14ac:dyDescent="0.3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49999999999999" customHeight="1" x14ac:dyDescent="0.3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4898</v>
      </c>
    </row>
    <row r="61" spans="1:9" ht="20.149999999999999" customHeight="1" x14ac:dyDescent="0.3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49999999999999" customHeight="1" x14ac:dyDescent="0.3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0</v>
      </c>
    </row>
    <row r="63" spans="1:9" ht="20.149999999999999" customHeight="1" x14ac:dyDescent="0.3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0</v>
      </c>
    </row>
    <row r="64" spans="1:9" ht="20.149999999999999" customHeight="1" x14ac:dyDescent="0.3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2.9</v>
      </c>
      <c r="G64" s="26">
        <f>data!N80</f>
        <v>0</v>
      </c>
      <c r="H64" s="26">
        <f>data!O80</f>
        <v>0</v>
      </c>
      <c r="I64" s="26">
        <f>data!P80</f>
        <v>2.72</v>
      </c>
    </row>
    <row r="65" spans="1:9" ht="20.149999999999999" customHeight="1" x14ac:dyDescent="0.3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49999999999999" customHeight="1" x14ac:dyDescent="0.3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49999999999999" customHeight="1" x14ac:dyDescent="0.35">
      <c r="A67" s="45"/>
      <c r="B67" s="77"/>
      <c r="C67" s="77"/>
      <c r="D67" s="77"/>
      <c r="E67" s="77"/>
      <c r="F67" s="77"/>
      <c r="G67" s="77"/>
      <c r="H67" s="77"/>
    </row>
    <row r="68" spans="1:9" ht="20.149999999999999" customHeight="1" x14ac:dyDescent="0.35">
      <c r="A68" s="79" t="str">
        <f>"HOSPITAL NAME: "&amp;data!C84</f>
        <v>HOSPITAL NAME: Klickitat County Public Hospital District #1</v>
      </c>
      <c r="B68" s="77"/>
      <c r="C68" s="77"/>
      <c r="D68" s="77"/>
      <c r="E68" s="77"/>
      <c r="F68" s="77"/>
      <c r="G68" s="80"/>
      <c r="H68" s="79" t="str">
        <f>"FYE: "&amp;data!C82</f>
        <v>FYE: 12/31/2020</v>
      </c>
    </row>
    <row r="69" spans="1:9" ht="20.149999999999999" customHeight="1" x14ac:dyDescent="0.3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49999999999999" customHeight="1" x14ac:dyDescent="0.3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49999999999999" customHeight="1" x14ac:dyDescent="0.3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49999999999999" customHeight="1" x14ac:dyDescent="0.3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49999999999999" customHeight="1" x14ac:dyDescent="0.35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12"/>
      <c r="F73" s="212"/>
      <c r="G73" s="14">
        <f>data!U59</f>
        <v>59520</v>
      </c>
      <c r="H73" s="14">
        <f>data!V59</f>
        <v>0</v>
      </c>
      <c r="I73" s="14">
        <f>data!W59</f>
        <v>450</v>
      </c>
    </row>
    <row r="74" spans="1:9" ht="20.149999999999999" customHeight="1" x14ac:dyDescent="0.35">
      <c r="A74" s="23">
        <v>5</v>
      </c>
      <c r="B74" s="14" t="s">
        <v>234</v>
      </c>
      <c r="C74" s="26">
        <f>data!Q60</f>
        <v>0</v>
      </c>
      <c r="D74" s="26">
        <f>data!R60</f>
        <v>0.9</v>
      </c>
      <c r="E74" s="26">
        <f>data!S60</f>
        <v>0</v>
      </c>
      <c r="F74" s="26">
        <f>data!T60</f>
        <v>0</v>
      </c>
      <c r="G74" s="26">
        <f>data!U60</f>
        <v>9.25</v>
      </c>
      <c r="H74" s="26">
        <f>data!V60</f>
        <v>0</v>
      </c>
      <c r="I74" s="26">
        <f>data!W60</f>
        <v>0</v>
      </c>
    </row>
    <row r="75" spans="1:9" ht="20.149999999999999" customHeight="1" x14ac:dyDescent="0.35">
      <c r="A75" s="23">
        <v>6</v>
      </c>
      <c r="B75" s="14" t="s">
        <v>235</v>
      </c>
      <c r="C75" s="14">
        <f>data!Q61</f>
        <v>0</v>
      </c>
      <c r="D75" s="14">
        <f>data!R61</f>
        <v>167746.41</v>
      </c>
      <c r="E75" s="14">
        <f>data!S61</f>
        <v>0</v>
      </c>
      <c r="F75" s="14">
        <f>data!T61</f>
        <v>0</v>
      </c>
      <c r="G75" s="14">
        <f>data!U61</f>
        <v>606242.61</v>
      </c>
      <c r="H75" s="14">
        <f>data!V61</f>
        <v>0</v>
      </c>
      <c r="I75" s="14">
        <f>data!W61</f>
        <v>0</v>
      </c>
    </row>
    <row r="76" spans="1:9" ht="20.149999999999999" customHeight="1" x14ac:dyDescent="0.35">
      <c r="A76" s="23">
        <v>7</v>
      </c>
      <c r="B76" s="14" t="s">
        <v>3</v>
      </c>
      <c r="C76" s="14">
        <f>data!Q62</f>
        <v>0</v>
      </c>
      <c r="D76" s="14">
        <f>data!R62</f>
        <v>28175</v>
      </c>
      <c r="E76" s="14">
        <f>data!S62</f>
        <v>0</v>
      </c>
      <c r="F76" s="14">
        <f>data!T62</f>
        <v>0</v>
      </c>
      <c r="G76" s="14">
        <f>data!U62</f>
        <v>103634</v>
      </c>
      <c r="H76" s="14">
        <f>data!V62</f>
        <v>0</v>
      </c>
      <c r="I76" s="14">
        <f>data!W62</f>
        <v>0</v>
      </c>
    </row>
    <row r="77" spans="1:9" ht="20.149999999999999" customHeight="1" x14ac:dyDescent="0.35">
      <c r="A77" s="23">
        <v>8</v>
      </c>
      <c r="B77" s="14" t="s">
        <v>236</v>
      </c>
      <c r="C77" s="14">
        <f>data!Q63</f>
        <v>0</v>
      </c>
      <c r="D77" s="14">
        <f>data!R63</f>
        <v>81066.399999999994</v>
      </c>
      <c r="E77" s="14">
        <f>data!S63</f>
        <v>0</v>
      </c>
      <c r="F77" s="14">
        <f>data!T63</f>
        <v>0</v>
      </c>
      <c r="G77" s="14">
        <f>data!U63</f>
        <v>83034.3</v>
      </c>
      <c r="H77" s="14">
        <f>data!V63</f>
        <v>0</v>
      </c>
      <c r="I77" s="14">
        <f>data!W63</f>
        <v>48224.29</v>
      </c>
    </row>
    <row r="78" spans="1:9" ht="20.149999999999999" customHeight="1" x14ac:dyDescent="0.35">
      <c r="A78" s="23">
        <v>9</v>
      </c>
      <c r="B78" s="14" t="s">
        <v>237</v>
      </c>
      <c r="C78" s="14">
        <f>data!Q64</f>
        <v>0</v>
      </c>
      <c r="D78" s="14">
        <f>data!R64</f>
        <v>10707.61</v>
      </c>
      <c r="E78" s="14">
        <f>data!S64</f>
        <v>0</v>
      </c>
      <c r="F78" s="14">
        <f>data!T64</f>
        <v>0</v>
      </c>
      <c r="G78" s="14">
        <f>data!U64</f>
        <v>469113.47</v>
      </c>
      <c r="H78" s="14">
        <f>data!V64</f>
        <v>0</v>
      </c>
      <c r="I78" s="14">
        <f>data!W64</f>
        <v>0</v>
      </c>
    </row>
    <row r="79" spans="1:9" ht="20.149999999999999" customHeight="1" x14ac:dyDescent="0.3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0</v>
      </c>
      <c r="H79" s="14">
        <f>data!V65</f>
        <v>0</v>
      </c>
      <c r="I79" s="14">
        <f>data!W65</f>
        <v>0</v>
      </c>
    </row>
    <row r="80" spans="1:9" ht="20.149999999999999" customHeight="1" x14ac:dyDescent="0.35">
      <c r="A80" s="23">
        <v>11</v>
      </c>
      <c r="B80" s="14" t="s">
        <v>445</v>
      </c>
      <c r="C80" s="14">
        <f>data!Q66</f>
        <v>0</v>
      </c>
      <c r="D80" s="14">
        <f>data!R66</f>
        <v>3891.6</v>
      </c>
      <c r="E80" s="14">
        <f>data!S66</f>
        <v>0</v>
      </c>
      <c r="F80" s="14">
        <f>data!T66</f>
        <v>0</v>
      </c>
      <c r="G80" s="14">
        <f>data!U66</f>
        <v>324032.03999999998</v>
      </c>
      <c r="H80" s="14">
        <f>data!V66</f>
        <v>0</v>
      </c>
      <c r="I80" s="14">
        <f>data!W66</f>
        <v>1403.34</v>
      </c>
    </row>
    <row r="81" spans="1:9" ht="20.149999999999999" customHeight="1" x14ac:dyDescent="0.35">
      <c r="A81" s="23">
        <v>12</v>
      </c>
      <c r="B81" s="14" t="s">
        <v>6</v>
      </c>
      <c r="C81" s="14">
        <f>data!Q67</f>
        <v>0</v>
      </c>
      <c r="D81" s="14">
        <f>data!R67</f>
        <v>0</v>
      </c>
      <c r="E81" s="14">
        <f>data!S67</f>
        <v>0</v>
      </c>
      <c r="F81" s="14">
        <f>data!T67</f>
        <v>0</v>
      </c>
      <c r="G81" s="14">
        <f>data!U67</f>
        <v>0</v>
      </c>
      <c r="H81" s="14">
        <f>data!V67</f>
        <v>0</v>
      </c>
      <c r="I81" s="14">
        <f>data!W67</f>
        <v>0</v>
      </c>
    </row>
    <row r="82" spans="1:9" ht="20.149999999999999" customHeight="1" x14ac:dyDescent="0.3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0</v>
      </c>
      <c r="F82" s="14">
        <f>data!T68</f>
        <v>0</v>
      </c>
      <c r="G82" s="14">
        <f>data!U68</f>
        <v>4685.07</v>
      </c>
      <c r="H82" s="14">
        <f>data!V68</f>
        <v>0</v>
      </c>
      <c r="I82" s="14">
        <f>data!W68</f>
        <v>238807.09</v>
      </c>
    </row>
    <row r="83" spans="1:9" ht="20.149999999999999" customHeight="1" x14ac:dyDescent="0.35">
      <c r="A83" s="23">
        <v>14</v>
      </c>
      <c r="B83" s="14" t="s">
        <v>241</v>
      </c>
      <c r="C83" s="14">
        <f>data!Q69</f>
        <v>0</v>
      </c>
      <c r="D83" s="14">
        <f>data!R69</f>
        <v>1460</v>
      </c>
      <c r="E83" s="14">
        <f>data!S69</f>
        <v>0</v>
      </c>
      <c r="F83" s="14">
        <f>data!T69</f>
        <v>0</v>
      </c>
      <c r="G83" s="14">
        <f>data!U69</f>
        <v>5865.23</v>
      </c>
      <c r="H83" s="14">
        <f>data!V69</f>
        <v>0</v>
      </c>
      <c r="I83" s="14">
        <f>data!W69</f>
        <v>0</v>
      </c>
    </row>
    <row r="84" spans="1:9" ht="20.149999999999999" customHeight="1" x14ac:dyDescent="0.3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49999999999999" customHeight="1" x14ac:dyDescent="0.35">
      <c r="A85" s="23">
        <v>16</v>
      </c>
      <c r="B85" s="48" t="s">
        <v>1180</v>
      </c>
      <c r="C85" s="14">
        <f>data!Q71</f>
        <v>0</v>
      </c>
      <c r="D85" s="14">
        <f>data!R71</f>
        <v>293047.01999999996</v>
      </c>
      <c r="E85" s="14">
        <f>data!S71</f>
        <v>0</v>
      </c>
      <c r="F85" s="14">
        <f>data!T71</f>
        <v>0</v>
      </c>
      <c r="G85" s="14">
        <f>data!U71</f>
        <v>1596606.72</v>
      </c>
      <c r="H85" s="14">
        <f>data!V71</f>
        <v>0</v>
      </c>
      <c r="I85" s="14">
        <f>data!W71</f>
        <v>288434.71999999997</v>
      </c>
    </row>
    <row r="86" spans="1:9" ht="20.149999999999999" customHeight="1" x14ac:dyDescent="0.3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49999999999999" customHeight="1" x14ac:dyDescent="0.35">
      <c r="A87" s="23">
        <v>18</v>
      </c>
      <c r="B87" s="14" t="s">
        <v>1181</v>
      </c>
      <c r="C87" s="48" t="e">
        <f>+data!M682</f>
        <v>#DIV/0!</v>
      </c>
      <c r="D87" s="48" t="e">
        <f>+data!M683</f>
        <v>#DIV/0!</v>
      </c>
      <c r="E87" s="48" t="e">
        <f>+data!M684</f>
        <v>#DIV/0!</v>
      </c>
      <c r="F87" s="48" t="e">
        <f>+data!M685</f>
        <v>#DIV/0!</v>
      </c>
      <c r="G87" s="48" t="e">
        <f>+data!M686</f>
        <v>#DIV/0!</v>
      </c>
      <c r="H87" s="48" t="e">
        <f>+data!M687</f>
        <v>#DIV/0!</v>
      </c>
      <c r="I87" s="48" t="e">
        <f>+data!M688</f>
        <v>#DIV/0!</v>
      </c>
    </row>
    <row r="88" spans="1:9" ht="20.149999999999999" customHeight="1" x14ac:dyDescent="0.35">
      <c r="A88" s="23">
        <v>19</v>
      </c>
      <c r="B88" s="48" t="s">
        <v>1182</v>
      </c>
      <c r="C88" s="14">
        <f>data!Q73</f>
        <v>0</v>
      </c>
      <c r="D88" s="14">
        <f>data!R73</f>
        <v>15534</v>
      </c>
      <c r="E88" s="14">
        <f>data!S73</f>
        <v>0</v>
      </c>
      <c r="F88" s="14">
        <f>data!T73</f>
        <v>0</v>
      </c>
      <c r="G88" s="14">
        <f>data!U73</f>
        <v>255054.95</v>
      </c>
      <c r="H88" s="14">
        <f>data!V73</f>
        <v>0</v>
      </c>
      <c r="I88" s="14">
        <f>data!W73</f>
        <v>52037</v>
      </c>
    </row>
    <row r="89" spans="1:9" ht="20.149999999999999" customHeight="1" x14ac:dyDescent="0.35">
      <c r="A89" s="23">
        <v>20</v>
      </c>
      <c r="B89" s="48" t="s">
        <v>1183</v>
      </c>
      <c r="C89" s="14">
        <f>data!Q74</f>
        <v>0</v>
      </c>
      <c r="D89" s="14">
        <f>data!R74</f>
        <v>256227.64</v>
      </c>
      <c r="E89" s="14">
        <f>data!S74</f>
        <v>0</v>
      </c>
      <c r="F89" s="14">
        <f>data!T74</f>
        <v>0</v>
      </c>
      <c r="G89" s="14">
        <f>data!U74</f>
        <v>5791655.5899999999</v>
      </c>
      <c r="H89" s="14">
        <f>data!V74</f>
        <v>0</v>
      </c>
      <c r="I89" s="14">
        <f>data!W74</f>
        <v>1588175</v>
      </c>
    </row>
    <row r="90" spans="1:9" ht="20.149999999999999" customHeight="1" x14ac:dyDescent="0.35">
      <c r="A90" s="23">
        <v>21</v>
      </c>
      <c r="B90" s="48" t="s">
        <v>1184</v>
      </c>
      <c r="C90" s="14">
        <f>data!Q75</f>
        <v>0</v>
      </c>
      <c r="D90" s="14">
        <f>data!R75</f>
        <v>271761.64</v>
      </c>
      <c r="E90" s="14">
        <f>data!S75</f>
        <v>0</v>
      </c>
      <c r="F90" s="14">
        <f>data!T75</f>
        <v>0</v>
      </c>
      <c r="G90" s="14">
        <f>data!U75</f>
        <v>6046710.54</v>
      </c>
      <c r="H90" s="14">
        <f>data!V75</f>
        <v>0</v>
      </c>
      <c r="I90" s="14">
        <f>data!W75</f>
        <v>1640212</v>
      </c>
    </row>
    <row r="91" spans="1:9" ht="20.149999999999999" customHeight="1" x14ac:dyDescent="0.3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49999999999999" customHeight="1" x14ac:dyDescent="0.35">
      <c r="A92" s="23">
        <v>22</v>
      </c>
      <c r="B92" s="14" t="s">
        <v>1186</v>
      </c>
      <c r="C92" s="14">
        <f>data!Q76</f>
        <v>0</v>
      </c>
      <c r="D92" s="14">
        <f>data!R76</f>
        <v>0</v>
      </c>
      <c r="E92" s="14">
        <f>data!S76</f>
        <v>0</v>
      </c>
      <c r="F92" s="14">
        <f>data!T76</f>
        <v>0</v>
      </c>
      <c r="G92" s="14">
        <f>data!U76</f>
        <v>1784</v>
      </c>
      <c r="H92" s="14">
        <f>data!V76</f>
        <v>0</v>
      </c>
      <c r="I92" s="14">
        <f>data!W76</f>
        <v>0</v>
      </c>
    </row>
    <row r="93" spans="1:9" ht="20.149999999999999" customHeight="1" x14ac:dyDescent="0.3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49999999999999" customHeight="1" x14ac:dyDescent="0.35">
      <c r="A94" s="23">
        <v>24</v>
      </c>
      <c r="B94" s="14" t="s">
        <v>1188</v>
      </c>
      <c r="C94" s="14">
        <f>data!Q78</f>
        <v>0</v>
      </c>
      <c r="D94" s="14">
        <f>data!R78</f>
        <v>0</v>
      </c>
      <c r="E94" s="14">
        <f>data!S78</f>
        <v>0</v>
      </c>
      <c r="F94" s="14">
        <f>data!T78</f>
        <v>0</v>
      </c>
      <c r="G94" s="14">
        <f>data!U78</f>
        <v>0</v>
      </c>
      <c r="H94" s="14">
        <f>data!V78</f>
        <v>0</v>
      </c>
      <c r="I94" s="14">
        <f>data!W78</f>
        <v>0</v>
      </c>
    </row>
    <row r="95" spans="1:9" ht="20.149999999999999" customHeight="1" x14ac:dyDescent="0.3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49999999999999" customHeight="1" x14ac:dyDescent="0.35">
      <c r="A96" s="23">
        <v>26</v>
      </c>
      <c r="B96" s="14" t="s">
        <v>252</v>
      </c>
      <c r="C96" s="84">
        <f>data!Q80</f>
        <v>0</v>
      </c>
      <c r="D96" s="84">
        <f>data!R80</f>
        <v>0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49999999999999" customHeight="1" x14ac:dyDescent="0.3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49999999999999" customHeight="1" x14ac:dyDescent="0.3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49999999999999" customHeight="1" x14ac:dyDescent="0.3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49999999999999" customHeight="1" x14ac:dyDescent="0.35">
      <c r="A100" s="79" t="str">
        <f>"HOSPITAL NAME: "&amp;data!C84</f>
        <v>HOSPITAL NAME: Klickitat County Public Hospital District #1</v>
      </c>
      <c r="B100" s="77"/>
      <c r="C100" s="77"/>
      <c r="D100" s="77"/>
      <c r="E100" s="77"/>
      <c r="F100" s="77"/>
      <c r="G100" s="80"/>
      <c r="H100" s="79" t="str">
        <f>"FYE: "&amp;data!C82</f>
        <v>FYE: 12/31/2020</v>
      </c>
    </row>
    <row r="101" spans="1:9" ht="20.149999999999999" customHeight="1" x14ac:dyDescent="0.3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49999999999999" customHeight="1" x14ac:dyDescent="0.3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49999999999999" customHeight="1" x14ac:dyDescent="0.3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49999999999999" customHeight="1" x14ac:dyDescent="0.3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49999999999999" customHeight="1" x14ac:dyDescent="0.35">
      <c r="A105" s="23">
        <v>4</v>
      </c>
      <c r="B105" s="14" t="s">
        <v>233</v>
      </c>
      <c r="C105" s="14">
        <f>data!X59</f>
        <v>1633</v>
      </c>
      <c r="D105" s="14">
        <f>data!Y59</f>
        <v>6483</v>
      </c>
      <c r="E105" s="14">
        <f>data!Z59</f>
        <v>0</v>
      </c>
      <c r="F105" s="14">
        <f>data!AA59</f>
        <v>0</v>
      </c>
      <c r="G105" s="212"/>
      <c r="H105" s="14">
        <f>data!AC59</f>
        <v>669</v>
      </c>
      <c r="I105" s="14">
        <f>data!AD59</f>
        <v>0</v>
      </c>
    </row>
    <row r="106" spans="1:9" ht="20.149999999999999" customHeight="1" x14ac:dyDescent="0.35">
      <c r="A106" s="23">
        <v>5</v>
      </c>
      <c r="B106" s="14" t="s">
        <v>234</v>
      </c>
      <c r="C106" s="26">
        <f>data!X60</f>
        <v>1.49</v>
      </c>
      <c r="D106" s="26">
        <f>data!Y60</f>
        <v>7.49</v>
      </c>
      <c r="E106" s="26">
        <f>data!Z60</f>
        <v>0</v>
      </c>
      <c r="F106" s="26">
        <f>data!AA60</f>
        <v>0</v>
      </c>
      <c r="G106" s="26">
        <f>data!AB60</f>
        <v>4.7</v>
      </c>
      <c r="H106" s="26">
        <f>data!AC60</f>
        <v>0.78</v>
      </c>
      <c r="I106" s="26">
        <f>data!AD60</f>
        <v>0</v>
      </c>
    </row>
    <row r="107" spans="1:9" ht="20.149999999999999" customHeight="1" x14ac:dyDescent="0.35">
      <c r="A107" s="23">
        <v>6</v>
      </c>
      <c r="B107" s="14" t="s">
        <v>235</v>
      </c>
      <c r="C107" s="14">
        <f>data!X61</f>
        <v>75155.55</v>
      </c>
      <c r="D107" s="14">
        <f>data!Y61</f>
        <v>603722.01</v>
      </c>
      <c r="E107" s="14">
        <f>data!Z61</f>
        <v>0</v>
      </c>
      <c r="F107" s="14">
        <f>data!AA61</f>
        <v>0</v>
      </c>
      <c r="G107" s="14">
        <f>data!AB61</f>
        <v>418728.27</v>
      </c>
      <c r="H107" s="14">
        <f>data!AC61</f>
        <v>64920.39</v>
      </c>
      <c r="I107" s="14">
        <f>data!AD61</f>
        <v>0</v>
      </c>
    </row>
    <row r="108" spans="1:9" ht="20.149999999999999" customHeight="1" x14ac:dyDescent="0.35">
      <c r="A108" s="23">
        <v>7</v>
      </c>
      <c r="B108" s="14" t="s">
        <v>3</v>
      </c>
      <c r="C108" s="14">
        <f>data!X62</f>
        <v>1767</v>
      </c>
      <c r="D108" s="14">
        <f>data!Y62</f>
        <v>138601</v>
      </c>
      <c r="E108" s="14">
        <f>data!Z62</f>
        <v>0</v>
      </c>
      <c r="F108" s="14">
        <f>data!AA62</f>
        <v>0</v>
      </c>
      <c r="G108" s="14">
        <f>data!AB62</f>
        <v>56945</v>
      </c>
      <c r="H108" s="14">
        <f>data!AC62</f>
        <v>12738</v>
      </c>
      <c r="I108" s="14">
        <f>data!AD62</f>
        <v>0</v>
      </c>
    </row>
    <row r="109" spans="1:9" ht="20.149999999999999" customHeight="1" x14ac:dyDescent="0.35">
      <c r="A109" s="23">
        <v>8</v>
      </c>
      <c r="B109" s="14" t="s">
        <v>236</v>
      </c>
      <c r="C109" s="14">
        <f>data!X63</f>
        <v>122066.92</v>
      </c>
      <c r="D109" s="14">
        <f>data!Y63</f>
        <v>205388.76</v>
      </c>
      <c r="E109" s="14">
        <f>data!Z63</f>
        <v>0</v>
      </c>
      <c r="F109" s="14">
        <f>data!AA63</f>
        <v>0</v>
      </c>
      <c r="G109" s="14">
        <f>data!AB63</f>
        <v>40740.120000000003</v>
      </c>
      <c r="H109" s="14">
        <f>data!AC63</f>
        <v>0</v>
      </c>
      <c r="I109" s="14">
        <f>data!AD63</f>
        <v>0</v>
      </c>
    </row>
    <row r="110" spans="1:9" ht="20.149999999999999" customHeight="1" x14ac:dyDescent="0.35">
      <c r="A110" s="23">
        <v>9</v>
      </c>
      <c r="B110" s="14" t="s">
        <v>237</v>
      </c>
      <c r="C110" s="14">
        <f>data!X64</f>
        <v>55896.27</v>
      </c>
      <c r="D110" s="14">
        <f>data!Y64</f>
        <v>20333.57</v>
      </c>
      <c r="E110" s="14">
        <f>data!Z64</f>
        <v>0</v>
      </c>
      <c r="F110" s="14">
        <f>data!AA64</f>
        <v>0</v>
      </c>
      <c r="G110" s="14">
        <f>data!AB64</f>
        <v>814661.35</v>
      </c>
      <c r="H110" s="14">
        <f>data!AC64</f>
        <v>2672.36</v>
      </c>
      <c r="I110" s="14">
        <f>data!AD64</f>
        <v>0</v>
      </c>
    </row>
    <row r="111" spans="1:9" ht="20.149999999999999" customHeight="1" x14ac:dyDescent="0.35">
      <c r="A111" s="23">
        <v>10</v>
      </c>
      <c r="B111" s="14" t="s">
        <v>444</v>
      </c>
      <c r="C111" s="14">
        <f>data!X65</f>
        <v>0</v>
      </c>
      <c r="D111" s="14">
        <f>data!Y65</f>
        <v>0</v>
      </c>
      <c r="E111" s="14">
        <f>data!Z65</f>
        <v>0</v>
      </c>
      <c r="F111" s="14">
        <f>data!AA65</f>
        <v>0</v>
      </c>
      <c r="G111" s="14">
        <f>data!AB65</f>
        <v>0</v>
      </c>
      <c r="H111" s="14">
        <f>data!AC65</f>
        <v>0</v>
      </c>
      <c r="I111" s="14">
        <f>data!AD65</f>
        <v>0</v>
      </c>
    </row>
    <row r="112" spans="1:9" ht="20.149999999999999" customHeight="1" x14ac:dyDescent="0.35">
      <c r="A112" s="23">
        <v>11</v>
      </c>
      <c r="B112" s="14" t="s">
        <v>445</v>
      </c>
      <c r="C112" s="14">
        <f>data!X66</f>
        <v>68077.34</v>
      </c>
      <c r="D112" s="14">
        <f>data!Y66</f>
        <v>168049.08</v>
      </c>
      <c r="E112" s="14">
        <f>data!Z66</f>
        <v>0</v>
      </c>
      <c r="F112" s="14">
        <f>data!AA66</f>
        <v>0</v>
      </c>
      <c r="G112" s="14">
        <f>data!AB66</f>
        <v>331917.93</v>
      </c>
      <c r="H112" s="14">
        <f>data!AC66</f>
        <v>242.25</v>
      </c>
      <c r="I112" s="14">
        <f>data!AD66</f>
        <v>0</v>
      </c>
    </row>
    <row r="113" spans="1:9" ht="20.149999999999999" customHeight="1" x14ac:dyDescent="0.35">
      <c r="A113" s="23">
        <v>12</v>
      </c>
      <c r="B113" s="14" t="s">
        <v>6</v>
      </c>
      <c r="C113" s="14">
        <f>data!X67</f>
        <v>0</v>
      </c>
      <c r="D113" s="14">
        <f>data!Y67</f>
        <v>0</v>
      </c>
      <c r="E113" s="14">
        <f>data!Z67</f>
        <v>0</v>
      </c>
      <c r="F113" s="14">
        <f>data!AA67</f>
        <v>0</v>
      </c>
      <c r="G113" s="14">
        <f>data!AB67</f>
        <v>0</v>
      </c>
      <c r="H113" s="14">
        <f>data!AC67</f>
        <v>0</v>
      </c>
      <c r="I113" s="14">
        <f>data!AD67</f>
        <v>0</v>
      </c>
    </row>
    <row r="114" spans="1:9" ht="20.149999999999999" customHeight="1" x14ac:dyDescent="0.35">
      <c r="A114" s="23">
        <v>13</v>
      </c>
      <c r="B114" s="14" t="s">
        <v>474</v>
      </c>
      <c r="C114" s="14">
        <f>data!X68</f>
        <v>35897.25</v>
      </c>
      <c r="D114" s="14">
        <f>data!Y68</f>
        <v>4297.5600000000004</v>
      </c>
      <c r="E114" s="14">
        <f>data!Z68</f>
        <v>0</v>
      </c>
      <c r="F114" s="14">
        <f>data!AA68</f>
        <v>0</v>
      </c>
      <c r="G114" s="14">
        <f>data!AB68</f>
        <v>7564.26</v>
      </c>
      <c r="H114" s="14">
        <f>data!AC68</f>
        <v>0</v>
      </c>
      <c r="I114" s="14">
        <f>data!AD68</f>
        <v>0</v>
      </c>
    </row>
    <row r="115" spans="1:9" ht="20.149999999999999" customHeight="1" x14ac:dyDescent="0.35">
      <c r="A115" s="23">
        <v>14</v>
      </c>
      <c r="B115" s="14" t="s">
        <v>241</v>
      </c>
      <c r="C115" s="14">
        <f>data!X69</f>
        <v>7370.75</v>
      </c>
      <c r="D115" s="14">
        <f>data!Y69</f>
        <v>4170.42</v>
      </c>
      <c r="E115" s="14">
        <f>data!Z69</f>
        <v>0</v>
      </c>
      <c r="F115" s="14">
        <f>data!AA69</f>
        <v>0</v>
      </c>
      <c r="G115" s="14">
        <f>data!AB69</f>
        <v>10307.040000000001</v>
      </c>
      <c r="H115" s="14">
        <f>data!AC69</f>
        <v>0</v>
      </c>
      <c r="I115" s="14">
        <f>data!AD69</f>
        <v>0</v>
      </c>
    </row>
    <row r="116" spans="1:9" ht="20.149999999999999" customHeight="1" x14ac:dyDescent="0.3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49999999999999" customHeight="1" x14ac:dyDescent="0.35">
      <c r="A117" s="23">
        <v>16</v>
      </c>
      <c r="B117" s="48" t="s">
        <v>1180</v>
      </c>
      <c r="C117" s="14">
        <f>data!X71</f>
        <v>366231.07999999996</v>
      </c>
      <c r="D117" s="14">
        <f>data!Y71</f>
        <v>1144562.3999999999</v>
      </c>
      <c r="E117" s="14">
        <f>data!Z71</f>
        <v>0</v>
      </c>
      <c r="F117" s="14">
        <f>data!AA71</f>
        <v>0</v>
      </c>
      <c r="G117" s="14">
        <f>data!AB71</f>
        <v>1680863.97</v>
      </c>
      <c r="H117" s="14">
        <f>data!AC71</f>
        <v>80573</v>
      </c>
      <c r="I117" s="14">
        <f>data!AD71</f>
        <v>0</v>
      </c>
    </row>
    <row r="118" spans="1:9" ht="20.149999999999999" customHeight="1" x14ac:dyDescent="0.3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49999999999999" customHeight="1" x14ac:dyDescent="0.35">
      <c r="A119" s="23">
        <v>18</v>
      </c>
      <c r="B119" s="14" t="s">
        <v>1181</v>
      </c>
      <c r="C119" s="48" t="e">
        <f>+data!M689</f>
        <v>#DIV/0!</v>
      </c>
      <c r="D119" s="48" t="e">
        <f>+data!M690</f>
        <v>#DIV/0!</v>
      </c>
      <c r="E119" s="48" t="e">
        <f>+data!M691</f>
        <v>#DIV/0!</v>
      </c>
      <c r="F119" s="48" t="e">
        <f>+data!M692</f>
        <v>#DIV/0!</v>
      </c>
      <c r="G119" s="48" t="e">
        <f>+data!M693</f>
        <v>#DIV/0!</v>
      </c>
      <c r="H119" s="48" t="e">
        <f>+data!M694</f>
        <v>#DIV/0!</v>
      </c>
      <c r="I119" s="48" t="e">
        <f>+data!M695</f>
        <v>#DIV/0!</v>
      </c>
    </row>
    <row r="120" spans="1:9" ht="20.149999999999999" customHeight="1" x14ac:dyDescent="0.35">
      <c r="A120" s="23">
        <v>19</v>
      </c>
      <c r="B120" s="48" t="s">
        <v>1182</v>
      </c>
      <c r="C120" s="14">
        <f>data!X73</f>
        <v>122893</v>
      </c>
      <c r="D120" s="14">
        <f>data!Y73</f>
        <v>157545</v>
      </c>
      <c r="E120" s="14">
        <f>data!Z73</f>
        <v>0</v>
      </c>
      <c r="F120" s="14">
        <f>data!AA73</f>
        <v>0</v>
      </c>
      <c r="G120" s="14">
        <f>data!AB73</f>
        <v>784009.18</v>
      </c>
      <c r="H120" s="14">
        <f>data!AC73</f>
        <v>24523</v>
      </c>
      <c r="I120" s="14">
        <f>data!AD73</f>
        <v>0</v>
      </c>
    </row>
    <row r="121" spans="1:9" ht="20.149999999999999" customHeight="1" x14ac:dyDescent="0.35">
      <c r="A121" s="23">
        <v>20</v>
      </c>
      <c r="B121" s="48" t="s">
        <v>1183</v>
      </c>
      <c r="C121" s="14">
        <f>data!X74</f>
        <v>4736133</v>
      </c>
      <c r="D121" s="14">
        <f>data!Y74</f>
        <v>4480369.53</v>
      </c>
      <c r="E121" s="14">
        <f>data!Z74</f>
        <v>0</v>
      </c>
      <c r="F121" s="14">
        <f>data!AA74</f>
        <v>0</v>
      </c>
      <c r="G121" s="14">
        <f>data!AB74</f>
        <v>3197315.65</v>
      </c>
      <c r="H121" s="14">
        <f>data!AC74</f>
        <v>95201</v>
      </c>
      <c r="I121" s="14">
        <f>data!AD74</f>
        <v>0</v>
      </c>
    </row>
    <row r="122" spans="1:9" ht="20.149999999999999" customHeight="1" x14ac:dyDescent="0.35">
      <c r="A122" s="23">
        <v>21</v>
      </c>
      <c r="B122" s="48" t="s">
        <v>1184</v>
      </c>
      <c r="C122" s="14">
        <f>data!X75</f>
        <v>4859026</v>
      </c>
      <c r="D122" s="14">
        <f>data!Y75</f>
        <v>4637914.53</v>
      </c>
      <c r="E122" s="14">
        <f>data!Z75</f>
        <v>0</v>
      </c>
      <c r="F122" s="14">
        <f>data!AA75</f>
        <v>0</v>
      </c>
      <c r="G122" s="14">
        <f>data!AB75</f>
        <v>3981324.83</v>
      </c>
      <c r="H122" s="14">
        <f>data!AC75</f>
        <v>119724</v>
      </c>
      <c r="I122" s="14">
        <f>data!AD75</f>
        <v>0</v>
      </c>
    </row>
    <row r="123" spans="1:9" ht="20.149999999999999" customHeight="1" x14ac:dyDescent="0.3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49999999999999" customHeight="1" x14ac:dyDescent="0.35">
      <c r="A124" s="23">
        <v>22</v>
      </c>
      <c r="B124" s="14" t="s">
        <v>1186</v>
      </c>
      <c r="C124" s="14">
        <f>data!X76</f>
        <v>621</v>
      </c>
      <c r="D124" s="14">
        <f>data!Y76</f>
        <v>2257</v>
      </c>
      <c r="E124" s="14">
        <f>data!Z76</f>
        <v>0</v>
      </c>
      <c r="F124" s="14">
        <f>data!AA76</f>
        <v>0</v>
      </c>
      <c r="G124" s="14">
        <f>data!AB76</f>
        <v>444</v>
      </c>
      <c r="H124" s="14">
        <f>data!AC76</f>
        <v>0</v>
      </c>
      <c r="I124" s="14">
        <f>data!AD76</f>
        <v>0</v>
      </c>
    </row>
    <row r="125" spans="1:9" ht="20.149999999999999" customHeight="1" x14ac:dyDescent="0.3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49999999999999" customHeight="1" x14ac:dyDescent="0.35">
      <c r="A126" s="23">
        <v>24</v>
      </c>
      <c r="B126" s="14" t="s">
        <v>1188</v>
      </c>
      <c r="C126" s="14">
        <f>data!X78</f>
        <v>0</v>
      </c>
      <c r="D126" s="14">
        <f>data!Y78</f>
        <v>0</v>
      </c>
      <c r="E126" s="14">
        <f>data!Z78</f>
        <v>0</v>
      </c>
      <c r="F126" s="14">
        <f>data!AA78</f>
        <v>0</v>
      </c>
      <c r="G126" s="14">
        <f>data!AB78</f>
        <v>0</v>
      </c>
      <c r="H126" s="14">
        <f>data!AC78</f>
        <v>0</v>
      </c>
      <c r="I126" s="14">
        <f>data!AD78</f>
        <v>0</v>
      </c>
    </row>
    <row r="127" spans="1:9" ht="20.149999999999999" customHeight="1" x14ac:dyDescent="0.35">
      <c r="A127" s="23">
        <v>25</v>
      </c>
      <c r="B127" s="14" t="s">
        <v>1189</v>
      </c>
      <c r="C127" s="14">
        <f>data!X79</f>
        <v>0</v>
      </c>
      <c r="D127" s="14">
        <f>data!Y79</f>
        <v>0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49999999999999" customHeight="1" x14ac:dyDescent="0.3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49999999999999" customHeight="1" x14ac:dyDescent="0.3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49999999999999" customHeight="1" x14ac:dyDescent="0.3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49999999999999" customHeight="1" x14ac:dyDescent="0.3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49999999999999" customHeight="1" x14ac:dyDescent="0.35">
      <c r="A132" s="79" t="str">
        <f>"HOSPITAL NAME: "&amp;data!C84</f>
        <v>HOSPITAL NAME: Klickitat County Public Hospital District #1</v>
      </c>
      <c r="B132" s="77"/>
      <c r="C132" s="77"/>
      <c r="D132" s="77"/>
      <c r="E132" s="77"/>
      <c r="F132" s="77"/>
      <c r="G132" s="80"/>
      <c r="H132" s="79" t="str">
        <f>"FYE: "&amp;data!C82</f>
        <v>FYE: 12/31/2020</v>
      </c>
    </row>
    <row r="133" spans="1:9" ht="20.149999999999999" customHeight="1" x14ac:dyDescent="0.3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49999999999999" customHeight="1" x14ac:dyDescent="0.3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49999999999999" customHeight="1" x14ac:dyDescent="0.3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49999999999999" customHeight="1" x14ac:dyDescent="0.3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49999999999999" customHeight="1" x14ac:dyDescent="0.35">
      <c r="A137" s="23">
        <v>4</v>
      </c>
      <c r="B137" s="14" t="s">
        <v>233</v>
      </c>
      <c r="C137" s="14">
        <f>data!AE59</f>
        <v>15471</v>
      </c>
      <c r="D137" s="14">
        <f>data!AF59</f>
        <v>0</v>
      </c>
      <c r="E137" s="14">
        <f>data!AG59</f>
        <v>4014</v>
      </c>
      <c r="F137" s="14">
        <f>data!AH59</f>
        <v>0</v>
      </c>
      <c r="G137" s="14">
        <f>data!AI59</f>
        <v>0</v>
      </c>
      <c r="H137" s="14">
        <f>data!AJ59</f>
        <v>24137</v>
      </c>
      <c r="I137" s="14">
        <f>data!AK59</f>
        <v>0</v>
      </c>
    </row>
    <row r="138" spans="1:9" ht="20.149999999999999" customHeight="1" x14ac:dyDescent="0.35">
      <c r="A138" s="23">
        <v>5</v>
      </c>
      <c r="B138" s="14" t="s">
        <v>234</v>
      </c>
      <c r="C138" s="26">
        <f>data!AE60</f>
        <v>9.98</v>
      </c>
      <c r="D138" s="26">
        <f>data!AF60</f>
        <v>0</v>
      </c>
      <c r="E138" s="26">
        <f>data!AG60</f>
        <v>12.89</v>
      </c>
      <c r="F138" s="26">
        <f>data!AH60</f>
        <v>0</v>
      </c>
      <c r="G138" s="26">
        <f>data!AI60</f>
        <v>0</v>
      </c>
      <c r="H138" s="26">
        <f>data!AJ60</f>
        <v>39.549999999999997</v>
      </c>
      <c r="I138" s="26">
        <f>data!AK60</f>
        <v>0</v>
      </c>
    </row>
    <row r="139" spans="1:9" ht="20.149999999999999" customHeight="1" x14ac:dyDescent="0.35">
      <c r="A139" s="23">
        <v>6</v>
      </c>
      <c r="B139" s="14" t="s">
        <v>235</v>
      </c>
      <c r="C139" s="14">
        <f>data!AE61</f>
        <v>720947.95</v>
      </c>
      <c r="D139" s="14">
        <f>data!AF61</f>
        <v>0</v>
      </c>
      <c r="E139" s="14">
        <f>data!AG61</f>
        <v>1711108.53</v>
      </c>
      <c r="F139" s="14">
        <f>data!AH61</f>
        <v>0</v>
      </c>
      <c r="G139" s="14">
        <f>data!AI61</f>
        <v>0</v>
      </c>
      <c r="H139" s="14">
        <f>data!AJ61</f>
        <v>3190468.42</v>
      </c>
      <c r="I139" s="14">
        <f>data!AK61</f>
        <v>0</v>
      </c>
    </row>
    <row r="140" spans="1:9" ht="20.149999999999999" customHeight="1" x14ac:dyDescent="0.35">
      <c r="A140" s="23">
        <v>7</v>
      </c>
      <c r="B140" s="14" t="s">
        <v>3</v>
      </c>
      <c r="C140" s="14">
        <f>data!AE62</f>
        <v>176319</v>
      </c>
      <c r="D140" s="14">
        <f>data!AF62</f>
        <v>0</v>
      </c>
      <c r="E140" s="14">
        <f>data!AG62</f>
        <v>245184</v>
      </c>
      <c r="F140" s="14">
        <f>data!AH62</f>
        <v>0</v>
      </c>
      <c r="G140" s="14">
        <f>data!AI62</f>
        <v>0</v>
      </c>
      <c r="H140" s="14">
        <f>data!AJ62</f>
        <v>698603</v>
      </c>
      <c r="I140" s="14">
        <f>data!AK62</f>
        <v>0</v>
      </c>
    </row>
    <row r="141" spans="1:9" ht="20.149999999999999" customHeight="1" x14ac:dyDescent="0.35">
      <c r="A141" s="23">
        <v>8</v>
      </c>
      <c r="B141" s="14" t="s">
        <v>236</v>
      </c>
      <c r="C141" s="14">
        <f>data!AE63</f>
        <v>104849.5</v>
      </c>
      <c r="D141" s="14">
        <f>data!AF63</f>
        <v>0</v>
      </c>
      <c r="E141" s="14">
        <f>data!AG63</f>
        <v>413563.23</v>
      </c>
      <c r="F141" s="14">
        <f>data!AH63</f>
        <v>0</v>
      </c>
      <c r="G141" s="14">
        <f>data!AI63</f>
        <v>0</v>
      </c>
      <c r="H141" s="14">
        <f>data!AJ63</f>
        <v>195034.59</v>
      </c>
      <c r="I141" s="14">
        <f>data!AK63</f>
        <v>0</v>
      </c>
    </row>
    <row r="142" spans="1:9" ht="20.149999999999999" customHeight="1" x14ac:dyDescent="0.35">
      <c r="A142" s="23">
        <v>9</v>
      </c>
      <c r="B142" s="14" t="s">
        <v>237</v>
      </c>
      <c r="C142" s="14">
        <f>data!AE64</f>
        <v>22476.32</v>
      </c>
      <c r="D142" s="14">
        <f>data!AF64</f>
        <v>0</v>
      </c>
      <c r="E142" s="14">
        <f>data!AG64</f>
        <v>51939.07</v>
      </c>
      <c r="F142" s="14">
        <f>data!AH64</f>
        <v>0</v>
      </c>
      <c r="G142" s="14">
        <f>data!AI64</f>
        <v>0</v>
      </c>
      <c r="H142" s="14">
        <f>data!AJ64</f>
        <v>190682.31</v>
      </c>
      <c r="I142" s="14">
        <f>data!AK64</f>
        <v>0</v>
      </c>
    </row>
    <row r="143" spans="1:9" ht="20.149999999999999" customHeight="1" x14ac:dyDescent="0.3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517.27</v>
      </c>
      <c r="F143" s="14">
        <f>data!AH65</f>
        <v>0</v>
      </c>
      <c r="G143" s="14">
        <f>data!AI65</f>
        <v>0</v>
      </c>
      <c r="H143" s="14">
        <f>data!AJ65</f>
        <v>44247.33</v>
      </c>
      <c r="I143" s="14">
        <f>data!AK65</f>
        <v>0</v>
      </c>
    </row>
    <row r="144" spans="1:9" ht="20.149999999999999" customHeight="1" x14ac:dyDescent="0.35">
      <c r="A144" s="23">
        <v>11</v>
      </c>
      <c r="B144" s="14" t="s">
        <v>445</v>
      </c>
      <c r="C144" s="14">
        <f>data!AE66</f>
        <v>2794.28</v>
      </c>
      <c r="D144" s="14">
        <f>data!AF66</f>
        <v>0</v>
      </c>
      <c r="E144" s="14">
        <f>data!AG66</f>
        <v>10728.83</v>
      </c>
      <c r="F144" s="14">
        <f>data!AH66</f>
        <v>0</v>
      </c>
      <c r="G144" s="14">
        <f>data!AI66</f>
        <v>0</v>
      </c>
      <c r="H144" s="14">
        <f>data!AJ66</f>
        <v>138618.35</v>
      </c>
      <c r="I144" s="14">
        <f>data!AK66</f>
        <v>0</v>
      </c>
    </row>
    <row r="145" spans="1:9" ht="20.149999999999999" customHeight="1" x14ac:dyDescent="0.35">
      <c r="A145" s="23">
        <v>12</v>
      </c>
      <c r="B145" s="14" t="s">
        <v>6</v>
      </c>
      <c r="C145" s="14">
        <f>data!AE67</f>
        <v>0</v>
      </c>
      <c r="D145" s="14">
        <f>data!AF67</f>
        <v>0</v>
      </c>
      <c r="E145" s="14">
        <f>data!AG67</f>
        <v>0</v>
      </c>
      <c r="F145" s="14">
        <f>data!AH67</f>
        <v>0</v>
      </c>
      <c r="G145" s="14">
        <f>data!AI67</f>
        <v>0</v>
      </c>
      <c r="H145" s="14">
        <f>data!AJ67</f>
        <v>168907</v>
      </c>
      <c r="I145" s="14">
        <f>data!AK67</f>
        <v>0</v>
      </c>
    </row>
    <row r="146" spans="1:9" ht="20.149999999999999" customHeight="1" x14ac:dyDescent="0.35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14616.79</v>
      </c>
      <c r="F146" s="14">
        <f>data!AH68</f>
        <v>0</v>
      </c>
      <c r="G146" s="14">
        <f>data!AI68</f>
        <v>0</v>
      </c>
      <c r="H146" s="14">
        <f>data!AJ68</f>
        <v>9707.67</v>
      </c>
      <c r="I146" s="14">
        <f>data!AK68</f>
        <v>0</v>
      </c>
    </row>
    <row r="147" spans="1:9" ht="20.149999999999999" customHeight="1" x14ac:dyDescent="0.35">
      <c r="A147" s="23">
        <v>14</v>
      </c>
      <c r="B147" s="14" t="s">
        <v>241</v>
      </c>
      <c r="C147" s="14">
        <f>data!AE69</f>
        <v>15940.92</v>
      </c>
      <c r="D147" s="14">
        <f>data!AF69</f>
        <v>0</v>
      </c>
      <c r="E147" s="14">
        <f>data!AG69</f>
        <v>30608.6</v>
      </c>
      <c r="F147" s="14">
        <f>data!AH69</f>
        <v>0</v>
      </c>
      <c r="G147" s="14">
        <f>data!AI69</f>
        <v>0</v>
      </c>
      <c r="H147" s="14">
        <f>data!AJ69</f>
        <v>120718.07</v>
      </c>
      <c r="I147" s="14">
        <f>data!AK69</f>
        <v>0</v>
      </c>
    </row>
    <row r="148" spans="1:9" ht="20.149999999999999" customHeight="1" x14ac:dyDescent="0.3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49999999999999" customHeight="1" x14ac:dyDescent="0.35">
      <c r="A149" s="23">
        <v>16</v>
      </c>
      <c r="B149" s="48" t="s">
        <v>1180</v>
      </c>
      <c r="C149" s="14">
        <f>data!AE71</f>
        <v>1043327.97</v>
      </c>
      <c r="D149" s="14">
        <f>data!AF71</f>
        <v>0</v>
      </c>
      <c r="E149" s="14">
        <f>data!AG71</f>
        <v>2478266.3199999998</v>
      </c>
      <c r="F149" s="14">
        <f>data!AH71</f>
        <v>0</v>
      </c>
      <c r="G149" s="14">
        <f>data!AI71</f>
        <v>0</v>
      </c>
      <c r="H149" s="14">
        <f>data!AJ71</f>
        <v>4756986.7399999993</v>
      </c>
      <c r="I149" s="14">
        <f>data!AK71</f>
        <v>0</v>
      </c>
    </row>
    <row r="150" spans="1:9" ht="20.149999999999999" customHeight="1" x14ac:dyDescent="0.3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49999999999999" customHeight="1" x14ac:dyDescent="0.35">
      <c r="A151" s="23">
        <v>18</v>
      </c>
      <c r="B151" s="14" t="s">
        <v>1181</v>
      </c>
      <c r="C151" s="48" t="e">
        <f>+data!M696</f>
        <v>#DIV/0!</v>
      </c>
      <c r="D151" s="48" t="e">
        <f>+data!M697</f>
        <v>#DIV/0!</v>
      </c>
      <c r="E151" s="48" t="e">
        <f>+data!M698</f>
        <v>#DIV/0!</v>
      </c>
      <c r="F151" s="48" t="e">
        <f>+data!M699</f>
        <v>#DIV/0!</v>
      </c>
      <c r="G151" s="48" t="e">
        <f>+data!M700</f>
        <v>#DIV/0!</v>
      </c>
      <c r="H151" s="48" t="e">
        <f>+data!M701</f>
        <v>#DIV/0!</v>
      </c>
      <c r="I151" s="48" t="e">
        <f>+data!M702</f>
        <v>#DIV/0!</v>
      </c>
    </row>
    <row r="152" spans="1:9" ht="20.149999999999999" customHeight="1" x14ac:dyDescent="0.35">
      <c r="A152" s="23">
        <v>19</v>
      </c>
      <c r="B152" s="48" t="s">
        <v>1182</v>
      </c>
      <c r="C152" s="14">
        <f>data!AE73</f>
        <v>99287</v>
      </c>
      <c r="D152" s="14">
        <f>data!AF73</f>
        <v>0</v>
      </c>
      <c r="E152" s="14">
        <f>data!AG73</f>
        <v>80945</v>
      </c>
      <c r="F152" s="14">
        <f>data!AH73</f>
        <v>0</v>
      </c>
      <c r="G152" s="14">
        <f>data!AI73</f>
        <v>0</v>
      </c>
      <c r="H152" s="14">
        <f>data!AJ73</f>
        <v>0</v>
      </c>
      <c r="I152" s="14">
        <f>data!AK73</f>
        <v>78039</v>
      </c>
    </row>
    <row r="153" spans="1:9" ht="20.149999999999999" customHeight="1" x14ac:dyDescent="0.35">
      <c r="A153" s="23">
        <v>20</v>
      </c>
      <c r="B153" s="48" t="s">
        <v>1183</v>
      </c>
      <c r="C153" s="14">
        <f>data!AE74</f>
        <v>1721293.11</v>
      </c>
      <c r="D153" s="14">
        <f>data!AF74</f>
        <v>0</v>
      </c>
      <c r="E153" s="14">
        <f>data!AG74</f>
        <v>9373799</v>
      </c>
      <c r="F153" s="14">
        <f>data!AH74</f>
        <v>0</v>
      </c>
      <c r="G153" s="14">
        <f>data!AI74</f>
        <v>0</v>
      </c>
      <c r="H153" s="14">
        <f>data!AJ74</f>
        <v>5949446</v>
      </c>
      <c r="I153" s="14">
        <f>data!AK74</f>
        <v>168094.19</v>
      </c>
    </row>
    <row r="154" spans="1:9" ht="20.149999999999999" customHeight="1" x14ac:dyDescent="0.35">
      <c r="A154" s="23">
        <v>21</v>
      </c>
      <c r="B154" s="48" t="s">
        <v>1184</v>
      </c>
      <c r="C154" s="14">
        <f>data!AE75</f>
        <v>1820580.11</v>
      </c>
      <c r="D154" s="14">
        <f>data!AF75</f>
        <v>0</v>
      </c>
      <c r="E154" s="14">
        <f>data!AG75</f>
        <v>9454744</v>
      </c>
      <c r="F154" s="14">
        <f>data!AH75</f>
        <v>0</v>
      </c>
      <c r="G154" s="14">
        <f>data!AI75</f>
        <v>0</v>
      </c>
      <c r="H154" s="14">
        <f>data!AJ75</f>
        <v>5949446</v>
      </c>
      <c r="I154" s="14">
        <f>data!AK75</f>
        <v>246133.19</v>
      </c>
    </row>
    <row r="155" spans="1:9" ht="20.149999999999999" customHeight="1" x14ac:dyDescent="0.3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49999999999999" customHeight="1" x14ac:dyDescent="0.35">
      <c r="A156" s="23">
        <v>22</v>
      </c>
      <c r="B156" s="14" t="s">
        <v>1186</v>
      </c>
      <c r="C156" s="14">
        <f>data!AE76</f>
        <v>4312</v>
      </c>
      <c r="D156" s="14">
        <f>data!AF76</f>
        <v>0</v>
      </c>
      <c r="E156" s="14">
        <f>data!AG76</f>
        <v>2054</v>
      </c>
      <c r="F156" s="14">
        <f>data!AH76</f>
        <v>0</v>
      </c>
      <c r="G156" s="14">
        <f>data!AI76</f>
        <v>0</v>
      </c>
      <c r="H156" s="14">
        <f>data!AJ76</f>
        <v>11999</v>
      </c>
      <c r="I156" s="14">
        <f>data!AK76</f>
        <v>0</v>
      </c>
    </row>
    <row r="157" spans="1:9" ht="20.149999999999999" customHeight="1" x14ac:dyDescent="0.3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49999999999999" customHeight="1" x14ac:dyDescent="0.35">
      <c r="A158" s="23">
        <v>24</v>
      </c>
      <c r="B158" s="14" t="s">
        <v>1188</v>
      </c>
      <c r="C158" s="14">
        <f>data!AE78</f>
        <v>0</v>
      </c>
      <c r="D158" s="14">
        <f>data!AF78</f>
        <v>0</v>
      </c>
      <c r="E158" s="14">
        <f>data!AG78</f>
        <v>0</v>
      </c>
      <c r="F158" s="14">
        <f>data!AH78</f>
        <v>0</v>
      </c>
      <c r="G158" s="14">
        <f>data!AI78</f>
        <v>0</v>
      </c>
      <c r="H158" s="14">
        <f>data!AJ78</f>
        <v>0</v>
      </c>
      <c r="I158" s="14">
        <f>data!AK78</f>
        <v>0</v>
      </c>
    </row>
    <row r="159" spans="1:9" ht="20.149999999999999" customHeight="1" x14ac:dyDescent="0.35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0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49999999999999" customHeight="1" x14ac:dyDescent="0.3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4.43</v>
      </c>
      <c r="F160" s="26">
        <f>data!AH80</f>
        <v>0</v>
      </c>
      <c r="G160" s="26">
        <f>data!AI80</f>
        <v>0</v>
      </c>
      <c r="H160" s="26">
        <f>data!AJ80</f>
        <v>1</v>
      </c>
      <c r="I160" s="26">
        <f>data!AK80</f>
        <v>0</v>
      </c>
    </row>
    <row r="161" spans="1:9" ht="20.149999999999999" customHeight="1" x14ac:dyDescent="0.3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49999999999999" customHeight="1" x14ac:dyDescent="0.3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49999999999999" customHeight="1" x14ac:dyDescent="0.3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49999999999999" customHeight="1" x14ac:dyDescent="0.35">
      <c r="A164" s="79" t="str">
        <f>"HOSPITAL NAME: "&amp;data!C84</f>
        <v>HOSPITAL NAME: Klickitat County Public Hospital District #1</v>
      </c>
      <c r="B164" s="77"/>
      <c r="C164" s="77"/>
      <c r="D164" s="77"/>
      <c r="E164" s="77"/>
      <c r="F164" s="77"/>
      <c r="G164" s="80"/>
      <c r="H164" s="79" t="str">
        <f>"FYE: "&amp;data!C82</f>
        <v>FYE: 12/31/2020</v>
      </c>
    </row>
    <row r="165" spans="1:9" ht="20.149999999999999" customHeight="1" x14ac:dyDescent="0.3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49999999999999" customHeight="1" x14ac:dyDescent="0.3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49999999999999" customHeight="1" x14ac:dyDescent="0.3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49999999999999" customHeight="1" x14ac:dyDescent="0.3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49999999999999" customHeight="1" x14ac:dyDescent="0.3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37</v>
      </c>
    </row>
    <row r="170" spans="1:9" ht="20.149999999999999" customHeight="1" x14ac:dyDescent="0.3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1.24</v>
      </c>
    </row>
    <row r="171" spans="1:9" ht="20.149999999999999" customHeight="1" x14ac:dyDescent="0.3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87188.3</v>
      </c>
    </row>
    <row r="172" spans="1:9" ht="20.149999999999999" customHeight="1" x14ac:dyDescent="0.3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26260</v>
      </c>
    </row>
    <row r="173" spans="1:9" ht="20.149999999999999" customHeight="1" x14ac:dyDescent="0.3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49999999999999" customHeight="1" x14ac:dyDescent="0.35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6613.14</v>
      </c>
    </row>
    <row r="175" spans="1:9" ht="20.149999999999999" customHeight="1" x14ac:dyDescent="0.3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49999999999999" customHeight="1" x14ac:dyDescent="0.3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3853.32</v>
      </c>
    </row>
    <row r="177" spans="1:9" ht="20.149999999999999" customHeight="1" x14ac:dyDescent="0.3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49999999999999" customHeight="1" x14ac:dyDescent="0.3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16.78</v>
      </c>
    </row>
    <row r="179" spans="1:9" ht="20.149999999999999" customHeight="1" x14ac:dyDescent="0.3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4095.2</v>
      </c>
    </row>
    <row r="180" spans="1:9" ht="20.149999999999999" customHeight="1" x14ac:dyDescent="0.3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49999999999999" customHeight="1" x14ac:dyDescent="0.35">
      <c r="A181" s="23">
        <v>16</v>
      </c>
      <c r="B181" s="48" t="s">
        <v>1180</v>
      </c>
      <c r="C181" s="14">
        <f>data!AL71</f>
        <v>0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128026.74</v>
      </c>
    </row>
    <row r="182" spans="1:9" ht="20.149999999999999" customHeight="1" x14ac:dyDescent="0.3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49999999999999" customHeight="1" x14ac:dyDescent="0.35">
      <c r="A183" s="23">
        <v>18</v>
      </c>
      <c r="B183" s="14" t="s">
        <v>1181</v>
      </c>
      <c r="C183" s="48" t="e">
        <f>+data!M703</f>
        <v>#DIV/0!</v>
      </c>
      <c r="D183" s="48" t="e">
        <f>+data!M704</f>
        <v>#DIV/0!</v>
      </c>
      <c r="E183" s="48" t="e">
        <f>+data!M705</f>
        <v>#DIV/0!</v>
      </c>
      <c r="F183" s="48" t="e">
        <f>+data!M706</f>
        <v>#DIV/0!</v>
      </c>
      <c r="G183" s="48" t="e">
        <f>+data!M707</f>
        <v>#DIV/0!</v>
      </c>
      <c r="H183" s="48" t="e">
        <f>+data!M708</f>
        <v>#DIV/0!</v>
      </c>
      <c r="I183" s="48" t="e">
        <f>+data!M709</f>
        <v>#DIV/0!</v>
      </c>
    </row>
    <row r="184" spans="1:9" ht="20.149999999999999" customHeight="1" x14ac:dyDescent="0.35">
      <c r="A184" s="23">
        <v>19</v>
      </c>
      <c r="B184" s="48" t="s">
        <v>1182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49999999999999" customHeight="1" x14ac:dyDescent="0.35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212704.63</v>
      </c>
    </row>
    <row r="186" spans="1:9" ht="20.149999999999999" customHeight="1" x14ac:dyDescent="0.35">
      <c r="A186" s="23">
        <v>21</v>
      </c>
      <c r="B186" s="48" t="s">
        <v>1184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212704.63</v>
      </c>
    </row>
    <row r="187" spans="1:9" ht="20.149999999999999" customHeight="1" x14ac:dyDescent="0.3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49999999999999" customHeight="1" x14ac:dyDescent="0.3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722</v>
      </c>
    </row>
    <row r="189" spans="1:9" ht="20.149999999999999" customHeight="1" x14ac:dyDescent="0.3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49999999999999" customHeight="1" x14ac:dyDescent="0.3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49999999999999" customHeight="1" x14ac:dyDescent="0.3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49999999999999" customHeight="1" x14ac:dyDescent="0.3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0.2</v>
      </c>
    </row>
    <row r="193" spans="1:9" ht="20.149999999999999" customHeight="1" x14ac:dyDescent="0.3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49999999999999" customHeight="1" x14ac:dyDescent="0.3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49999999999999" customHeight="1" x14ac:dyDescent="0.3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49999999999999" customHeight="1" x14ac:dyDescent="0.35">
      <c r="A196" s="79" t="str">
        <f>"HOSPITAL NAME: "&amp;data!C84</f>
        <v>HOSPITAL NAME: Klickitat County Public Hospital District #1</v>
      </c>
      <c r="B196" s="77"/>
      <c r="C196" s="77"/>
      <c r="D196" s="77"/>
      <c r="E196" s="77"/>
      <c r="F196" s="77"/>
      <c r="G196" s="80"/>
      <c r="H196" s="79" t="str">
        <f>"FYE: "&amp;data!C82</f>
        <v>FYE: 12/31/2020</v>
      </c>
    </row>
    <row r="197" spans="1:9" ht="20.149999999999999" customHeight="1" x14ac:dyDescent="0.3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49999999999999" customHeight="1" x14ac:dyDescent="0.3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49999999999999" customHeight="1" x14ac:dyDescent="0.3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49999999999999" customHeight="1" x14ac:dyDescent="0.3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49999999999999" customHeight="1" x14ac:dyDescent="0.3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4581</v>
      </c>
    </row>
    <row r="202" spans="1:9" ht="20.149999999999999" customHeight="1" x14ac:dyDescent="0.3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0</v>
      </c>
      <c r="G202" s="26">
        <f>data!AW60</f>
        <v>0.76</v>
      </c>
      <c r="H202" s="26">
        <f>data!AX60</f>
        <v>0</v>
      </c>
      <c r="I202" s="26">
        <f>data!AY60</f>
        <v>8.1199999999999992</v>
      </c>
    </row>
    <row r="203" spans="1:9" ht="20.149999999999999" customHeight="1" x14ac:dyDescent="0.3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0</v>
      </c>
      <c r="G203" s="14">
        <f>data!AW61</f>
        <v>62557.25</v>
      </c>
      <c r="H203" s="14">
        <f>data!AX61</f>
        <v>0</v>
      </c>
      <c r="I203" s="14">
        <f>data!AY61</f>
        <v>303998.81</v>
      </c>
    </row>
    <row r="204" spans="1:9" ht="20.149999999999999" customHeight="1" x14ac:dyDescent="0.3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0</v>
      </c>
      <c r="G204" s="14">
        <f>data!AW62</f>
        <v>11261</v>
      </c>
      <c r="H204" s="14">
        <f>data!AX62</f>
        <v>0</v>
      </c>
      <c r="I204" s="14">
        <f>data!AY62</f>
        <v>86372</v>
      </c>
    </row>
    <row r="205" spans="1:9" ht="20.149999999999999" customHeight="1" x14ac:dyDescent="0.3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2447.1</v>
      </c>
      <c r="H205" s="14">
        <f>data!AX63</f>
        <v>0</v>
      </c>
      <c r="I205" s="14">
        <f>data!AY63</f>
        <v>11060</v>
      </c>
    </row>
    <row r="206" spans="1:9" ht="20.149999999999999" customHeight="1" x14ac:dyDescent="0.3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0</v>
      </c>
      <c r="G206" s="14">
        <f>data!AW64</f>
        <v>1364.59</v>
      </c>
      <c r="H206" s="14">
        <f>data!AX64</f>
        <v>0</v>
      </c>
      <c r="I206" s="14">
        <f>data!AY64</f>
        <v>180270.3</v>
      </c>
    </row>
    <row r="207" spans="1:9" ht="20.149999999999999" customHeight="1" x14ac:dyDescent="0.3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49999999999999" customHeight="1" x14ac:dyDescent="0.3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0</v>
      </c>
      <c r="G208" s="14">
        <f>data!AW66</f>
        <v>-24.44</v>
      </c>
      <c r="H208" s="14">
        <f>data!AX66</f>
        <v>0</v>
      </c>
      <c r="I208" s="14">
        <f>data!AY66</f>
        <v>0</v>
      </c>
    </row>
    <row r="209" spans="1:9" ht="20.149999999999999" customHeight="1" x14ac:dyDescent="0.3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0</v>
      </c>
    </row>
    <row r="210" spans="1:9" ht="20.149999999999999" customHeight="1" x14ac:dyDescent="0.3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49999999999999" customHeight="1" x14ac:dyDescent="0.3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0</v>
      </c>
      <c r="G211" s="14">
        <f>data!AW69</f>
        <v>0</v>
      </c>
      <c r="H211" s="14">
        <f>data!AX69</f>
        <v>0</v>
      </c>
      <c r="I211" s="14">
        <f>data!AY69</f>
        <v>1446.57</v>
      </c>
    </row>
    <row r="212" spans="1:9" ht="20.149999999999999" customHeight="1" x14ac:dyDescent="0.3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0</v>
      </c>
    </row>
    <row r="213" spans="1:9" ht="20.149999999999999" customHeight="1" x14ac:dyDescent="0.3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0</v>
      </c>
      <c r="G213" s="14">
        <f>data!AW71</f>
        <v>77605.5</v>
      </c>
      <c r="H213" s="14">
        <f>data!AX71</f>
        <v>0</v>
      </c>
      <c r="I213" s="14">
        <f>data!AY71</f>
        <v>583147.67999999993</v>
      </c>
    </row>
    <row r="214" spans="1:9" ht="20.149999999999999" customHeight="1" x14ac:dyDescent="0.3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49999999999999" customHeight="1" x14ac:dyDescent="0.35">
      <c r="A215" s="23">
        <v>18</v>
      </c>
      <c r="B215" s="14" t="s">
        <v>1181</v>
      </c>
      <c r="C215" s="48" t="e">
        <f>+data!M710</f>
        <v>#DIV/0!</v>
      </c>
      <c r="D215" s="48" t="e">
        <f>+data!M711</f>
        <v>#DIV/0!</v>
      </c>
      <c r="E215" s="48" t="e">
        <f>+data!M712</f>
        <v>#DIV/0!</v>
      </c>
      <c r="F215" s="48" t="e">
        <f>+data!M713</f>
        <v>#DIV/0!</v>
      </c>
      <c r="G215" s="22"/>
      <c r="H215" s="14"/>
      <c r="I215" s="14"/>
    </row>
    <row r="216" spans="1:9" ht="20.149999999999999" customHeight="1" x14ac:dyDescent="0.3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49999999999999" customHeight="1" x14ac:dyDescent="0.3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56435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49999999999999" customHeight="1" x14ac:dyDescent="0.3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56435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49999999999999" customHeight="1" x14ac:dyDescent="0.3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49999999999999" customHeight="1" x14ac:dyDescent="0.3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1202</v>
      </c>
    </row>
    <row r="221" spans="1:9" ht="20.149999999999999" customHeight="1" x14ac:dyDescent="0.3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49999999999999" customHeight="1" x14ac:dyDescent="0.3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49999999999999" customHeight="1" x14ac:dyDescent="0.3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49999999999999" customHeight="1" x14ac:dyDescent="0.3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49999999999999" customHeight="1" x14ac:dyDescent="0.3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49999999999999" customHeight="1" x14ac:dyDescent="0.3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49999999999999" customHeight="1" x14ac:dyDescent="0.3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49999999999999" customHeight="1" x14ac:dyDescent="0.35">
      <c r="A228" s="79" t="str">
        <f>"HOSPITAL NAME: "&amp;data!C84</f>
        <v>HOSPITAL NAME: Klickitat County Public Hospital District #1</v>
      </c>
      <c r="B228" s="77"/>
      <c r="C228" s="77"/>
      <c r="D228" s="77"/>
      <c r="E228" s="77"/>
      <c r="F228" s="77"/>
      <c r="G228" s="80"/>
      <c r="H228" s="79" t="str">
        <f>"FYE: "&amp;data!C82</f>
        <v>FYE: 12/31/2020</v>
      </c>
    </row>
    <row r="229" spans="1:9" ht="20.149999999999999" customHeight="1" x14ac:dyDescent="0.3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49999999999999" customHeight="1" x14ac:dyDescent="0.3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49999999999999" customHeight="1" x14ac:dyDescent="0.3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49999999999999" customHeight="1" x14ac:dyDescent="0.3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49999999999999" customHeight="1" x14ac:dyDescent="0.35">
      <c r="A233" s="23">
        <v>4</v>
      </c>
      <c r="B233" s="14" t="s">
        <v>233</v>
      </c>
      <c r="C233" s="14">
        <f>data!AZ59</f>
        <v>26627</v>
      </c>
      <c r="D233" s="14">
        <f>data!BA59</f>
        <v>0</v>
      </c>
      <c r="E233" s="212"/>
      <c r="F233" s="212"/>
      <c r="G233" s="212"/>
      <c r="H233" s="14">
        <f>data!BE59</f>
        <v>85625</v>
      </c>
      <c r="I233" s="212"/>
    </row>
    <row r="234" spans="1:9" ht="20.149999999999999" customHeight="1" x14ac:dyDescent="0.35">
      <c r="A234" s="23">
        <v>5</v>
      </c>
      <c r="B234" s="14" t="s">
        <v>234</v>
      </c>
      <c r="C234" s="26">
        <f>data!AZ60</f>
        <v>0</v>
      </c>
      <c r="D234" s="26">
        <f>data!BA60</f>
        <v>0</v>
      </c>
      <c r="E234" s="26">
        <f>data!BB60</f>
        <v>0</v>
      </c>
      <c r="F234" s="26">
        <f>data!BC60</f>
        <v>0.28000000000000003</v>
      </c>
      <c r="G234" s="26">
        <f>data!BD60</f>
        <v>1</v>
      </c>
      <c r="H234" s="26">
        <f>data!BE60</f>
        <v>7.13</v>
      </c>
      <c r="I234" s="26">
        <f>data!BF60</f>
        <v>9.58</v>
      </c>
    </row>
    <row r="235" spans="1:9" ht="20.149999999999999" customHeight="1" x14ac:dyDescent="0.35">
      <c r="A235" s="23">
        <v>6</v>
      </c>
      <c r="B235" s="14" t="s">
        <v>235</v>
      </c>
      <c r="C235" s="14">
        <f>data!AZ61</f>
        <v>0</v>
      </c>
      <c r="D235" s="14">
        <f>data!BA61</f>
        <v>0</v>
      </c>
      <c r="E235" s="14">
        <f>data!BB61</f>
        <v>0</v>
      </c>
      <c r="F235" s="14">
        <f>data!BC61</f>
        <v>9998.32</v>
      </c>
      <c r="G235" s="14">
        <f>data!BD61</f>
        <v>65281.29</v>
      </c>
      <c r="H235" s="14">
        <f>data!BE61</f>
        <v>430523.72</v>
      </c>
      <c r="I235" s="14">
        <f>data!BF61</f>
        <v>345082.56</v>
      </c>
    </row>
    <row r="236" spans="1:9" ht="20.149999999999999" customHeight="1" x14ac:dyDescent="0.35">
      <c r="A236" s="23">
        <v>7</v>
      </c>
      <c r="B236" s="14" t="s">
        <v>3</v>
      </c>
      <c r="C236" s="14">
        <f>data!AZ62</f>
        <v>0</v>
      </c>
      <c r="D236" s="14">
        <f>data!BA62</f>
        <v>0</v>
      </c>
      <c r="E236" s="14">
        <f>data!BB62</f>
        <v>0</v>
      </c>
      <c r="F236" s="14">
        <f>data!BC62</f>
        <v>697</v>
      </c>
      <c r="G236" s="14">
        <f>data!BD62</f>
        <v>18002</v>
      </c>
      <c r="H236" s="14">
        <f>data!BE62</f>
        <v>103030</v>
      </c>
      <c r="I236" s="14">
        <f>data!BF62</f>
        <v>89981</v>
      </c>
    </row>
    <row r="237" spans="1:9" ht="20.149999999999999" customHeight="1" x14ac:dyDescent="0.3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457.95</v>
      </c>
      <c r="I237" s="14">
        <f>data!BF63</f>
        <v>0</v>
      </c>
    </row>
    <row r="238" spans="1:9" ht="20.149999999999999" customHeight="1" x14ac:dyDescent="0.35">
      <c r="A238" s="23">
        <v>9</v>
      </c>
      <c r="B238" s="14" t="s">
        <v>237</v>
      </c>
      <c r="C238" s="14">
        <f>data!AZ64</f>
        <v>0</v>
      </c>
      <c r="D238" s="14">
        <f>data!BA64</f>
        <v>0</v>
      </c>
      <c r="E238" s="14">
        <f>data!BB64</f>
        <v>0</v>
      </c>
      <c r="F238" s="14">
        <f>data!BC64</f>
        <v>1673.19</v>
      </c>
      <c r="G238" s="14">
        <f>data!BD64</f>
        <v>1913.19</v>
      </c>
      <c r="H238" s="14">
        <f>data!BE64</f>
        <v>33865.69</v>
      </c>
      <c r="I238" s="14">
        <f>data!BF64</f>
        <v>38983.69</v>
      </c>
    </row>
    <row r="239" spans="1:9" ht="20.149999999999999" customHeight="1" x14ac:dyDescent="0.3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212311.21</v>
      </c>
      <c r="I239" s="14">
        <f>data!BF65</f>
        <v>638.32000000000005</v>
      </c>
    </row>
    <row r="240" spans="1:9" ht="20.149999999999999" customHeight="1" x14ac:dyDescent="0.35">
      <c r="A240" s="23">
        <v>11</v>
      </c>
      <c r="B240" s="14" t="s">
        <v>445</v>
      </c>
      <c r="C240" s="14">
        <f>data!AZ66</f>
        <v>0</v>
      </c>
      <c r="D240" s="14">
        <f>data!BA66</f>
        <v>0</v>
      </c>
      <c r="E240" s="14">
        <f>data!BB66</f>
        <v>0</v>
      </c>
      <c r="F240" s="14">
        <f>data!BC66</f>
        <v>1251.71</v>
      </c>
      <c r="G240" s="14">
        <f>data!BD66</f>
        <v>0</v>
      </c>
      <c r="H240" s="14">
        <f>data!BE66</f>
        <v>70586.240000000005</v>
      </c>
      <c r="I240" s="14">
        <f>data!BF66</f>
        <v>130685.48</v>
      </c>
    </row>
    <row r="241" spans="1:9" ht="20.149999999999999" customHeight="1" x14ac:dyDescent="0.35">
      <c r="A241" s="23">
        <v>12</v>
      </c>
      <c r="B241" s="14" t="s">
        <v>6</v>
      </c>
      <c r="C241" s="14">
        <f>data!AZ67</f>
        <v>0</v>
      </c>
      <c r="D241" s="14">
        <f>data!BA67</f>
        <v>0</v>
      </c>
      <c r="E241" s="14">
        <f>data!BB67</f>
        <v>0</v>
      </c>
      <c r="F241" s="14">
        <f>data!BC67</f>
        <v>0</v>
      </c>
      <c r="G241" s="14">
        <f>data!BD67</f>
        <v>0</v>
      </c>
      <c r="H241" s="14">
        <f>data!BE67</f>
        <v>0</v>
      </c>
      <c r="I241" s="14">
        <f>data!BF67</f>
        <v>0</v>
      </c>
    </row>
    <row r="242" spans="1:9" ht="20.149999999999999" customHeight="1" x14ac:dyDescent="0.3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1950.98</v>
      </c>
      <c r="I242" s="14">
        <f>data!BF68</f>
        <v>0</v>
      </c>
    </row>
    <row r="243" spans="1:9" ht="20.149999999999999" customHeight="1" x14ac:dyDescent="0.3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0</v>
      </c>
      <c r="F243" s="14">
        <f>data!BC69</f>
        <v>0</v>
      </c>
      <c r="G243" s="14">
        <f>data!BD69</f>
        <v>0</v>
      </c>
      <c r="H243" s="14">
        <f>data!BE69</f>
        <v>58876.58</v>
      </c>
      <c r="I243" s="14">
        <f>data!BF69</f>
        <v>1215.7</v>
      </c>
    </row>
    <row r="244" spans="1:9" ht="20.149999999999999" customHeight="1" x14ac:dyDescent="0.3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49999999999999" customHeight="1" x14ac:dyDescent="0.35">
      <c r="A245" s="23">
        <v>16</v>
      </c>
      <c r="B245" s="48" t="s">
        <v>1180</v>
      </c>
      <c r="C245" s="14">
        <f>data!AZ71</f>
        <v>0</v>
      </c>
      <c r="D245" s="14">
        <f>data!BA71</f>
        <v>0</v>
      </c>
      <c r="E245" s="14">
        <f>data!BB71</f>
        <v>0</v>
      </c>
      <c r="F245" s="14">
        <f>data!BC71</f>
        <v>13620.220000000001</v>
      </c>
      <c r="G245" s="14">
        <f>data!BD71</f>
        <v>85196.48000000001</v>
      </c>
      <c r="H245" s="14">
        <f>data!BE71</f>
        <v>911602.36999999976</v>
      </c>
      <c r="I245" s="14">
        <f>data!BF71</f>
        <v>606586.75</v>
      </c>
    </row>
    <row r="246" spans="1:9" ht="20.149999999999999" customHeight="1" x14ac:dyDescent="0.3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49999999999999" customHeight="1" x14ac:dyDescent="0.3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49999999999999" customHeight="1" x14ac:dyDescent="0.3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49999999999999" customHeight="1" x14ac:dyDescent="0.3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49999999999999" customHeight="1" x14ac:dyDescent="0.3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49999999999999" customHeight="1" x14ac:dyDescent="0.3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49999999999999" customHeight="1" x14ac:dyDescent="0.35">
      <c r="A252" s="23">
        <v>22</v>
      </c>
      <c r="B252" s="14" t="s">
        <v>1186</v>
      </c>
      <c r="C252" s="85">
        <f>data!AZ76</f>
        <v>1067</v>
      </c>
      <c r="D252" s="85">
        <f>data!BA76</f>
        <v>0</v>
      </c>
      <c r="E252" s="85">
        <f>data!BB76</f>
        <v>0</v>
      </c>
      <c r="F252" s="85">
        <f>data!BC76</f>
        <v>0</v>
      </c>
      <c r="G252" s="85">
        <f>data!BD76</f>
        <v>883</v>
      </c>
      <c r="H252" s="85">
        <f>data!BE76</f>
        <v>30797</v>
      </c>
      <c r="I252" s="85">
        <f>data!BF76</f>
        <v>1332</v>
      </c>
    </row>
    <row r="253" spans="1:9" ht="20.149999999999999" customHeight="1" x14ac:dyDescent="0.3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49999999999999" customHeight="1" x14ac:dyDescent="0.3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0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49999999999999" customHeight="1" x14ac:dyDescent="0.3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49999999999999" customHeight="1" x14ac:dyDescent="0.3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49999999999999" customHeight="1" x14ac:dyDescent="0.3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49999999999999" customHeight="1" x14ac:dyDescent="0.3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49999999999999" customHeight="1" x14ac:dyDescent="0.3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49999999999999" customHeight="1" x14ac:dyDescent="0.35">
      <c r="A260" s="79" t="str">
        <f>"HOSPITAL NAME: "&amp;data!C84</f>
        <v>HOSPITAL NAME: Klickitat County Public Hospital District #1</v>
      </c>
      <c r="B260" s="77"/>
      <c r="C260" s="77"/>
      <c r="D260" s="77"/>
      <c r="E260" s="77"/>
      <c r="F260" s="77"/>
      <c r="G260" s="80"/>
      <c r="H260" s="79" t="str">
        <f>"FYE: "&amp;data!C82</f>
        <v>FYE: 12/31/2020</v>
      </c>
    </row>
    <row r="261" spans="1:9" ht="20.149999999999999" customHeight="1" x14ac:dyDescent="0.3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49999999999999" customHeight="1" x14ac:dyDescent="0.3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49999999999999" customHeight="1" x14ac:dyDescent="0.3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49999999999999" customHeight="1" x14ac:dyDescent="0.3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49999999999999" customHeight="1" x14ac:dyDescent="0.3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49999999999999" customHeight="1" x14ac:dyDescent="0.35">
      <c r="A266" s="23">
        <v>5</v>
      </c>
      <c r="B266" s="14" t="s">
        <v>234</v>
      </c>
      <c r="C266" s="26">
        <f>data!BG60</f>
        <v>0</v>
      </c>
      <c r="D266" s="26">
        <f>data!BH60</f>
        <v>5.84</v>
      </c>
      <c r="E266" s="26">
        <f>data!BI60</f>
        <v>0</v>
      </c>
      <c r="F266" s="26">
        <f>data!BJ60</f>
        <v>2.37</v>
      </c>
      <c r="G266" s="26">
        <f>data!BK60</f>
        <v>10.42</v>
      </c>
      <c r="H266" s="26">
        <f>data!BL60</f>
        <v>5.12</v>
      </c>
      <c r="I266" s="26">
        <f>data!BM60</f>
        <v>0</v>
      </c>
    </row>
    <row r="267" spans="1:9" ht="20.149999999999999" customHeight="1" x14ac:dyDescent="0.35">
      <c r="A267" s="23">
        <v>6</v>
      </c>
      <c r="B267" s="14" t="s">
        <v>235</v>
      </c>
      <c r="C267" s="14">
        <f>data!BG61</f>
        <v>0</v>
      </c>
      <c r="D267" s="14">
        <f>data!BH61</f>
        <v>424029.48</v>
      </c>
      <c r="E267" s="14">
        <f>data!BI61</f>
        <v>0</v>
      </c>
      <c r="F267" s="14">
        <f>data!BJ61</f>
        <v>243714.79</v>
      </c>
      <c r="G267" s="14">
        <f>data!BK61</f>
        <v>503106.51</v>
      </c>
      <c r="H267" s="14">
        <f>data!BL61</f>
        <v>174812.02</v>
      </c>
      <c r="I267" s="14">
        <f>data!BM61</f>
        <v>0</v>
      </c>
    </row>
    <row r="268" spans="1:9" ht="20.149999999999999" customHeight="1" x14ac:dyDescent="0.35">
      <c r="A268" s="23">
        <v>7</v>
      </c>
      <c r="B268" s="14" t="s">
        <v>3</v>
      </c>
      <c r="C268" s="14">
        <f>data!BG62</f>
        <v>0</v>
      </c>
      <c r="D268" s="14">
        <f>data!BH62</f>
        <v>100737</v>
      </c>
      <c r="E268" s="14">
        <f>data!BI62</f>
        <v>0</v>
      </c>
      <c r="F268" s="14">
        <f>data!BJ62</f>
        <v>43423</v>
      </c>
      <c r="G268" s="14">
        <f>data!BK62</f>
        <v>154125</v>
      </c>
      <c r="H268" s="14">
        <f>data!BL62</f>
        <v>57824</v>
      </c>
      <c r="I268" s="14">
        <f>data!BM62</f>
        <v>0</v>
      </c>
    </row>
    <row r="269" spans="1:9" ht="20.149999999999999" customHeight="1" x14ac:dyDescent="0.3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49999999999999" customHeight="1" x14ac:dyDescent="0.35">
      <c r="A270" s="23">
        <v>9</v>
      </c>
      <c r="B270" s="14" t="s">
        <v>237</v>
      </c>
      <c r="C270" s="14">
        <f>data!BG64</f>
        <v>0</v>
      </c>
      <c r="D270" s="14">
        <f>data!BH64</f>
        <v>24163.119999999999</v>
      </c>
      <c r="E270" s="14">
        <f>data!BI64</f>
        <v>0</v>
      </c>
      <c r="F270" s="14">
        <f>data!BJ64</f>
        <v>6244.43</v>
      </c>
      <c r="G270" s="14">
        <f>data!BK64</f>
        <v>8358.85</v>
      </c>
      <c r="H270" s="14">
        <f>data!BL64</f>
        <v>5539.24</v>
      </c>
      <c r="I270" s="14">
        <f>data!BM64</f>
        <v>0</v>
      </c>
    </row>
    <row r="271" spans="1:9" ht="20.149999999999999" customHeight="1" x14ac:dyDescent="0.35">
      <c r="A271" s="23">
        <v>10</v>
      </c>
      <c r="B271" s="14" t="s">
        <v>444</v>
      </c>
      <c r="C271" s="14">
        <f>data!BG65</f>
        <v>0</v>
      </c>
      <c r="D271" s="14">
        <f>data!BH65</f>
        <v>0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49999999999999" customHeight="1" x14ac:dyDescent="0.35">
      <c r="A272" s="23">
        <v>11</v>
      </c>
      <c r="B272" s="14" t="s">
        <v>445</v>
      </c>
      <c r="C272" s="14">
        <f>data!BG66</f>
        <v>0</v>
      </c>
      <c r="D272" s="14">
        <f>data!BH66</f>
        <v>712323.52</v>
      </c>
      <c r="E272" s="14">
        <f>data!BI66</f>
        <v>0</v>
      </c>
      <c r="F272" s="14">
        <f>data!BJ66</f>
        <v>151253.06</v>
      </c>
      <c r="G272" s="14">
        <f>data!BK66</f>
        <v>289473.18</v>
      </c>
      <c r="H272" s="14">
        <f>data!BL66</f>
        <v>447.9</v>
      </c>
      <c r="I272" s="14">
        <f>data!BM66</f>
        <v>0</v>
      </c>
    </row>
    <row r="273" spans="1:9" ht="20.149999999999999" customHeight="1" x14ac:dyDescent="0.35">
      <c r="A273" s="23">
        <v>12</v>
      </c>
      <c r="B273" s="14" t="s">
        <v>6</v>
      </c>
      <c r="C273" s="14">
        <f>data!BG67</f>
        <v>0</v>
      </c>
      <c r="D273" s="14">
        <f>data!BH67</f>
        <v>0</v>
      </c>
      <c r="E273" s="14">
        <f>data!BI67</f>
        <v>0</v>
      </c>
      <c r="F273" s="14">
        <f>data!BJ67</f>
        <v>0</v>
      </c>
      <c r="G273" s="14">
        <f>data!BK67</f>
        <v>0</v>
      </c>
      <c r="H273" s="14">
        <f>data!BL67</f>
        <v>0</v>
      </c>
      <c r="I273" s="14">
        <f>data!BM67</f>
        <v>0</v>
      </c>
    </row>
    <row r="274" spans="1:9" ht="20.149999999999999" customHeight="1" x14ac:dyDescent="0.35">
      <c r="A274" s="23">
        <v>13</v>
      </c>
      <c r="B274" s="14" t="s">
        <v>474</v>
      </c>
      <c r="C274" s="14">
        <f>data!BG68</f>
        <v>0</v>
      </c>
      <c r="D274" s="14">
        <f>data!BH68</f>
        <v>1234.1199999999999</v>
      </c>
      <c r="E274" s="14">
        <f>data!BI68</f>
        <v>0</v>
      </c>
      <c r="F274" s="14">
        <f>data!BJ68</f>
        <v>4339.3999999999996</v>
      </c>
      <c r="G274" s="14">
        <f>data!BK68</f>
        <v>3773.34</v>
      </c>
      <c r="H274" s="14">
        <f>data!BL68</f>
        <v>3772.32</v>
      </c>
      <c r="I274" s="14">
        <f>data!BM68</f>
        <v>0</v>
      </c>
    </row>
    <row r="275" spans="1:9" ht="20.149999999999999" customHeight="1" x14ac:dyDescent="0.35">
      <c r="A275" s="23">
        <v>14</v>
      </c>
      <c r="B275" s="14" t="s">
        <v>241</v>
      </c>
      <c r="C275" s="14">
        <f>data!BG69</f>
        <v>0</v>
      </c>
      <c r="D275" s="14">
        <f>data!BH69</f>
        <v>873.44</v>
      </c>
      <c r="E275" s="14">
        <f>data!BI69</f>
        <v>0</v>
      </c>
      <c r="F275" s="14">
        <f>data!BJ69</f>
        <v>202.73</v>
      </c>
      <c r="G275" s="14">
        <f>data!BK69</f>
        <v>58970.05</v>
      </c>
      <c r="H275" s="14">
        <f>data!BL69</f>
        <v>-518.15</v>
      </c>
      <c r="I275" s="14">
        <f>data!BM69</f>
        <v>0</v>
      </c>
    </row>
    <row r="276" spans="1:9" ht="20.149999999999999" customHeight="1" x14ac:dyDescent="0.3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49999999999999" customHeight="1" x14ac:dyDescent="0.35">
      <c r="A277" s="23">
        <v>16</v>
      </c>
      <c r="B277" s="48" t="s">
        <v>1180</v>
      </c>
      <c r="C277" s="14">
        <f>data!BG71</f>
        <v>0</v>
      </c>
      <c r="D277" s="14">
        <f>data!BH71</f>
        <v>1263360.6800000002</v>
      </c>
      <c r="E277" s="14">
        <f>data!BI71</f>
        <v>0</v>
      </c>
      <c r="F277" s="14">
        <f>data!BJ71</f>
        <v>449177.41000000003</v>
      </c>
      <c r="G277" s="14">
        <f>data!BK71</f>
        <v>1017806.93</v>
      </c>
      <c r="H277" s="14">
        <f>data!BL71</f>
        <v>241877.33</v>
      </c>
      <c r="I277" s="14">
        <f>data!BM71</f>
        <v>0</v>
      </c>
    </row>
    <row r="278" spans="1:9" ht="20.149999999999999" customHeight="1" x14ac:dyDescent="0.3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49999999999999" customHeight="1" x14ac:dyDescent="0.3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49999999999999" customHeight="1" x14ac:dyDescent="0.3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49999999999999" customHeight="1" x14ac:dyDescent="0.3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49999999999999" customHeight="1" x14ac:dyDescent="0.3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49999999999999" customHeight="1" x14ac:dyDescent="0.3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49999999999999" customHeight="1" x14ac:dyDescent="0.35">
      <c r="A284" s="23">
        <v>22</v>
      </c>
      <c r="B284" s="14" t="s">
        <v>1186</v>
      </c>
      <c r="C284" s="85">
        <f>data!BG76</f>
        <v>0</v>
      </c>
      <c r="D284" s="85">
        <f>data!BH76</f>
        <v>1571</v>
      </c>
      <c r="E284" s="85">
        <f>data!BI76</f>
        <v>0</v>
      </c>
      <c r="F284" s="85">
        <f>data!BJ76</f>
        <v>620</v>
      </c>
      <c r="G284" s="85">
        <f>data!BK76</f>
        <v>1721</v>
      </c>
      <c r="H284" s="85">
        <f>data!BL76</f>
        <v>410</v>
      </c>
      <c r="I284" s="85">
        <f>data!BM76</f>
        <v>0</v>
      </c>
    </row>
    <row r="285" spans="1:9" ht="20.149999999999999" customHeight="1" x14ac:dyDescent="0.3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49999999999999" customHeight="1" x14ac:dyDescent="0.3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49999999999999" customHeight="1" x14ac:dyDescent="0.3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49999999999999" customHeight="1" x14ac:dyDescent="0.3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49999999999999" customHeight="1" x14ac:dyDescent="0.3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49999999999999" customHeight="1" x14ac:dyDescent="0.3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49999999999999" customHeight="1" x14ac:dyDescent="0.3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49999999999999" customHeight="1" x14ac:dyDescent="0.35">
      <c r="A292" s="79" t="str">
        <f>"HOSPITAL NAME: "&amp;data!C84</f>
        <v>HOSPITAL NAME: Klickitat County Public Hospital District #1</v>
      </c>
      <c r="B292" s="77"/>
      <c r="C292" s="77"/>
      <c r="D292" s="77"/>
      <c r="E292" s="77"/>
      <c r="F292" s="77"/>
      <c r="G292" s="80"/>
      <c r="H292" s="79" t="str">
        <f>"FYE: "&amp;data!C82</f>
        <v>FYE: 12/31/2020</v>
      </c>
    </row>
    <row r="293" spans="1:9" ht="20.149999999999999" customHeight="1" x14ac:dyDescent="0.3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49999999999999" customHeight="1" x14ac:dyDescent="0.3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49999999999999" customHeight="1" x14ac:dyDescent="0.3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49999999999999" customHeight="1" x14ac:dyDescent="0.3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49999999999999" customHeight="1" x14ac:dyDescent="0.3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49999999999999" customHeight="1" x14ac:dyDescent="0.35">
      <c r="A298" s="23">
        <v>5</v>
      </c>
      <c r="B298" s="14" t="s">
        <v>234</v>
      </c>
      <c r="C298" s="26">
        <f>data!BN60</f>
        <v>9.77</v>
      </c>
      <c r="D298" s="26">
        <f>data!BO60</f>
        <v>0</v>
      </c>
      <c r="E298" s="26">
        <f>data!BP60</f>
        <v>0</v>
      </c>
      <c r="F298" s="26">
        <f>data!BQ60</f>
        <v>0</v>
      </c>
      <c r="G298" s="26">
        <f>data!BR60</f>
        <v>0</v>
      </c>
      <c r="H298" s="26">
        <f>data!BS60</f>
        <v>0</v>
      </c>
      <c r="I298" s="26">
        <f>data!BT60</f>
        <v>0</v>
      </c>
    </row>
    <row r="299" spans="1:9" ht="20.149999999999999" customHeight="1" x14ac:dyDescent="0.35">
      <c r="A299" s="23">
        <v>6</v>
      </c>
      <c r="B299" s="14" t="s">
        <v>235</v>
      </c>
      <c r="C299" s="14">
        <f>data!BN61</f>
        <v>814050.9</v>
      </c>
      <c r="D299" s="14">
        <f>data!BO61</f>
        <v>0</v>
      </c>
      <c r="E299" s="14">
        <f>data!BP61</f>
        <v>0</v>
      </c>
      <c r="F299" s="14">
        <f>data!BQ61</f>
        <v>0</v>
      </c>
      <c r="G299" s="14">
        <f>data!BR61</f>
        <v>0</v>
      </c>
      <c r="H299" s="14">
        <f>data!BS61</f>
        <v>0</v>
      </c>
      <c r="I299" s="14">
        <f>data!BT61</f>
        <v>0</v>
      </c>
    </row>
    <row r="300" spans="1:9" ht="20.149999999999999" customHeight="1" x14ac:dyDescent="0.35">
      <c r="A300" s="23">
        <v>7</v>
      </c>
      <c r="B300" s="14" t="s">
        <v>3</v>
      </c>
      <c r="C300" s="14">
        <f>data!BN62</f>
        <v>142560</v>
      </c>
      <c r="D300" s="14">
        <f>data!BO62</f>
        <v>0</v>
      </c>
      <c r="E300" s="14">
        <f>data!BP62</f>
        <v>0</v>
      </c>
      <c r="F300" s="14">
        <f>data!BQ62</f>
        <v>0</v>
      </c>
      <c r="G300" s="14">
        <f>data!BR62</f>
        <v>0</v>
      </c>
      <c r="H300" s="14">
        <f>data!BS62</f>
        <v>0</v>
      </c>
      <c r="I300" s="14">
        <f>data!BT62</f>
        <v>0</v>
      </c>
    </row>
    <row r="301" spans="1:9" ht="20.149999999999999" customHeight="1" x14ac:dyDescent="0.35">
      <c r="A301" s="23">
        <v>8</v>
      </c>
      <c r="B301" s="14" t="s">
        <v>236</v>
      </c>
      <c r="C301" s="14">
        <f>data!BN63</f>
        <v>184979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49999999999999" customHeight="1" x14ac:dyDescent="0.35">
      <c r="A302" s="23">
        <v>9</v>
      </c>
      <c r="B302" s="14" t="s">
        <v>237</v>
      </c>
      <c r="C302" s="14">
        <f>data!BN64</f>
        <v>409354.18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0</v>
      </c>
      <c r="H302" s="14">
        <f>data!BS64</f>
        <v>0</v>
      </c>
      <c r="I302" s="14">
        <f>data!BT64</f>
        <v>0</v>
      </c>
    </row>
    <row r="303" spans="1:9" ht="20.149999999999999" customHeight="1" x14ac:dyDescent="0.35">
      <c r="A303" s="23">
        <v>10</v>
      </c>
      <c r="B303" s="14" t="s">
        <v>444</v>
      </c>
      <c r="C303" s="14">
        <f>data!BN65</f>
        <v>0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49999999999999" customHeight="1" x14ac:dyDescent="0.35">
      <c r="A304" s="23">
        <v>11</v>
      </c>
      <c r="B304" s="14" t="s">
        <v>445</v>
      </c>
      <c r="C304" s="14">
        <f>data!BN66</f>
        <v>212795.4</v>
      </c>
      <c r="D304" s="14">
        <f>data!BO66</f>
        <v>0</v>
      </c>
      <c r="E304" s="14">
        <f>data!BP66</f>
        <v>0</v>
      </c>
      <c r="F304" s="14">
        <f>data!BQ66</f>
        <v>0</v>
      </c>
      <c r="G304" s="14">
        <f>data!BR66</f>
        <v>0</v>
      </c>
      <c r="H304" s="14">
        <f>data!BS66</f>
        <v>0</v>
      </c>
      <c r="I304" s="14">
        <f>data!BT66</f>
        <v>0</v>
      </c>
    </row>
    <row r="305" spans="1:9" ht="20.149999999999999" customHeight="1" x14ac:dyDescent="0.35">
      <c r="A305" s="23">
        <v>12</v>
      </c>
      <c r="B305" s="14" t="s">
        <v>6</v>
      </c>
      <c r="C305" s="14">
        <f>data!BN67</f>
        <v>1119833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0</v>
      </c>
      <c r="I305" s="14">
        <f>data!BT67</f>
        <v>0</v>
      </c>
    </row>
    <row r="306" spans="1:9" ht="20.149999999999999" customHeight="1" x14ac:dyDescent="0.35">
      <c r="A306" s="23">
        <v>13</v>
      </c>
      <c r="B306" s="14" t="s">
        <v>474</v>
      </c>
      <c r="C306" s="14">
        <f>data!BN68</f>
        <v>11980.57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49999999999999" customHeight="1" x14ac:dyDescent="0.35">
      <c r="A307" s="23">
        <v>14</v>
      </c>
      <c r="B307" s="14" t="s">
        <v>241</v>
      </c>
      <c r="C307" s="14">
        <f>data!BN69</f>
        <v>731680.15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0</v>
      </c>
      <c r="H307" s="14">
        <f>data!BS69</f>
        <v>0</v>
      </c>
      <c r="I307" s="14">
        <f>data!BT69</f>
        <v>0</v>
      </c>
    </row>
    <row r="308" spans="1:9" ht="20.149999999999999" customHeight="1" x14ac:dyDescent="0.3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49999999999999" customHeight="1" x14ac:dyDescent="0.35">
      <c r="A309" s="23">
        <v>16</v>
      </c>
      <c r="B309" s="48" t="s">
        <v>1180</v>
      </c>
      <c r="C309" s="14">
        <f>data!BN71</f>
        <v>3627233.1999999993</v>
      </c>
      <c r="D309" s="14">
        <f>data!BO71</f>
        <v>0</v>
      </c>
      <c r="E309" s="14">
        <f>data!BP71</f>
        <v>0</v>
      </c>
      <c r="F309" s="14">
        <f>data!BQ71</f>
        <v>0</v>
      </c>
      <c r="G309" s="14">
        <f>data!BR71</f>
        <v>0</v>
      </c>
      <c r="H309" s="14">
        <f>data!BS71</f>
        <v>0</v>
      </c>
      <c r="I309" s="14">
        <f>data!BT71</f>
        <v>0</v>
      </c>
    </row>
    <row r="310" spans="1:9" ht="20.149999999999999" customHeight="1" x14ac:dyDescent="0.3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49999999999999" customHeight="1" x14ac:dyDescent="0.3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49999999999999" customHeight="1" x14ac:dyDescent="0.3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49999999999999" customHeight="1" x14ac:dyDescent="0.3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49999999999999" customHeight="1" x14ac:dyDescent="0.3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49999999999999" customHeight="1" x14ac:dyDescent="0.3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49999999999999" customHeight="1" x14ac:dyDescent="0.35">
      <c r="A316" s="23">
        <v>22</v>
      </c>
      <c r="B316" s="14" t="s">
        <v>1186</v>
      </c>
      <c r="C316" s="85">
        <f>data!BN76</f>
        <v>6034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0</v>
      </c>
      <c r="H316" s="85">
        <f>data!BS76</f>
        <v>0</v>
      </c>
      <c r="I316" s="85">
        <f>data!BT76</f>
        <v>0</v>
      </c>
    </row>
    <row r="317" spans="1:9" ht="20.149999999999999" customHeight="1" x14ac:dyDescent="0.3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49999999999999" customHeight="1" x14ac:dyDescent="0.3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49999999999999" customHeight="1" x14ac:dyDescent="0.3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49999999999999" customHeight="1" x14ac:dyDescent="0.3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49999999999999" customHeight="1" x14ac:dyDescent="0.3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49999999999999" customHeight="1" x14ac:dyDescent="0.3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49999999999999" customHeight="1" x14ac:dyDescent="0.3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49999999999999" customHeight="1" x14ac:dyDescent="0.35">
      <c r="A324" s="79" t="str">
        <f>"HOSPITAL NAME: "&amp;data!C84</f>
        <v>HOSPITAL NAME: Klickitat County Public Hospital District #1</v>
      </c>
      <c r="B324" s="77"/>
      <c r="C324" s="77"/>
      <c r="D324" s="77"/>
      <c r="E324" s="77"/>
      <c r="F324" s="77"/>
      <c r="G324" s="80"/>
      <c r="H324" s="79" t="str">
        <f>"FYE: "&amp;data!C82</f>
        <v>FYE: 12/31/2020</v>
      </c>
    </row>
    <row r="325" spans="1:9" ht="20.149999999999999" customHeight="1" x14ac:dyDescent="0.3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49999999999999" customHeight="1" x14ac:dyDescent="0.3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49999999999999" customHeight="1" x14ac:dyDescent="0.3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49999999999999" customHeight="1" x14ac:dyDescent="0.3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49999999999999" customHeight="1" x14ac:dyDescent="0.3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49999999999999" customHeight="1" x14ac:dyDescent="0.35">
      <c r="A330" s="23">
        <v>5</v>
      </c>
      <c r="B330" s="14" t="s">
        <v>234</v>
      </c>
      <c r="C330" s="26">
        <f>data!BU60</f>
        <v>0</v>
      </c>
      <c r="D330" s="26">
        <f>data!BV60</f>
        <v>7.23</v>
      </c>
      <c r="E330" s="26">
        <f>data!BW60</f>
        <v>0</v>
      </c>
      <c r="F330" s="26">
        <f>data!BX60</f>
        <v>0</v>
      </c>
      <c r="G330" s="26">
        <f>data!BY60</f>
        <v>3.27</v>
      </c>
      <c r="H330" s="26">
        <f>data!BZ60</f>
        <v>0</v>
      </c>
      <c r="I330" s="26">
        <f>data!CA60</f>
        <v>0</v>
      </c>
    </row>
    <row r="331" spans="1:9" ht="20.149999999999999" customHeight="1" x14ac:dyDescent="0.35">
      <c r="A331" s="23">
        <v>6</v>
      </c>
      <c r="B331" s="14" t="s">
        <v>235</v>
      </c>
      <c r="C331" s="86">
        <f>data!BU61</f>
        <v>0</v>
      </c>
      <c r="D331" s="86">
        <f>data!BV61</f>
        <v>280227.64</v>
      </c>
      <c r="E331" s="86">
        <f>data!BW61</f>
        <v>0</v>
      </c>
      <c r="F331" s="86">
        <f>data!BX61</f>
        <v>0</v>
      </c>
      <c r="G331" s="86">
        <f>data!BY61</f>
        <v>233835.8</v>
      </c>
      <c r="H331" s="86">
        <f>data!BZ61</f>
        <v>0</v>
      </c>
      <c r="I331" s="86">
        <f>data!CA61</f>
        <v>0</v>
      </c>
    </row>
    <row r="332" spans="1:9" ht="20.149999999999999" customHeight="1" x14ac:dyDescent="0.35">
      <c r="A332" s="23">
        <v>7</v>
      </c>
      <c r="B332" s="14" t="s">
        <v>3</v>
      </c>
      <c r="C332" s="86">
        <f>data!BU62</f>
        <v>0</v>
      </c>
      <c r="D332" s="86">
        <f>data!BV62</f>
        <v>104767</v>
      </c>
      <c r="E332" s="86">
        <f>data!BW62</f>
        <v>0</v>
      </c>
      <c r="F332" s="86">
        <f>data!BX62</f>
        <v>0</v>
      </c>
      <c r="G332" s="86">
        <f>data!BY62</f>
        <v>60554</v>
      </c>
      <c r="H332" s="86">
        <f>data!BZ62</f>
        <v>0</v>
      </c>
      <c r="I332" s="86">
        <f>data!CA62</f>
        <v>0</v>
      </c>
    </row>
    <row r="333" spans="1:9" ht="20.149999999999999" customHeight="1" x14ac:dyDescent="0.3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49999999999999" customHeight="1" x14ac:dyDescent="0.35">
      <c r="A334" s="23">
        <v>9</v>
      </c>
      <c r="B334" s="14" t="s">
        <v>237</v>
      </c>
      <c r="C334" s="86">
        <f>data!BU64</f>
        <v>0</v>
      </c>
      <c r="D334" s="86">
        <f>data!BV64</f>
        <v>2115.7600000000002</v>
      </c>
      <c r="E334" s="86">
        <f>data!BW64</f>
        <v>0</v>
      </c>
      <c r="F334" s="86">
        <f>data!BX64</f>
        <v>0</v>
      </c>
      <c r="G334" s="86">
        <f>data!BY64</f>
        <v>268.24</v>
      </c>
      <c r="H334" s="86">
        <f>data!BZ64</f>
        <v>0</v>
      </c>
      <c r="I334" s="86">
        <f>data!CA64</f>
        <v>0</v>
      </c>
    </row>
    <row r="335" spans="1:9" ht="20.149999999999999" customHeight="1" x14ac:dyDescent="0.3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0</v>
      </c>
      <c r="H335" s="86">
        <f>data!BZ65</f>
        <v>0</v>
      </c>
      <c r="I335" s="86">
        <f>data!CA65</f>
        <v>0</v>
      </c>
    </row>
    <row r="336" spans="1:9" ht="20.149999999999999" customHeight="1" x14ac:dyDescent="0.35">
      <c r="A336" s="23">
        <v>11</v>
      </c>
      <c r="B336" s="14" t="s">
        <v>445</v>
      </c>
      <c r="C336" s="86">
        <f>data!BU66</f>
        <v>0</v>
      </c>
      <c r="D336" s="86">
        <f>data!BV66</f>
        <v>15060.21</v>
      </c>
      <c r="E336" s="86">
        <f>data!BW66</f>
        <v>0</v>
      </c>
      <c r="F336" s="86">
        <f>data!BX66</f>
        <v>0</v>
      </c>
      <c r="G336" s="86">
        <f>data!BY66</f>
        <v>0</v>
      </c>
      <c r="H336" s="86">
        <f>data!BZ66</f>
        <v>0</v>
      </c>
      <c r="I336" s="86">
        <f>data!CA66</f>
        <v>0</v>
      </c>
    </row>
    <row r="337" spans="1:9" ht="20.149999999999999" customHeight="1" x14ac:dyDescent="0.35">
      <c r="A337" s="23">
        <v>12</v>
      </c>
      <c r="B337" s="14" t="s">
        <v>6</v>
      </c>
      <c r="C337" s="86">
        <f>data!BU67</f>
        <v>0</v>
      </c>
      <c r="D337" s="86">
        <f>data!BV67</f>
        <v>0</v>
      </c>
      <c r="E337" s="86">
        <f>data!BW67</f>
        <v>0</v>
      </c>
      <c r="F337" s="86">
        <f>data!BX67</f>
        <v>0</v>
      </c>
      <c r="G337" s="86">
        <f>data!BY67</f>
        <v>0</v>
      </c>
      <c r="H337" s="86">
        <f>data!BZ67</f>
        <v>0</v>
      </c>
      <c r="I337" s="86">
        <f>data!CA67</f>
        <v>0</v>
      </c>
    </row>
    <row r="338" spans="1:9" ht="20.149999999999999" customHeight="1" x14ac:dyDescent="0.35">
      <c r="A338" s="23">
        <v>13</v>
      </c>
      <c r="B338" s="14" t="s">
        <v>474</v>
      </c>
      <c r="C338" s="86">
        <f>data!BU68</f>
        <v>0</v>
      </c>
      <c r="D338" s="86">
        <f>data!BV68</f>
        <v>4259.6000000000004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49999999999999" customHeight="1" x14ac:dyDescent="0.35">
      <c r="A339" s="23">
        <v>14</v>
      </c>
      <c r="B339" s="14" t="s">
        <v>241</v>
      </c>
      <c r="C339" s="86">
        <f>data!BU69</f>
        <v>0</v>
      </c>
      <c r="D339" s="86">
        <f>data!BV69</f>
        <v>662.88</v>
      </c>
      <c r="E339" s="86">
        <f>data!BW69</f>
        <v>0</v>
      </c>
      <c r="F339" s="86">
        <f>data!BX69</f>
        <v>0</v>
      </c>
      <c r="G339" s="86">
        <f>data!BY69</f>
        <v>0</v>
      </c>
      <c r="H339" s="86">
        <f>data!BZ69</f>
        <v>0</v>
      </c>
      <c r="I339" s="86">
        <f>data!CA69</f>
        <v>0</v>
      </c>
    </row>
    <row r="340" spans="1:9" ht="20.149999999999999" customHeight="1" x14ac:dyDescent="0.3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49999999999999" customHeight="1" x14ac:dyDescent="0.35">
      <c r="A341" s="23">
        <v>16</v>
      </c>
      <c r="B341" s="48" t="s">
        <v>1180</v>
      </c>
      <c r="C341" s="14">
        <f>data!BU71</f>
        <v>0</v>
      </c>
      <c r="D341" s="14">
        <f>data!BV71</f>
        <v>407093.09</v>
      </c>
      <c r="E341" s="14">
        <f>data!BW71</f>
        <v>0</v>
      </c>
      <c r="F341" s="14">
        <f>data!BX71</f>
        <v>0</v>
      </c>
      <c r="G341" s="14">
        <f>data!BY71</f>
        <v>294658.03999999998</v>
      </c>
      <c r="H341" s="14">
        <f>data!BZ71</f>
        <v>0</v>
      </c>
      <c r="I341" s="14">
        <f>data!CA71</f>
        <v>0</v>
      </c>
    </row>
    <row r="342" spans="1:9" ht="20.149999999999999" customHeight="1" x14ac:dyDescent="0.3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49999999999999" customHeight="1" x14ac:dyDescent="0.3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49999999999999" customHeight="1" x14ac:dyDescent="0.3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49999999999999" customHeight="1" x14ac:dyDescent="0.3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49999999999999" customHeight="1" x14ac:dyDescent="0.3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49999999999999" customHeight="1" x14ac:dyDescent="0.3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49999999999999" customHeight="1" x14ac:dyDescent="0.35">
      <c r="A348" s="23">
        <v>22</v>
      </c>
      <c r="B348" s="14" t="s">
        <v>1186</v>
      </c>
      <c r="C348" s="85">
        <f>data!BU76</f>
        <v>0</v>
      </c>
      <c r="D348" s="85">
        <f>data!BV76</f>
        <v>1522</v>
      </c>
      <c r="E348" s="85">
        <f>data!BW76</f>
        <v>0</v>
      </c>
      <c r="F348" s="85">
        <f>data!BX76</f>
        <v>0</v>
      </c>
      <c r="G348" s="85">
        <f>data!BY76</f>
        <v>112</v>
      </c>
      <c r="H348" s="85">
        <f>data!BZ76</f>
        <v>0</v>
      </c>
      <c r="I348" s="85">
        <f>data!CA76</f>
        <v>0</v>
      </c>
    </row>
    <row r="349" spans="1:9" ht="20.149999999999999" customHeight="1" x14ac:dyDescent="0.3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49999999999999" customHeight="1" x14ac:dyDescent="0.35">
      <c r="A350" s="23">
        <v>24</v>
      </c>
      <c r="B350" s="14" t="s">
        <v>1188</v>
      </c>
      <c r="C350" s="85">
        <f>data!BU78</f>
        <v>0</v>
      </c>
      <c r="D350" s="85">
        <f>data!BV78</f>
        <v>0</v>
      </c>
      <c r="E350" s="85">
        <f>data!BW78</f>
        <v>0</v>
      </c>
      <c r="F350" s="85">
        <f>data!BX78</f>
        <v>0</v>
      </c>
      <c r="G350" s="85">
        <f>data!BY78</f>
        <v>0</v>
      </c>
      <c r="H350" s="85">
        <f>data!BZ78</f>
        <v>0</v>
      </c>
      <c r="I350" s="85">
        <f>data!CA78</f>
        <v>0</v>
      </c>
    </row>
    <row r="351" spans="1:9" ht="20.149999999999999" customHeight="1" x14ac:dyDescent="0.3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49999999999999" customHeight="1" x14ac:dyDescent="0.3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49999999999999" customHeight="1" x14ac:dyDescent="0.3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49999999999999" customHeight="1" x14ac:dyDescent="0.3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49999999999999" customHeight="1" x14ac:dyDescent="0.3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49999999999999" customHeight="1" x14ac:dyDescent="0.35">
      <c r="A356" s="79" t="str">
        <f>"HOSPITAL NAME: "&amp;data!C84</f>
        <v>HOSPITAL NAME: Klickitat County Public Hospital District #1</v>
      </c>
      <c r="B356" s="77"/>
      <c r="C356" s="77"/>
      <c r="D356" s="77"/>
      <c r="E356" s="77"/>
      <c r="F356" s="77"/>
      <c r="G356" s="80"/>
      <c r="H356" s="79" t="str">
        <f>"FYE: "&amp;data!C82</f>
        <v>FYE: 12/31/2020</v>
      </c>
    </row>
    <row r="357" spans="1:9" ht="20.149999999999999" customHeight="1" x14ac:dyDescent="0.3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49999999999999" customHeight="1" x14ac:dyDescent="0.3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49999999999999" customHeight="1" x14ac:dyDescent="0.3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49999999999999" customHeight="1" x14ac:dyDescent="0.3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49999999999999" customHeight="1" x14ac:dyDescent="0.3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49999999999999" customHeight="1" x14ac:dyDescent="0.35">
      <c r="A362" s="23">
        <v>5</v>
      </c>
      <c r="B362" s="14" t="s">
        <v>234</v>
      </c>
      <c r="C362" s="26">
        <f>data!CB60</f>
        <v>0</v>
      </c>
      <c r="D362" s="26">
        <f>data!CC60</f>
        <v>0.98</v>
      </c>
      <c r="E362" s="217"/>
      <c r="F362" s="211"/>
      <c r="G362" s="211"/>
      <c r="H362" s="211"/>
      <c r="I362" s="87">
        <f>data!CE60</f>
        <v>195.48000000000002</v>
      </c>
    </row>
    <row r="363" spans="1:9" ht="20.149999999999999" customHeight="1" x14ac:dyDescent="0.35">
      <c r="A363" s="23">
        <v>6</v>
      </c>
      <c r="B363" s="14" t="s">
        <v>235</v>
      </c>
      <c r="C363" s="86">
        <f>data!CB61</f>
        <v>0</v>
      </c>
      <c r="D363" s="86">
        <f>data!CC61</f>
        <v>41248.36</v>
      </c>
      <c r="E363" s="218"/>
      <c r="F363" s="219"/>
      <c r="G363" s="219"/>
      <c r="H363" s="219"/>
      <c r="I363" s="86">
        <f>data!CE61</f>
        <v>14293531.710000003</v>
      </c>
    </row>
    <row r="364" spans="1:9" ht="20.149999999999999" customHeight="1" x14ac:dyDescent="0.35">
      <c r="A364" s="23">
        <v>7</v>
      </c>
      <c r="B364" s="14" t="s">
        <v>3</v>
      </c>
      <c r="C364" s="86">
        <f>data!CB62</f>
        <v>0</v>
      </c>
      <c r="D364" s="86">
        <f>data!CC62</f>
        <v>4335</v>
      </c>
      <c r="E364" s="218"/>
      <c r="F364" s="219"/>
      <c r="G364" s="219"/>
      <c r="H364" s="219"/>
      <c r="I364" s="86">
        <f>data!CE62</f>
        <v>3021740</v>
      </c>
    </row>
    <row r="365" spans="1:9" ht="20.149999999999999" customHeight="1" x14ac:dyDescent="0.3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8"/>
      <c r="F365" s="219"/>
      <c r="G365" s="219"/>
      <c r="H365" s="219"/>
      <c r="I365" s="86">
        <f>data!CE63</f>
        <v>2990765.48</v>
      </c>
    </row>
    <row r="366" spans="1:9" ht="20.149999999999999" customHeight="1" x14ac:dyDescent="0.35">
      <c r="A366" s="23">
        <v>9</v>
      </c>
      <c r="B366" s="14" t="s">
        <v>237</v>
      </c>
      <c r="C366" s="86">
        <f>data!CB64</f>
        <v>0</v>
      </c>
      <c r="D366" s="86">
        <f>data!CC64</f>
        <v>-160.28</v>
      </c>
      <c r="E366" s="218"/>
      <c r="F366" s="219"/>
      <c r="G366" s="219"/>
      <c r="H366" s="219"/>
      <c r="I366" s="86">
        <f>data!CE64</f>
        <v>2631970.0000000009</v>
      </c>
    </row>
    <row r="367" spans="1:9" ht="20.149999999999999" customHeight="1" x14ac:dyDescent="0.3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8"/>
      <c r="F367" s="219"/>
      <c r="G367" s="219"/>
      <c r="H367" s="219"/>
      <c r="I367" s="86">
        <f>data!CE65</f>
        <v>267414.14</v>
      </c>
    </row>
    <row r="368" spans="1:9" ht="20.149999999999999" customHeight="1" x14ac:dyDescent="0.35">
      <c r="A368" s="23">
        <v>11</v>
      </c>
      <c r="B368" s="14" t="s">
        <v>445</v>
      </c>
      <c r="C368" s="86">
        <f>data!CB66</f>
        <v>0</v>
      </c>
      <c r="D368" s="86">
        <f>data!CC66</f>
        <v>0</v>
      </c>
      <c r="E368" s="218"/>
      <c r="F368" s="219"/>
      <c r="G368" s="219"/>
      <c r="H368" s="219"/>
      <c r="I368" s="86">
        <f>data!CE66</f>
        <v>2693618.1399999997</v>
      </c>
    </row>
    <row r="369" spans="1:9" ht="20.149999999999999" customHeight="1" x14ac:dyDescent="0.35">
      <c r="A369" s="23">
        <v>12</v>
      </c>
      <c r="B369" s="14" t="s">
        <v>6</v>
      </c>
      <c r="C369" s="86">
        <f>data!CB67</f>
        <v>0</v>
      </c>
      <c r="D369" s="86">
        <f>data!CC67</f>
        <v>0</v>
      </c>
      <c r="E369" s="218"/>
      <c r="F369" s="219"/>
      <c r="G369" s="219"/>
      <c r="H369" s="219"/>
      <c r="I369" s="86">
        <f>data!CE67</f>
        <v>1288740</v>
      </c>
    </row>
    <row r="370" spans="1:9" ht="20.149999999999999" customHeight="1" x14ac:dyDescent="0.35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8"/>
      <c r="F370" s="219"/>
      <c r="G370" s="219"/>
      <c r="H370" s="219"/>
      <c r="I370" s="86">
        <f>data!CE68</f>
        <v>416376.77</v>
      </c>
    </row>
    <row r="371" spans="1:9" ht="20.149999999999999" customHeight="1" x14ac:dyDescent="0.35">
      <c r="A371" s="23">
        <v>14</v>
      </c>
      <c r="B371" s="14" t="s">
        <v>241</v>
      </c>
      <c r="C371" s="86">
        <f>data!CB69</f>
        <v>0</v>
      </c>
      <c r="D371" s="86">
        <f>data!CC69</f>
        <v>0</v>
      </c>
      <c r="E371" s="86">
        <f>data!CD69</f>
        <v>0</v>
      </c>
      <c r="F371" s="219"/>
      <c r="G371" s="219"/>
      <c r="H371" s="219"/>
      <c r="I371" s="86">
        <f>data!CE69</f>
        <v>1174738.3999999999</v>
      </c>
    </row>
    <row r="372" spans="1:9" ht="20.149999999999999" customHeight="1" x14ac:dyDescent="0.3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9">
        <f>data!CD70</f>
        <v>0</v>
      </c>
      <c r="F372" s="220"/>
      <c r="G372" s="220"/>
      <c r="H372" s="220"/>
      <c r="I372" s="14">
        <f>-data!CE70</f>
        <v>0</v>
      </c>
    </row>
    <row r="373" spans="1:9" ht="20.149999999999999" customHeight="1" x14ac:dyDescent="0.35">
      <c r="A373" s="23">
        <v>16</v>
      </c>
      <c r="B373" s="48" t="s">
        <v>1180</v>
      </c>
      <c r="C373" s="86">
        <f>data!CB71</f>
        <v>0</v>
      </c>
      <c r="D373" s="86">
        <f>data!CC71</f>
        <v>45423.08</v>
      </c>
      <c r="E373" s="86">
        <f>data!CD71</f>
        <v>0</v>
      </c>
      <c r="F373" s="219"/>
      <c r="G373" s="219"/>
      <c r="H373" s="219"/>
      <c r="I373" s="14">
        <f>data!CE71</f>
        <v>28778894.640000001</v>
      </c>
    </row>
    <row r="374" spans="1:9" ht="20.149999999999999" customHeight="1" x14ac:dyDescent="0.3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49999999999999" customHeight="1" x14ac:dyDescent="0.3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49999999999999" customHeight="1" x14ac:dyDescent="0.3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3422586.93</v>
      </c>
    </row>
    <row r="377" spans="1:9" ht="20.149999999999999" customHeight="1" x14ac:dyDescent="0.3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43297033.289999999</v>
      </c>
    </row>
    <row r="378" spans="1:9" ht="20.149999999999999" customHeight="1" x14ac:dyDescent="0.3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46719620.219999999</v>
      </c>
    </row>
    <row r="379" spans="1:9" ht="20.149999999999999" customHeight="1" x14ac:dyDescent="0.3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49999999999999" customHeight="1" x14ac:dyDescent="0.35">
      <c r="A380" s="23">
        <v>22</v>
      </c>
      <c r="B380" s="14" t="s">
        <v>1186</v>
      </c>
      <c r="C380" s="85">
        <f>data!CB76</f>
        <v>0</v>
      </c>
      <c r="D380" s="85">
        <f>data!CC76</f>
        <v>276</v>
      </c>
      <c r="E380" s="214"/>
      <c r="F380" s="211"/>
      <c r="G380" s="211"/>
      <c r="H380" s="211"/>
      <c r="I380" s="14">
        <f>data!CE76</f>
        <v>85625</v>
      </c>
    </row>
    <row r="381" spans="1:9" ht="20.149999999999999" customHeight="1" x14ac:dyDescent="0.3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4581</v>
      </c>
    </row>
    <row r="382" spans="1:9" ht="20.149999999999999" customHeight="1" x14ac:dyDescent="0.3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0</v>
      </c>
    </row>
    <row r="383" spans="1:9" ht="20.149999999999999" customHeight="1" x14ac:dyDescent="0.3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0</v>
      </c>
    </row>
    <row r="384" spans="1:9" ht="20.149999999999999" customHeight="1" x14ac:dyDescent="0.3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20.69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syncVertical="1" syncRef="A481" transitionEvaluation="1" transitionEntry="1" codeName="Sheet10">
    <pageSetUpPr autoPageBreaks="0" fitToPage="1"/>
  </sheetPr>
  <dimension ref="A1:CF816"/>
  <sheetViews>
    <sheetView showGridLines="0" topLeftCell="A481" zoomScale="75" workbookViewId="0">
      <selection activeCell="C86" sqref="C86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1.3125" style="180" customWidth="1"/>
    <col min="5" max="16384" width="11.75" style="180"/>
  </cols>
  <sheetData>
    <row r="1" spans="1:6" ht="12.75" customHeight="1" x14ac:dyDescent="0.35">
      <c r="A1" s="233" t="s">
        <v>1231</v>
      </c>
      <c r="B1" s="234"/>
      <c r="C1" s="234"/>
      <c r="D1" s="234"/>
      <c r="E1" s="234"/>
      <c r="F1" s="234"/>
    </row>
    <row r="2" spans="1:6" ht="12.75" customHeight="1" x14ac:dyDescent="0.35">
      <c r="A2" s="234" t="s">
        <v>1232</v>
      </c>
      <c r="B2" s="234"/>
      <c r="C2" s="235"/>
      <c r="D2" s="234"/>
      <c r="E2" s="234"/>
      <c r="F2" s="234"/>
    </row>
    <row r="3" spans="1:6" ht="12.75" customHeight="1" x14ac:dyDescent="0.35">
      <c r="A3" s="199"/>
      <c r="C3" s="236"/>
    </row>
    <row r="4" spans="1:6" ht="12.75" customHeight="1" x14ac:dyDescent="0.35">
      <c r="C4" s="236"/>
    </row>
    <row r="5" spans="1:6" ht="12.75" customHeight="1" x14ac:dyDescent="0.35">
      <c r="A5" s="199" t="s">
        <v>1258</v>
      </c>
      <c r="C5" s="236"/>
    </row>
    <row r="6" spans="1:6" ht="12.75" customHeight="1" x14ac:dyDescent="0.35">
      <c r="A6" s="199" t="s">
        <v>0</v>
      </c>
      <c r="C6" s="236"/>
    </row>
    <row r="7" spans="1:6" ht="12.75" customHeight="1" x14ac:dyDescent="0.35">
      <c r="A7" s="199" t="s">
        <v>1</v>
      </c>
      <c r="C7" s="236"/>
    </row>
    <row r="8" spans="1:6" ht="12.75" customHeight="1" x14ac:dyDescent="0.35">
      <c r="C8" s="236"/>
    </row>
    <row r="9" spans="1:6" ht="12.75" customHeight="1" x14ac:dyDescent="0.35">
      <c r="C9" s="236"/>
    </row>
    <row r="10" spans="1:6" ht="12.75" customHeight="1" x14ac:dyDescent="0.35">
      <c r="A10" s="198" t="s">
        <v>1228</v>
      </c>
      <c r="C10" s="236"/>
    </row>
    <row r="11" spans="1:6" ht="12.75" customHeight="1" x14ac:dyDescent="0.35">
      <c r="A11" s="198" t="s">
        <v>1230</v>
      </c>
      <c r="C11" s="236"/>
    </row>
    <row r="12" spans="1:6" ht="12.75" customHeight="1" x14ac:dyDescent="0.35">
      <c r="C12" s="236"/>
    </row>
    <row r="13" spans="1:6" ht="12.75" customHeight="1" x14ac:dyDescent="0.35">
      <c r="C13" s="236"/>
    </row>
    <row r="14" spans="1:6" ht="12.75" customHeight="1" x14ac:dyDescent="0.35">
      <c r="A14" s="199" t="s">
        <v>2</v>
      </c>
      <c r="C14" s="236"/>
    </row>
    <row r="15" spans="1:6" ht="12.75" customHeight="1" x14ac:dyDescent="0.35">
      <c r="A15" s="199"/>
      <c r="C15" s="236"/>
    </row>
    <row r="16" spans="1:6" ht="12.75" customHeight="1" x14ac:dyDescent="0.35">
      <c r="A16" s="294" t="s">
        <v>1265</v>
      </c>
      <c r="C16" s="236"/>
    </row>
    <row r="17" spans="1:7" ht="12.75" customHeight="1" x14ac:dyDescent="0.35">
      <c r="A17" s="294" t="s">
        <v>1264</v>
      </c>
      <c r="C17" s="289"/>
      <c r="F17" s="237"/>
    </row>
    <row r="18" spans="1:7" ht="12.75" customHeight="1" x14ac:dyDescent="0.35">
      <c r="A18" s="292"/>
      <c r="C18" s="236"/>
    </row>
    <row r="19" spans="1:7" ht="12.75" customHeight="1" x14ac:dyDescent="0.35">
      <c r="C19" s="236"/>
    </row>
    <row r="20" spans="1:7" ht="12.75" customHeight="1" x14ac:dyDescent="0.35">
      <c r="A20" s="274" t="s">
        <v>1233</v>
      </c>
      <c r="B20" s="274"/>
      <c r="C20" s="290"/>
      <c r="D20" s="274"/>
      <c r="E20" s="274"/>
      <c r="F20" s="274"/>
      <c r="G20" s="274"/>
    </row>
    <row r="21" spans="1:7" ht="22.5" customHeight="1" x14ac:dyDescent="0.35">
      <c r="A21" s="199"/>
      <c r="C21" s="236"/>
    </row>
    <row r="22" spans="1:7" ht="12.65" customHeight="1" x14ac:dyDescent="0.35">
      <c r="A22" s="274" t="s">
        <v>1253</v>
      </c>
      <c r="B22" s="293"/>
      <c r="C22" s="290"/>
      <c r="D22" s="274"/>
      <c r="E22" s="274"/>
      <c r="F22" s="274"/>
    </row>
    <row r="23" spans="1:7" ht="12.65" customHeight="1" x14ac:dyDescent="0.35">
      <c r="B23" s="199"/>
      <c r="C23" s="236"/>
    </row>
    <row r="24" spans="1:7" ht="12.65" customHeight="1" x14ac:dyDescent="0.35">
      <c r="A24" s="241" t="s">
        <v>3</v>
      </c>
      <c r="C24" s="236"/>
    </row>
    <row r="25" spans="1:7" ht="12.65" customHeight="1" x14ac:dyDescent="0.35">
      <c r="A25" s="198" t="s">
        <v>1234</v>
      </c>
      <c r="C25" s="236"/>
    </row>
    <row r="26" spans="1:7" ht="12.65" customHeight="1" x14ac:dyDescent="0.35">
      <c r="A26" s="199" t="s">
        <v>4</v>
      </c>
      <c r="C26" s="236"/>
    </row>
    <row r="27" spans="1:7" ht="12.65" customHeight="1" x14ac:dyDescent="0.35">
      <c r="A27" s="198" t="s">
        <v>1235</v>
      </c>
      <c r="C27" s="236"/>
    </row>
    <row r="28" spans="1:7" ht="12.65" customHeight="1" x14ac:dyDescent="0.35">
      <c r="A28" s="199" t="s">
        <v>5</v>
      </c>
      <c r="C28" s="236"/>
    </row>
    <row r="29" spans="1:7" ht="12.65" customHeight="1" x14ac:dyDescent="0.35">
      <c r="A29" s="198"/>
      <c r="C29" s="236"/>
    </row>
    <row r="30" spans="1:7" ht="12.65" customHeight="1" x14ac:dyDescent="0.35">
      <c r="A30" s="180" t="s">
        <v>6</v>
      </c>
      <c r="C30" s="236"/>
    </row>
    <row r="31" spans="1:7" ht="12.65" customHeight="1" x14ac:dyDescent="0.35">
      <c r="A31" s="199" t="s">
        <v>7</v>
      </c>
      <c r="C31" s="236"/>
    </row>
    <row r="32" spans="1:7" ht="12.65" customHeight="1" x14ac:dyDescent="0.35">
      <c r="A32" s="199" t="s">
        <v>8</v>
      </c>
      <c r="C32" s="236"/>
    </row>
    <row r="33" spans="1:84" ht="12.65" customHeight="1" x14ac:dyDescent="0.35">
      <c r="A33" s="198" t="s">
        <v>1236</v>
      </c>
      <c r="C33" s="236"/>
    </row>
    <row r="34" spans="1:84" ht="12.65" customHeight="1" x14ac:dyDescent="0.35">
      <c r="A34" s="199" t="s">
        <v>9</v>
      </c>
      <c r="C34" s="236"/>
    </row>
    <row r="35" spans="1:84" ht="12.65" customHeight="1" x14ac:dyDescent="0.35">
      <c r="A35" s="199"/>
      <c r="C35" s="236"/>
    </row>
    <row r="36" spans="1:84" ht="12.65" customHeight="1" x14ac:dyDescent="0.35">
      <c r="A36" s="198" t="s">
        <v>1237</v>
      </c>
      <c r="C36" s="236"/>
    </row>
    <row r="37" spans="1:84" ht="12.65" customHeight="1" x14ac:dyDescent="0.35">
      <c r="A37" s="199" t="s">
        <v>1229</v>
      </c>
      <c r="C37" s="236"/>
    </row>
    <row r="38" spans="1:84" ht="12" customHeight="1" x14ac:dyDescent="0.35">
      <c r="A38" s="198"/>
      <c r="C38" s="236"/>
    </row>
    <row r="39" spans="1:84" ht="12.65" customHeight="1" x14ac:dyDescent="0.35">
      <c r="A39" s="199"/>
      <c r="C39" s="236"/>
    </row>
    <row r="40" spans="1:84" ht="12" customHeight="1" x14ac:dyDescent="0.35">
      <c r="A40" s="199"/>
      <c r="C40" s="236"/>
    </row>
    <row r="41" spans="1:84" ht="12" customHeight="1" x14ac:dyDescent="0.35">
      <c r="A41" s="199"/>
      <c r="C41" s="242"/>
      <c r="D41" s="243"/>
      <c r="E41" s="242"/>
      <c r="F41" s="242"/>
      <c r="G41" s="242"/>
      <c r="H41" s="242"/>
      <c r="I41" s="242"/>
      <c r="J41" s="242"/>
      <c r="K41" s="242"/>
      <c r="L41" s="242"/>
      <c r="M41" s="242"/>
      <c r="N41" s="242"/>
      <c r="O41" s="242"/>
      <c r="P41" s="242"/>
      <c r="Q41" s="242"/>
      <c r="R41" s="242"/>
      <c r="S41" s="242"/>
      <c r="T41" s="242"/>
      <c r="U41" s="242"/>
      <c r="V41" s="242"/>
      <c r="W41" s="242"/>
      <c r="X41" s="242"/>
      <c r="Y41" s="242"/>
      <c r="Z41" s="242"/>
      <c r="AA41" s="242"/>
      <c r="AB41" s="242"/>
      <c r="AC41" s="242"/>
      <c r="AD41" s="242"/>
      <c r="AE41" s="242"/>
      <c r="AF41" s="242"/>
      <c r="AG41" s="242"/>
      <c r="AH41" s="242"/>
      <c r="AI41" s="242"/>
      <c r="AJ41" s="242"/>
      <c r="AK41" s="242"/>
      <c r="AL41" s="242"/>
      <c r="AM41" s="242"/>
      <c r="AN41" s="242"/>
      <c r="AO41" s="242"/>
      <c r="AP41" s="242"/>
      <c r="AQ41" s="242"/>
      <c r="AR41" s="242"/>
      <c r="AS41" s="242"/>
      <c r="AT41" s="242"/>
      <c r="AU41" s="242"/>
      <c r="AV41" s="242"/>
      <c r="AW41" s="242"/>
      <c r="AX41" s="242"/>
      <c r="AY41" s="242"/>
      <c r="AZ41" s="242"/>
      <c r="BA41" s="242"/>
      <c r="BB41" s="242"/>
      <c r="BC41" s="242"/>
      <c r="BD41" s="242"/>
      <c r="BE41" s="242"/>
      <c r="BF41" s="242"/>
      <c r="BG41" s="242"/>
      <c r="BH41" s="242"/>
      <c r="BI41" s="242"/>
      <c r="BJ41" s="242"/>
      <c r="BK41" s="242"/>
      <c r="BL41" s="242"/>
      <c r="BM41" s="242"/>
      <c r="BN41" s="242"/>
      <c r="BO41" s="242"/>
      <c r="BP41" s="242"/>
      <c r="BQ41" s="242"/>
      <c r="BR41" s="242"/>
      <c r="BS41" s="242"/>
      <c r="BT41" s="242"/>
      <c r="BU41" s="242"/>
      <c r="BV41" s="242"/>
      <c r="BW41" s="242"/>
      <c r="BX41" s="242"/>
      <c r="BY41" s="242"/>
      <c r="BZ41" s="242"/>
      <c r="CA41" s="242"/>
      <c r="CB41" s="242"/>
      <c r="CC41" s="242"/>
    </row>
    <row r="42" spans="1:84" ht="12" customHeight="1" x14ac:dyDescent="0.35">
      <c r="A42" s="199"/>
      <c r="C42" s="242"/>
      <c r="D42" s="243"/>
      <c r="E42" s="242"/>
      <c r="F42" s="242"/>
      <c r="G42" s="242"/>
      <c r="H42" s="242"/>
      <c r="I42" s="242"/>
      <c r="J42" s="242"/>
      <c r="K42" s="242"/>
      <c r="L42" s="242"/>
      <c r="M42" s="242"/>
      <c r="N42" s="242"/>
      <c r="O42" s="242"/>
      <c r="P42" s="242"/>
      <c r="Q42" s="242"/>
      <c r="R42" s="242"/>
      <c r="S42" s="242"/>
      <c r="T42" s="242"/>
      <c r="U42" s="242"/>
      <c r="V42" s="242"/>
      <c r="W42" s="242"/>
      <c r="X42" s="242"/>
      <c r="Y42" s="242"/>
      <c r="Z42" s="242"/>
      <c r="AA42" s="242"/>
      <c r="AB42" s="242"/>
      <c r="AC42" s="242"/>
      <c r="AD42" s="242"/>
      <c r="AE42" s="242"/>
      <c r="AF42" s="242"/>
      <c r="AG42" s="242"/>
      <c r="AH42" s="242"/>
      <c r="AI42" s="242"/>
      <c r="AJ42" s="242"/>
      <c r="AK42" s="242"/>
      <c r="AL42" s="242"/>
      <c r="AM42" s="242"/>
      <c r="AN42" s="242"/>
      <c r="AO42" s="242"/>
      <c r="AP42" s="242"/>
      <c r="AQ42" s="242"/>
      <c r="AR42" s="242"/>
      <c r="AS42" s="242"/>
      <c r="AT42" s="242"/>
      <c r="AU42" s="242"/>
      <c r="AV42" s="242"/>
      <c r="AW42" s="242"/>
      <c r="AX42" s="242"/>
      <c r="AY42" s="242"/>
      <c r="AZ42" s="242"/>
      <c r="BA42" s="242"/>
      <c r="BB42" s="242"/>
      <c r="BC42" s="242"/>
      <c r="BD42" s="242"/>
      <c r="BE42" s="242"/>
      <c r="BF42" s="242"/>
      <c r="BG42" s="242"/>
      <c r="BH42" s="242"/>
      <c r="BI42" s="242"/>
      <c r="BJ42" s="242"/>
      <c r="BK42" s="242"/>
      <c r="BL42" s="242"/>
      <c r="BM42" s="242"/>
      <c r="BN42" s="242"/>
      <c r="BO42" s="242"/>
      <c r="BP42" s="242"/>
      <c r="BQ42" s="242"/>
      <c r="BR42" s="242"/>
      <c r="BS42" s="242"/>
      <c r="BT42" s="242"/>
      <c r="BU42" s="242"/>
      <c r="BV42" s="242"/>
      <c r="BW42" s="242"/>
      <c r="BX42" s="242"/>
      <c r="BY42" s="242"/>
      <c r="BZ42" s="242"/>
      <c r="CA42" s="242"/>
      <c r="CB42" s="242"/>
      <c r="CC42" s="242"/>
      <c r="CD42" s="244"/>
    </row>
    <row r="43" spans="1:84" ht="12" customHeight="1" x14ac:dyDescent="0.35">
      <c r="A43" s="199"/>
      <c r="C43" s="236"/>
      <c r="F43" s="181"/>
    </row>
    <row r="44" spans="1:84" ht="12" customHeight="1" x14ac:dyDescent="0.35">
      <c r="A44" s="297"/>
      <c r="B44" s="297"/>
      <c r="C44" s="298" t="s">
        <v>10</v>
      </c>
      <c r="D44" s="299" t="s">
        <v>11</v>
      </c>
      <c r="E44" s="299" t="s">
        <v>12</v>
      </c>
      <c r="F44" s="299" t="s">
        <v>13</v>
      </c>
      <c r="G44" s="299" t="s">
        <v>14</v>
      </c>
      <c r="H44" s="299" t="s">
        <v>15</v>
      </c>
      <c r="I44" s="299" t="s">
        <v>16</v>
      </c>
      <c r="J44" s="299" t="s">
        <v>17</v>
      </c>
      <c r="K44" s="299" t="s">
        <v>18</v>
      </c>
      <c r="L44" s="299" t="s">
        <v>19</v>
      </c>
      <c r="M44" s="299" t="s">
        <v>20</v>
      </c>
      <c r="N44" s="299" t="s">
        <v>21</v>
      </c>
      <c r="O44" s="299" t="s">
        <v>22</v>
      </c>
      <c r="P44" s="299" t="s">
        <v>23</v>
      </c>
      <c r="Q44" s="299" t="s">
        <v>24</v>
      </c>
      <c r="R44" s="299" t="s">
        <v>25</v>
      </c>
      <c r="S44" s="299" t="s">
        <v>26</v>
      </c>
      <c r="T44" s="299" t="s">
        <v>27</v>
      </c>
      <c r="U44" s="299" t="s">
        <v>28</v>
      </c>
      <c r="V44" s="299" t="s">
        <v>29</v>
      </c>
      <c r="W44" s="299" t="s">
        <v>30</v>
      </c>
      <c r="X44" s="299" t="s">
        <v>31</v>
      </c>
      <c r="Y44" s="299" t="s">
        <v>32</v>
      </c>
      <c r="Z44" s="299" t="s">
        <v>33</v>
      </c>
      <c r="AA44" s="299" t="s">
        <v>34</v>
      </c>
      <c r="AB44" s="299" t="s">
        <v>35</v>
      </c>
      <c r="AC44" s="299" t="s">
        <v>36</v>
      </c>
      <c r="AD44" s="299" t="s">
        <v>37</v>
      </c>
      <c r="AE44" s="299" t="s">
        <v>38</v>
      </c>
      <c r="AF44" s="299" t="s">
        <v>39</v>
      </c>
      <c r="AG44" s="299" t="s">
        <v>40</v>
      </c>
      <c r="AH44" s="299" t="s">
        <v>41</v>
      </c>
      <c r="AI44" s="299" t="s">
        <v>42</v>
      </c>
      <c r="AJ44" s="299" t="s">
        <v>43</v>
      </c>
      <c r="AK44" s="299" t="s">
        <v>44</v>
      </c>
      <c r="AL44" s="299" t="s">
        <v>45</v>
      </c>
      <c r="AM44" s="299" t="s">
        <v>46</v>
      </c>
      <c r="AN44" s="299" t="s">
        <v>47</v>
      </c>
      <c r="AO44" s="299" t="s">
        <v>48</v>
      </c>
      <c r="AP44" s="299" t="s">
        <v>49</v>
      </c>
      <c r="AQ44" s="299" t="s">
        <v>50</v>
      </c>
      <c r="AR44" s="299" t="s">
        <v>51</v>
      </c>
      <c r="AS44" s="299" t="s">
        <v>52</v>
      </c>
      <c r="AT44" s="299" t="s">
        <v>53</v>
      </c>
      <c r="AU44" s="299" t="s">
        <v>54</v>
      </c>
      <c r="AV44" s="299" t="s">
        <v>55</v>
      </c>
      <c r="AW44" s="299" t="s">
        <v>56</v>
      </c>
      <c r="AX44" s="299" t="s">
        <v>57</v>
      </c>
      <c r="AY44" s="299" t="s">
        <v>58</v>
      </c>
      <c r="AZ44" s="299" t="s">
        <v>59</v>
      </c>
      <c r="BA44" s="299" t="s">
        <v>60</v>
      </c>
      <c r="BB44" s="299" t="s">
        <v>61</v>
      </c>
      <c r="BC44" s="299" t="s">
        <v>62</v>
      </c>
      <c r="BD44" s="299" t="s">
        <v>63</v>
      </c>
      <c r="BE44" s="299" t="s">
        <v>64</v>
      </c>
      <c r="BF44" s="299" t="s">
        <v>65</v>
      </c>
      <c r="BG44" s="299" t="s">
        <v>66</v>
      </c>
      <c r="BH44" s="299" t="s">
        <v>67</v>
      </c>
      <c r="BI44" s="299" t="s">
        <v>68</v>
      </c>
      <c r="BJ44" s="299" t="s">
        <v>69</v>
      </c>
      <c r="BK44" s="299" t="s">
        <v>70</v>
      </c>
      <c r="BL44" s="299" t="s">
        <v>71</v>
      </c>
      <c r="BM44" s="299" t="s">
        <v>72</v>
      </c>
      <c r="BN44" s="299" t="s">
        <v>73</v>
      </c>
      <c r="BO44" s="299" t="s">
        <v>74</v>
      </c>
      <c r="BP44" s="299" t="s">
        <v>75</v>
      </c>
      <c r="BQ44" s="299" t="s">
        <v>76</v>
      </c>
      <c r="BR44" s="299" t="s">
        <v>77</v>
      </c>
      <c r="BS44" s="299" t="s">
        <v>78</v>
      </c>
      <c r="BT44" s="299" t="s">
        <v>79</v>
      </c>
      <c r="BU44" s="299" t="s">
        <v>80</v>
      </c>
      <c r="BV44" s="299" t="s">
        <v>81</v>
      </c>
      <c r="BW44" s="299" t="s">
        <v>82</v>
      </c>
      <c r="BX44" s="299" t="s">
        <v>83</v>
      </c>
      <c r="BY44" s="299" t="s">
        <v>84</v>
      </c>
      <c r="BZ44" s="299" t="s">
        <v>85</v>
      </c>
      <c r="CA44" s="299" t="s">
        <v>86</v>
      </c>
      <c r="CB44" s="299" t="s">
        <v>87</v>
      </c>
      <c r="CC44" s="299" t="s">
        <v>88</v>
      </c>
      <c r="CD44" s="299" t="s">
        <v>89</v>
      </c>
      <c r="CE44" s="299" t="s">
        <v>90</v>
      </c>
      <c r="CF44" s="2"/>
    </row>
    <row r="45" spans="1:84" ht="12" customHeight="1" x14ac:dyDescent="0.35">
      <c r="A45" s="297"/>
      <c r="B45" s="300" t="s">
        <v>91</v>
      </c>
      <c r="C45" s="298" t="s">
        <v>92</v>
      </c>
      <c r="D45" s="299" t="s">
        <v>93</v>
      </c>
      <c r="E45" s="299" t="s">
        <v>94</v>
      </c>
      <c r="F45" s="299" t="s">
        <v>95</v>
      </c>
      <c r="G45" s="299" t="s">
        <v>96</v>
      </c>
      <c r="H45" s="299" t="s">
        <v>97</v>
      </c>
      <c r="I45" s="299" t="s">
        <v>98</v>
      </c>
      <c r="J45" s="299" t="s">
        <v>99</v>
      </c>
      <c r="K45" s="299" t="s">
        <v>100</v>
      </c>
      <c r="L45" s="299" t="s">
        <v>101</v>
      </c>
      <c r="M45" s="299" t="s">
        <v>102</v>
      </c>
      <c r="N45" s="299" t="s">
        <v>103</v>
      </c>
      <c r="O45" s="299" t="s">
        <v>104</v>
      </c>
      <c r="P45" s="299" t="s">
        <v>105</v>
      </c>
      <c r="Q45" s="299" t="s">
        <v>106</v>
      </c>
      <c r="R45" s="299" t="s">
        <v>107</v>
      </c>
      <c r="S45" s="299" t="s">
        <v>108</v>
      </c>
      <c r="T45" s="299" t="s">
        <v>1194</v>
      </c>
      <c r="U45" s="299" t="s">
        <v>109</v>
      </c>
      <c r="V45" s="299" t="s">
        <v>110</v>
      </c>
      <c r="W45" s="299" t="s">
        <v>111</v>
      </c>
      <c r="X45" s="299" t="s">
        <v>112</v>
      </c>
      <c r="Y45" s="299" t="s">
        <v>113</v>
      </c>
      <c r="Z45" s="299" t="s">
        <v>113</v>
      </c>
      <c r="AA45" s="299" t="s">
        <v>114</v>
      </c>
      <c r="AB45" s="299" t="s">
        <v>115</v>
      </c>
      <c r="AC45" s="299" t="s">
        <v>116</v>
      </c>
      <c r="AD45" s="299" t="s">
        <v>117</v>
      </c>
      <c r="AE45" s="299" t="s">
        <v>96</v>
      </c>
      <c r="AF45" s="299" t="s">
        <v>97</v>
      </c>
      <c r="AG45" s="299" t="s">
        <v>118</v>
      </c>
      <c r="AH45" s="299" t="s">
        <v>119</v>
      </c>
      <c r="AI45" s="299" t="s">
        <v>120</v>
      </c>
      <c r="AJ45" s="299" t="s">
        <v>121</v>
      </c>
      <c r="AK45" s="299" t="s">
        <v>122</v>
      </c>
      <c r="AL45" s="299" t="s">
        <v>123</v>
      </c>
      <c r="AM45" s="299" t="s">
        <v>124</v>
      </c>
      <c r="AN45" s="299" t="s">
        <v>110</v>
      </c>
      <c r="AO45" s="299" t="s">
        <v>125</v>
      </c>
      <c r="AP45" s="299" t="s">
        <v>126</v>
      </c>
      <c r="AQ45" s="299" t="s">
        <v>127</v>
      </c>
      <c r="AR45" s="299" t="s">
        <v>128</v>
      </c>
      <c r="AS45" s="299" t="s">
        <v>129</v>
      </c>
      <c r="AT45" s="299" t="s">
        <v>130</v>
      </c>
      <c r="AU45" s="299" t="s">
        <v>131</v>
      </c>
      <c r="AV45" s="299" t="s">
        <v>132</v>
      </c>
      <c r="AW45" s="299" t="s">
        <v>133</v>
      </c>
      <c r="AX45" s="299" t="s">
        <v>134</v>
      </c>
      <c r="AY45" s="299" t="s">
        <v>135</v>
      </c>
      <c r="AZ45" s="299" t="s">
        <v>136</v>
      </c>
      <c r="BA45" s="299" t="s">
        <v>137</v>
      </c>
      <c r="BB45" s="299" t="s">
        <v>138</v>
      </c>
      <c r="BC45" s="299" t="s">
        <v>108</v>
      </c>
      <c r="BD45" s="299" t="s">
        <v>139</v>
      </c>
      <c r="BE45" s="299" t="s">
        <v>140</v>
      </c>
      <c r="BF45" s="299" t="s">
        <v>141</v>
      </c>
      <c r="BG45" s="299" t="s">
        <v>142</v>
      </c>
      <c r="BH45" s="299" t="s">
        <v>143</v>
      </c>
      <c r="BI45" s="299" t="s">
        <v>144</v>
      </c>
      <c r="BJ45" s="299" t="s">
        <v>145</v>
      </c>
      <c r="BK45" s="299" t="s">
        <v>146</v>
      </c>
      <c r="BL45" s="299" t="s">
        <v>147</v>
      </c>
      <c r="BM45" s="299" t="s">
        <v>132</v>
      </c>
      <c r="BN45" s="299" t="s">
        <v>148</v>
      </c>
      <c r="BO45" s="299" t="s">
        <v>149</v>
      </c>
      <c r="BP45" s="299" t="s">
        <v>150</v>
      </c>
      <c r="BQ45" s="299" t="s">
        <v>151</v>
      </c>
      <c r="BR45" s="299" t="s">
        <v>152</v>
      </c>
      <c r="BS45" s="299" t="s">
        <v>153</v>
      </c>
      <c r="BT45" s="299" t="s">
        <v>154</v>
      </c>
      <c r="BU45" s="299" t="s">
        <v>155</v>
      </c>
      <c r="BV45" s="299" t="s">
        <v>155</v>
      </c>
      <c r="BW45" s="299" t="s">
        <v>155</v>
      </c>
      <c r="BX45" s="299" t="s">
        <v>156</v>
      </c>
      <c r="BY45" s="299" t="s">
        <v>157</v>
      </c>
      <c r="BZ45" s="299" t="s">
        <v>158</v>
      </c>
      <c r="CA45" s="299" t="s">
        <v>159</v>
      </c>
      <c r="CB45" s="299" t="s">
        <v>160</v>
      </c>
      <c r="CC45" s="299" t="s">
        <v>132</v>
      </c>
      <c r="CD45" s="299"/>
      <c r="CE45" s="299" t="s">
        <v>161</v>
      </c>
      <c r="CF45" s="2"/>
    </row>
    <row r="46" spans="1:84" ht="12.65" customHeight="1" x14ac:dyDescent="0.35">
      <c r="A46" s="297" t="s">
        <v>3</v>
      </c>
      <c r="B46" s="299" t="s">
        <v>162</v>
      </c>
      <c r="C46" s="298" t="s">
        <v>163</v>
      </c>
      <c r="D46" s="299" t="s">
        <v>163</v>
      </c>
      <c r="E46" s="299" t="s">
        <v>163</v>
      </c>
      <c r="F46" s="299" t="s">
        <v>164</v>
      </c>
      <c r="G46" s="299" t="s">
        <v>165</v>
      </c>
      <c r="H46" s="299" t="s">
        <v>163</v>
      </c>
      <c r="I46" s="299" t="s">
        <v>166</v>
      </c>
      <c r="J46" s="299"/>
      <c r="K46" s="299" t="s">
        <v>157</v>
      </c>
      <c r="L46" s="299" t="s">
        <v>167</v>
      </c>
      <c r="M46" s="299" t="s">
        <v>168</v>
      </c>
      <c r="N46" s="299" t="s">
        <v>169</v>
      </c>
      <c r="O46" s="299" t="s">
        <v>170</v>
      </c>
      <c r="P46" s="299" t="s">
        <v>169</v>
      </c>
      <c r="Q46" s="299" t="s">
        <v>171</v>
      </c>
      <c r="R46" s="299"/>
      <c r="S46" s="299" t="s">
        <v>169</v>
      </c>
      <c r="T46" s="299" t="s">
        <v>172</v>
      </c>
      <c r="U46" s="299"/>
      <c r="V46" s="299" t="s">
        <v>173</v>
      </c>
      <c r="W46" s="299" t="s">
        <v>174</v>
      </c>
      <c r="X46" s="299" t="s">
        <v>175</v>
      </c>
      <c r="Y46" s="299" t="s">
        <v>176</v>
      </c>
      <c r="Z46" s="299" t="s">
        <v>177</v>
      </c>
      <c r="AA46" s="299" t="s">
        <v>178</v>
      </c>
      <c r="AB46" s="299"/>
      <c r="AC46" s="299" t="s">
        <v>172</v>
      </c>
      <c r="AD46" s="299"/>
      <c r="AE46" s="299" t="s">
        <v>172</v>
      </c>
      <c r="AF46" s="299" t="s">
        <v>179</v>
      </c>
      <c r="AG46" s="299" t="s">
        <v>171</v>
      </c>
      <c r="AH46" s="299"/>
      <c r="AI46" s="299" t="s">
        <v>180</v>
      </c>
      <c r="AJ46" s="299"/>
      <c r="AK46" s="299" t="s">
        <v>172</v>
      </c>
      <c r="AL46" s="299" t="s">
        <v>172</v>
      </c>
      <c r="AM46" s="299" t="s">
        <v>172</v>
      </c>
      <c r="AN46" s="299" t="s">
        <v>181</v>
      </c>
      <c r="AO46" s="299" t="s">
        <v>182</v>
      </c>
      <c r="AP46" s="299" t="s">
        <v>121</v>
      </c>
      <c r="AQ46" s="299" t="s">
        <v>183</v>
      </c>
      <c r="AR46" s="299" t="s">
        <v>169</v>
      </c>
      <c r="AS46" s="299"/>
      <c r="AT46" s="299" t="s">
        <v>184</v>
      </c>
      <c r="AU46" s="299" t="s">
        <v>185</v>
      </c>
      <c r="AV46" s="299" t="s">
        <v>186</v>
      </c>
      <c r="AW46" s="299" t="s">
        <v>187</v>
      </c>
      <c r="AX46" s="299" t="s">
        <v>188</v>
      </c>
      <c r="AY46" s="299"/>
      <c r="AZ46" s="299"/>
      <c r="BA46" s="299" t="s">
        <v>189</v>
      </c>
      <c r="BB46" s="299" t="s">
        <v>169</v>
      </c>
      <c r="BC46" s="299" t="s">
        <v>183</v>
      </c>
      <c r="BD46" s="299"/>
      <c r="BE46" s="299"/>
      <c r="BF46" s="299"/>
      <c r="BG46" s="299"/>
      <c r="BH46" s="299" t="s">
        <v>190</v>
      </c>
      <c r="BI46" s="299" t="s">
        <v>169</v>
      </c>
      <c r="BJ46" s="299"/>
      <c r="BK46" s="299" t="s">
        <v>191</v>
      </c>
      <c r="BL46" s="299"/>
      <c r="BM46" s="299" t="s">
        <v>192</v>
      </c>
      <c r="BN46" s="299" t="s">
        <v>193</v>
      </c>
      <c r="BO46" s="299" t="s">
        <v>194</v>
      </c>
      <c r="BP46" s="299" t="s">
        <v>195</v>
      </c>
      <c r="BQ46" s="299" t="s">
        <v>196</v>
      </c>
      <c r="BR46" s="299"/>
      <c r="BS46" s="299" t="s">
        <v>197</v>
      </c>
      <c r="BT46" s="299" t="s">
        <v>169</v>
      </c>
      <c r="BU46" s="299" t="s">
        <v>198</v>
      </c>
      <c r="BV46" s="299" t="s">
        <v>199</v>
      </c>
      <c r="BW46" s="299" t="s">
        <v>200</v>
      </c>
      <c r="BX46" s="299" t="s">
        <v>151</v>
      </c>
      <c r="BY46" s="299" t="s">
        <v>193</v>
      </c>
      <c r="BZ46" s="299" t="s">
        <v>152</v>
      </c>
      <c r="CA46" s="299" t="s">
        <v>201</v>
      </c>
      <c r="CB46" s="299" t="s">
        <v>201</v>
      </c>
      <c r="CC46" s="299" t="s">
        <v>202</v>
      </c>
      <c r="CD46" s="299"/>
      <c r="CE46" s="299" t="s">
        <v>203</v>
      </c>
      <c r="CF46" s="2"/>
    </row>
    <row r="47" spans="1:84" ht="12.65" customHeight="1" x14ac:dyDescent="0.35">
      <c r="A47" s="297" t="s">
        <v>204</v>
      </c>
      <c r="B47" s="301"/>
      <c r="C47" s="302"/>
      <c r="D47" s="302"/>
      <c r="E47" s="302">
        <v>349553.65</v>
      </c>
      <c r="F47" s="302"/>
      <c r="G47" s="302"/>
      <c r="H47" s="302"/>
      <c r="I47" s="302"/>
      <c r="J47" s="302"/>
      <c r="K47" s="302"/>
      <c r="L47" s="302"/>
      <c r="M47" s="302">
        <v>37248.61</v>
      </c>
      <c r="N47" s="302">
        <v>47837.440000000002</v>
      </c>
      <c r="O47" s="302"/>
      <c r="P47" s="302">
        <v>111142.51</v>
      </c>
      <c r="Q47" s="302"/>
      <c r="R47" s="302">
        <v>35370.1</v>
      </c>
      <c r="S47" s="302"/>
      <c r="T47" s="302"/>
      <c r="U47" s="302">
        <v>112035.36</v>
      </c>
      <c r="V47" s="302"/>
      <c r="W47" s="302"/>
      <c r="X47" s="302">
        <v>1298.46</v>
      </c>
      <c r="Y47" s="302">
        <v>143126.46</v>
      </c>
      <c r="Z47" s="302"/>
      <c r="AA47" s="302"/>
      <c r="AB47" s="302">
        <v>37721.629999999997</v>
      </c>
      <c r="AC47" s="302">
        <v>10267.06</v>
      </c>
      <c r="AD47" s="302"/>
      <c r="AE47" s="302">
        <v>143598.48000000001</v>
      </c>
      <c r="AF47" s="302"/>
      <c r="AG47" s="302">
        <v>230467.86</v>
      </c>
      <c r="AH47" s="302"/>
      <c r="AI47" s="302"/>
      <c r="AJ47" s="302">
        <v>665378.87</v>
      </c>
      <c r="AK47" s="302"/>
      <c r="AL47" s="302"/>
      <c r="AM47" s="302"/>
      <c r="AN47" s="302"/>
      <c r="AO47" s="302"/>
      <c r="AP47" s="302"/>
      <c r="AQ47" s="302"/>
      <c r="AR47" s="302">
        <v>50538.28</v>
      </c>
      <c r="AS47" s="302"/>
      <c r="AT47" s="302"/>
      <c r="AU47" s="302"/>
      <c r="AV47" s="302"/>
      <c r="AW47" s="302">
        <v>21598.53</v>
      </c>
      <c r="AX47" s="302"/>
      <c r="AY47" s="302">
        <v>92173.38</v>
      </c>
      <c r="AZ47" s="302"/>
      <c r="BA47" s="302"/>
      <c r="BB47" s="302"/>
      <c r="BC47" s="302">
        <v>1014.36</v>
      </c>
      <c r="BD47" s="302">
        <v>18383.91</v>
      </c>
      <c r="BE47" s="302">
        <v>111811.51</v>
      </c>
      <c r="BF47" s="302">
        <v>82251.8</v>
      </c>
      <c r="BG47" s="302"/>
      <c r="BH47" s="302">
        <v>97946.82</v>
      </c>
      <c r="BI47" s="302"/>
      <c r="BJ47" s="302">
        <v>29413.27</v>
      </c>
      <c r="BK47" s="302">
        <v>126114.08</v>
      </c>
      <c r="BL47" s="302">
        <v>53680.19</v>
      </c>
      <c r="BM47" s="302"/>
      <c r="BN47" s="302">
        <f>389749.66+28720.78+5271.58</f>
        <v>423742.01999999996</v>
      </c>
      <c r="BO47" s="302"/>
      <c r="BP47" s="302"/>
      <c r="BQ47" s="302"/>
      <c r="BR47" s="302"/>
      <c r="BS47" s="302"/>
      <c r="BT47" s="302"/>
      <c r="BU47" s="302"/>
      <c r="BV47" s="302">
        <v>115028.42</v>
      </c>
      <c r="BW47" s="302"/>
      <c r="BX47" s="302"/>
      <c r="BY47" s="302">
        <v>70686.83</v>
      </c>
      <c r="BZ47" s="302"/>
      <c r="CA47" s="302"/>
      <c r="CB47" s="302"/>
      <c r="CC47" s="302">
        <v>6292.55</v>
      </c>
      <c r="CD47" s="297"/>
      <c r="CE47" s="297">
        <f>SUM(C47:CC47)</f>
        <v>3225722.439999999</v>
      </c>
      <c r="CF47" s="2"/>
    </row>
    <row r="48" spans="1:84" ht="12.65" customHeight="1" x14ac:dyDescent="0.35">
      <c r="A48" s="297" t="s">
        <v>205</v>
      </c>
      <c r="B48" s="301"/>
      <c r="C48" s="303">
        <f>ROUND(((B48/CE61)*C61),0)</f>
        <v>0</v>
      </c>
      <c r="D48" s="303">
        <f>ROUND(((B48/CE61)*D61),0)</f>
        <v>0</v>
      </c>
      <c r="E48" s="297">
        <f>ROUND(((B48/CE61)*E61),0)</f>
        <v>0</v>
      </c>
      <c r="F48" s="297">
        <f>ROUND(((B48/CE61)*F61),0)</f>
        <v>0</v>
      </c>
      <c r="G48" s="297">
        <f>ROUND(((B48/CE61)*G61),0)</f>
        <v>0</v>
      </c>
      <c r="H48" s="297">
        <f>ROUND(((B48/CE61)*H61),0)</f>
        <v>0</v>
      </c>
      <c r="I48" s="297">
        <f>ROUND(((B48/CE61)*I61),0)</f>
        <v>0</v>
      </c>
      <c r="J48" s="297">
        <f>ROUND(((B48/CE61)*J61),0)</f>
        <v>0</v>
      </c>
      <c r="K48" s="297">
        <f>ROUND(((B48/CE61)*K61),0)</f>
        <v>0</v>
      </c>
      <c r="L48" s="297">
        <f>ROUND(((B48/CE61)*L61),0)</f>
        <v>0</v>
      </c>
      <c r="M48" s="297">
        <f>ROUND(((B48/CE61)*M61),0)</f>
        <v>0</v>
      </c>
      <c r="N48" s="297">
        <f>ROUND(((B48/CE61)*N61),0)</f>
        <v>0</v>
      </c>
      <c r="O48" s="297">
        <f>ROUND(((B48/CE61)*O61),0)</f>
        <v>0</v>
      </c>
      <c r="P48" s="297">
        <f>ROUND(((B48/CE61)*P61),0)</f>
        <v>0</v>
      </c>
      <c r="Q48" s="297">
        <f>ROUND(((B48/CE61)*Q61),0)</f>
        <v>0</v>
      </c>
      <c r="R48" s="297">
        <f>ROUND(((B48/CE61)*R61),0)</f>
        <v>0</v>
      </c>
      <c r="S48" s="297">
        <f>ROUND(((B48/CE61)*S61),0)</f>
        <v>0</v>
      </c>
      <c r="T48" s="297">
        <f>ROUND(((B48/CE61)*T61),0)</f>
        <v>0</v>
      </c>
      <c r="U48" s="297">
        <f>ROUND(((B48/CE61)*U61),0)</f>
        <v>0</v>
      </c>
      <c r="V48" s="297">
        <f>ROUND(((B48/CE61)*V61),0)</f>
        <v>0</v>
      </c>
      <c r="W48" s="297">
        <f>ROUND(((B48/CE61)*W61),0)</f>
        <v>0</v>
      </c>
      <c r="X48" s="297">
        <f>ROUND(((B48/CE61)*X61),0)</f>
        <v>0</v>
      </c>
      <c r="Y48" s="297">
        <f>ROUND(((B48/CE61)*Y61),0)</f>
        <v>0</v>
      </c>
      <c r="Z48" s="297">
        <f>ROUND(((B48/CE61)*Z61),0)</f>
        <v>0</v>
      </c>
      <c r="AA48" s="297">
        <f>ROUND(((B48/CE61)*AA61),0)</f>
        <v>0</v>
      </c>
      <c r="AB48" s="297">
        <f>ROUND(((B48/CE61)*AB61),0)</f>
        <v>0</v>
      </c>
      <c r="AC48" s="297">
        <f>ROUND(((B48/CE61)*AC61),0)</f>
        <v>0</v>
      </c>
      <c r="AD48" s="297">
        <f>ROUND(((B48/CE61)*AD61),0)</f>
        <v>0</v>
      </c>
      <c r="AE48" s="297">
        <f>ROUND(((B48/CE61)*AE61),0)</f>
        <v>0</v>
      </c>
      <c r="AF48" s="297">
        <f>ROUND(((B48/CE61)*AF61),0)</f>
        <v>0</v>
      </c>
      <c r="AG48" s="297">
        <f>ROUND(((B48/CE61)*AG61),0)</f>
        <v>0</v>
      </c>
      <c r="AH48" s="297">
        <f>ROUND(((B48/CE61)*AH61),0)</f>
        <v>0</v>
      </c>
      <c r="AI48" s="297">
        <f>ROUND(((B48/CE61)*AI61),0)</f>
        <v>0</v>
      </c>
      <c r="AJ48" s="297">
        <f>ROUND(((B48/CE61)*AJ61),0)</f>
        <v>0</v>
      </c>
      <c r="AK48" s="297">
        <f>ROUND(((B48/CE61)*AK61),0)</f>
        <v>0</v>
      </c>
      <c r="AL48" s="297">
        <f>ROUND(((B48/CE61)*AL61),0)</f>
        <v>0</v>
      </c>
      <c r="AM48" s="297">
        <f>ROUND(((B48/CE61)*AM61),0)</f>
        <v>0</v>
      </c>
      <c r="AN48" s="297">
        <f>ROUND(((B48/CE61)*AN61),0)</f>
        <v>0</v>
      </c>
      <c r="AO48" s="297">
        <f>ROUND(((B48/CE61)*AO61),0)</f>
        <v>0</v>
      </c>
      <c r="AP48" s="297">
        <f>ROUND(((B48/CE61)*AP61),0)</f>
        <v>0</v>
      </c>
      <c r="AQ48" s="297">
        <f>ROUND(((B48/CE61)*AQ61),0)</f>
        <v>0</v>
      </c>
      <c r="AR48" s="297">
        <f>ROUND(((B48/CE61)*AR61),0)</f>
        <v>0</v>
      </c>
      <c r="AS48" s="297">
        <f>ROUND(((B48/CE61)*AS61),0)</f>
        <v>0</v>
      </c>
      <c r="AT48" s="297">
        <f>ROUND(((B48/CE61)*AT61),0)</f>
        <v>0</v>
      </c>
      <c r="AU48" s="297">
        <f>ROUND(((B48/CE61)*AU61),0)</f>
        <v>0</v>
      </c>
      <c r="AV48" s="297">
        <f>ROUND(((B48/CE61)*AV61),0)</f>
        <v>0</v>
      </c>
      <c r="AW48" s="297">
        <f>ROUND(((B48/CE61)*AW61),0)</f>
        <v>0</v>
      </c>
      <c r="AX48" s="297">
        <f>ROUND(((B48/CE61)*AX61),0)</f>
        <v>0</v>
      </c>
      <c r="AY48" s="297">
        <f>ROUND(((B48/CE61)*AY61),0)</f>
        <v>0</v>
      </c>
      <c r="AZ48" s="297">
        <f>ROUND(((B48/CE61)*AZ61),0)</f>
        <v>0</v>
      </c>
      <c r="BA48" s="297">
        <f>ROUND(((B48/CE61)*BA61),0)</f>
        <v>0</v>
      </c>
      <c r="BB48" s="297">
        <f>ROUND(((B48/CE61)*BB61),0)</f>
        <v>0</v>
      </c>
      <c r="BC48" s="297">
        <f>ROUND(((B48/CE61)*BC61),0)</f>
        <v>0</v>
      </c>
      <c r="BD48" s="297">
        <f>ROUND(((B48/CE61)*BD61),0)</f>
        <v>0</v>
      </c>
      <c r="BE48" s="297">
        <f>ROUND(((B48/CE61)*BE61),0)</f>
        <v>0</v>
      </c>
      <c r="BF48" s="297">
        <f>ROUND(((B48/CE61)*BF61),0)</f>
        <v>0</v>
      </c>
      <c r="BG48" s="297">
        <f>ROUND(((B48/CE61)*BG61),0)</f>
        <v>0</v>
      </c>
      <c r="BH48" s="297">
        <f>ROUND(((B48/CE61)*BH61),0)</f>
        <v>0</v>
      </c>
      <c r="BI48" s="297">
        <f>ROUND(((B48/CE61)*BI61),0)</f>
        <v>0</v>
      </c>
      <c r="BJ48" s="297">
        <f>ROUND(((B48/CE61)*BJ61),0)</f>
        <v>0</v>
      </c>
      <c r="BK48" s="297">
        <f>ROUND(((B48/CE61)*BK61),0)</f>
        <v>0</v>
      </c>
      <c r="BL48" s="297">
        <f>ROUND(((B48/CE61)*BL61),0)</f>
        <v>0</v>
      </c>
      <c r="BM48" s="297">
        <f>ROUND(((B48/CE61)*BM61),0)</f>
        <v>0</v>
      </c>
      <c r="BN48" s="297">
        <f>ROUND(((B48/CE61)*BN61),0)</f>
        <v>0</v>
      </c>
      <c r="BO48" s="297">
        <f>ROUND(((B48/CE61)*BO61),0)</f>
        <v>0</v>
      </c>
      <c r="BP48" s="297">
        <f>ROUND(((B48/CE61)*BP61),0)</f>
        <v>0</v>
      </c>
      <c r="BQ48" s="297">
        <f>ROUND(((B48/CE61)*BQ61),0)</f>
        <v>0</v>
      </c>
      <c r="BR48" s="297">
        <f>ROUND(((B48/CE61)*BR61),0)</f>
        <v>0</v>
      </c>
      <c r="BS48" s="297">
        <f>ROUND(((B48/CE61)*BS61),0)</f>
        <v>0</v>
      </c>
      <c r="BT48" s="297">
        <f>ROUND(((B48/CE61)*BT61),0)</f>
        <v>0</v>
      </c>
      <c r="BU48" s="297">
        <f>ROUND(((B48/CE61)*BU61),0)</f>
        <v>0</v>
      </c>
      <c r="BV48" s="297">
        <f>ROUND(((B48/CE61)*BV61),0)</f>
        <v>0</v>
      </c>
      <c r="BW48" s="297">
        <f>ROUND(((B48/CE61)*BW61),0)</f>
        <v>0</v>
      </c>
      <c r="BX48" s="297">
        <f>ROUND(((B48/CE61)*BX61),0)</f>
        <v>0</v>
      </c>
      <c r="BY48" s="297">
        <f>ROUND(((B48/CE61)*BY61),0)</f>
        <v>0</v>
      </c>
      <c r="BZ48" s="297">
        <f>ROUND(((B48/CE61)*BZ61),0)</f>
        <v>0</v>
      </c>
      <c r="CA48" s="297">
        <f>ROUND(((B48/CE61)*CA61),0)</f>
        <v>0</v>
      </c>
      <c r="CB48" s="297">
        <f>ROUND(((B48/CE61)*CB61),0)</f>
        <v>0</v>
      </c>
      <c r="CC48" s="297">
        <f>ROUND(((B48/CE61)*CC61),0)</f>
        <v>0</v>
      </c>
      <c r="CD48" s="297"/>
      <c r="CE48" s="297">
        <f>SUM(C48:CD48)</f>
        <v>0</v>
      </c>
      <c r="CF48" s="2"/>
    </row>
    <row r="49" spans="1:84" ht="12.65" customHeight="1" x14ac:dyDescent="0.35">
      <c r="A49" s="297" t="s">
        <v>206</v>
      </c>
      <c r="B49" s="297">
        <f>B47+B48</f>
        <v>0</v>
      </c>
      <c r="C49" s="297"/>
      <c r="D49" s="297"/>
      <c r="E49" s="297"/>
      <c r="F49" s="297"/>
      <c r="G49" s="297"/>
      <c r="H49" s="297"/>
      <c r="I49" s="297"/>
      <c r="J49" s="297"/>
      <c r="K49" s="297"/>
      <c r="L49" s="297"/>
      <c r="M49" s="297"/>
      <c r="N49" s="297"/>
      <c r="O49" s="297"/>
      <c r="P49" s="297"/>
      <c r="Q49" s="297"/>
      <c r="R49" s="297"/>
      <c r="S49" s="297"/>
      <c r="T49" s="297"/>
      <c r="U49" s="297"/>
      <c r="V49" s="297"/>
      <c r="W49" s="297"/>
      <c r="X49" s="297"/>
      <c r="Y49" s="297"/>
      <c r="Z49" s="297"/>
      <c r="AA49" s="297"/>
      <c r="AB49" s="297"/>
      <c r="AC49" s="297"/>
      <c r="AD49" s="297"/>
      <c r="AE49" s="297"/>
      <c r="AF49" s="297"/>
      <c r="AG49" s="297"/>
      <c r="AH49" s="297"/>
      <c r="AI49" s="297"/>
      <c r="AJ49" s="297"/>
      <c r="AK49" s="297"/>
      <c r="AL49" s="297"/>
      <c r="AM49" s="297"/>
      <c r="AN49" s="297"/>
      <c r="AO49" s="297"/>
      <c r="AP49" s="297"/>
      <c r="AQ49" s="297"/>
      <c r="AR49" s="297"/>
      <c r="AS49" s="297"/>
      <c r="AT49" s="297"/>
      <c r="AU49" s="297"/>
      <c r="AV49" s="297"/>
      <c r="AW49" s="297"/>
      <c r="AX49" s="297"/>
      <c r="AY49" s="297"/>
      <c r="AZ49" s="297"/>
      <c r="BA49" s="297"/>
      <c r="BB49" s="297"/>
      <c r="BC49" s="297"/>
      <c r="BD49" s="297"/>
      <c r="BE49" s="297"/>
      <c r="BF49" s="297"/>
      <c r="BG49" s="297"/>
      <c r="BH49" s="297"/>
      <c r="BI49" s="297"/>
      <c r="BJ49" s="297"/>
      <c r="BK49" s="297"/>
      <c r="BL49" s="297"/>
      <c r="BM49" s="297"/>
      <c r="BN49" s="297"/>
      <c r="BO49" s="297"/>
      <c r="BP49" s="297"/>
      <c r="BQ49" s="297"/>
      <c r="BR49" s="297"/>
      <c r="BS49" s="297"/>
      <c r="BT49" s="297"/>
      <c r="BU49" s="297"/>
      <c r="BV49" s="297"/>
      <c r="BW49" s="297"/>
      <c r="BX49" s="297"/>
      <c r="BY49" s="297"/>
      <c r="BZ49" s="297"/>
      <c r="CA49" s="297"/>
      <c r="CB49" s="297"/>
      <c r="CC49" s="297"/>
      <c r="CD49" s="297"/>
      <c r="CE49" s="297"/>
      <c r="CF49" s="2"/>
    </row>
    <row r="50" spans="1:84" ht="12.65" customHeight="1" x14ac:dyDescent="0.35">
      <c r="A50" s="297" t="s">
        <v>6</v>
      </c>
      <c r="B50" s="297"/>
      <c r="C50" s="297"/>
      <c r="D50" s="297"/>
      <c r="E50" s="297"/>
      <c r="F50" s="297"/>
      <c r="G50" s="297"/>
      <c r="H50" s="297"/>
      <c r="I50" s="297"/>
      <c r="J50" s="297"/>
      <c r="K50" s="297"/>
      <c r="L50" s="297"/>
      <c r="M50" s="297"/>
      <c r="N50" s="297"/>
      <c r="O50" s="297"/>
      <c r="P50" s="297"/>
      <c r="Q50" s="297"/>
      <c r="R50" s="297"/>
      <c r="S50" s="297"/>
      <c r="T50" s="297"/>
      <c r="U50" s="297"/>
      <c r="V50" s="297"/>
      <c r="W50" s="297"/>
      <c r="X50" s="297"/>
      <c r="Y50" s="297"/>
      <c r="Z50" s="297"/>
      <c r="AA50" s="297"/>
      <c r="AB50" s="297"/>
      <c r="AC50" s="297"/>
      <c r="AD50" s="297"/>
      <c r="AE50" s="297"/>
      <c r="AF50" s="297"/>
      <c r="AG50" s="297"/>
      <c r="AH50" s="297"/>
      <c r="AI50" s="297"/>
      <c r="AJ50" s="297"/>
      <c r="AK50" s="297"/>
      <c r="AL50" s="297"/>
      <c r="AM50" s="297"/>
      <c r="AN50" s="297"/>
      <c r="AO50" s="297"/>
      <c r="AP50" s="297"/>
      <c r="AQ50" s="297"/>
      <c r="AR50" s="297"/>
      <c r="AS50" s="297"/>
      <c r="AT50" s="297"/>
      <c r="AU50" s="297"/>
      <c r="AV50" s="297"/>
      <c r="AW50" s="297"/>
      <c r="AX50" s="297"/>
      <c r="AY50" s="297"/>
      <c r="AZ50" s="297"/>
      <c r="BA50" s="297"/>
      <c r="BB50" s="297"/>
      <c r="BC50" s="297"/>
      <c r="BD50" s="297"/>
      <c r="BE50" s="297"/>
      <c r="BF50" s="297"/>
      <c r="BG50" s="297"/>
      <c r="BH50" s="297"/>
      <c r="BI50" s="297"/>
      <c r="BJ50" s="297"/>
      <c r="BK50" s="297"/>
      <c r="BL50" s="297"/>
      <c r="BM50" s="297"/>
      <c r="BN50" s="297"/>
      <c r="BO50" s="297"/>
      <c r="BP50" s="297"/>
      <c r="BQ50" s="297"/>
      <c r="BR50" s="297"/>
      <c r="BS50" s="297"/>
      <c r="BT50" s="297"/>
      <c r="BU50" s="297"/>
      <c r="BV50" s="297"/>
      <c r="BW50" s="297"/>
      <c r="BX50" s="297"/>
      <c r="BY50" s="297"/>
      <c r="BZ50" s="297"/>
      <c r="CA50" s="297"/>
      <c r="CB50" s="297"/>
      <c r="CC50" s="297"/>
      <c r="CD50" s="297"/>
      <c r="CE50" s="297"/>
      <c r="CF50" s="2"/>
    </row>
    <row r="51" spans="1:84" ht="12.65" customHeight="1" x14ac:dyDescent="0.35">
      <c r="A51" s="304" t="s">
        <v>207</v>
      </c>
      <c r="B51" s="302"/>
      <c r="C51" s="302"/>
      <c r="D51" s="302"/>
      <c r="E51" s="302"/>
      <c r="F51" s="302"/>
      <c r="G51" s="302"/>
      <c r="H51" s="302"/>
      <c r="I51" s="302"/>
      <c r="J51" s="302"/>
      <c r="K51" s="302"/>
      <c r="L51" s="302"/>
      <c r="M51" s="302"/>
      <c r="N51" s="302"/>
      <c r="O51" s="302"/>
      <c r="P51" s="302">
        <v>0</v>
      </c>
      <c r="Q51" s="302"/>
      <c r="R51" s="302"/>
      <c r="S51" s="302"/>
      <c r="T51" s="302"/>
      <c r="U51" s="302"/>
      <c r="V51" s="302"/>
      <c r="W51" s="302"/>
      <c r="X51" s="302"/>
      <c r="Y51" s="302"/>
      <c r="Z51" s="302"/>
      <c r="AA51" s="302"/>
      <c r="AB51" s="302"/>
      <c r="AC51" s="302"/>
      <c r="AD51" s="302"/>
      <c r="AE51" s="302"/>
      <c r="AF51" s="302"/>
      <c r="AG51" s="302"/>
      <c r="AH51" s="302"/>
      <c r="AI51" s="302"/>
      <c r="AJ51" s="302">
        <v>190970.84</v>
      </c>
      <c r="AK51" s="302"/>
      <c r="AL51" s="302"/>
      <c r="AM51" s="302"/>
      <c r="AN51" s="302"/>
      <c r="AO51" s="302"/>
      <c r="AP51" s="302"/>
      <c r="AQ51" s="302"/>
      <c r="AR51" s="302"/>
      <c r="AS51" s="302"/>
      <c r="AT51" s="302"/>
      <c r="AU51" s="302"/>
      <c r="AV51" s="302"/>
      <c r="AW51" s="302"/>
      <c r="AX51" s="302"/>
      <c r="AY51" s="302"/>
      <c r="AZ51" s="302"/>
      <c r="BA51" s="302"/>
      <c r="BB51" s="302"/>
      <c r="BC51" s="302"/>
      <c r="BD51" s="302"/>
      <c r="BE51" s="302"/>
      <c r="BF51" s="302"/>
      <c r="BG51" s="302"/>
      <c r="BH51" s="302"/>
      <c r="BI51" s="302"/>
      <c r="BJ51" s="302"/>
      <c r="BK51" s="302"/>
      <c r="BL51" s="302"/>
      <c r="BM51" s="302"/>
      <c r="BN51" s="302">
        <v>1046967.65</v>
      </c>
      <c r="BO51" s="302"/>
      <c r="BP51" s="302"/>
      <c r="BQ51" s="302"/>
      <c r="BR51" s="302"/>
      <c r="BS51" s="302"/>
      <c r="BT51" s="302"/>
      <c r="BU51" s="302"/>
      <c r="BV51" s="302"/>
      <c r="BW51" s="302"/>
      <c r="BX51" s="302"/>
      <c r="BY51" s="302"/>
      <c r="BZ51" s="302"/>
      <c r="CA51" s="302"/>
      <c r="CB51" s="302"/>
      <c r="CC51" s="302"/>
      <c r="CD51" s="297"/>
      <c r="CE51" s="297">
        <f>SUM(C51:CD51)</f>
        <v>1237938.49</v>
      </c>
      <c r="CF51" s="2"/>
    </row>
    <row r="52" spans="1:84" ht="12.65" customHeight="1" x14ac:dyDescent="0.35">
      <c r="A52" s="304" t="s">
        <v>208</v>
      </c>
      <c r="B52" s="302"/>
      <c r="C52" s="297">
        <f>ROUND((B52/(CE76+CF76)*C76),0)</f>
        <v>0</v>
      </c>
      <c r="D52" s="297">
        <f>ROUND((B52/(CE76+CF76)*D76),0)</f>
        <v>0</v>
      </c>
      <c r="E52" s="297">
        <f>ROUND((B52/(CE76+CF76)*E76),0)</f>
        <v>0</v>
      </c>
      <c r="F52" s="297">
        <f>ROUND((B52/(CE76+CF76)*F76),0)</f>
        <v>0</v>
      </c>
      <c r="G52" s="297">
        <f>ROUND((B52/(CE76+CF76)*G76),0)</f>
        <v>0</v>
      </c>
      <c r="H52" s="297">
        <f>ROUND((B52/(CE76+CF76)*H76),0)</f>
        <v>0</v>
      </c>
      <c r="I52" s="297">
        <f>ROUND((B52/(CE76+CF76)*I76),0)</f>
        <v>0</v>
      </c>
      <c r="J52" s="297">
        <f>ROUND((B52/(CE76+CF76)*J76),0)</f>
        <v>0</v>
      </c>
      <c r="K52" s="297">
        <f>ROUND((B52/(CE76+CF76)*K76),0)</f>
        <v>0</v>
      </c>
      <c r="L52" s="297">
        <f>ROUND((B52/(CE76+CF76)*L76),0)</f>
        <v>0</v>
      </c>
      <c r="M52" s="297">
        <f>ROUND((B52/(CE76+CF76)*M76),0)</f>
        <v>0</v>
      </c>
      <c r="N52" s="297">
        <f>ROUND((B52/(CE76+CF76)*N76),0)</f>
        <v>0</v>
      </c>
      <c r="O52" s="297">
        <f>ROUND((B52/(CE76+CF76)*O76),0)</f>
        <v>0</v>
      </c>
      <c r="P52" s="297">
        <f>ROUND((B52/(CE76+CF76)*P76),0)</f>
        <v>0</v>
      </c>
      <c r="Q52" s="297">
        <f>ROUND((B52/(CE76+CF76)*Q76),0)</f>
        <v>0</v>
      </c>
      <c r="R52" s="297">
        <f>ROUND((B52/(CE76+CF76)*R76),0)</f>
        <v>0</v>
      </c>
      <c r="S52" s="297">
        <f>ROUND((B52/(CE76+CF76)*S76),0)</f>
        <v>0</v>
      </c>
      <c r="T52" s="297">
        <f>ROUND((B52/(CE76+CF76)*T76),0)</f>
        <v>0</v>
      </c>
      <c r="U52" s="297">
        <f>ROUND((B52/(CE76+CF76)*U76),0)</f>
        <v>0</v>
      </c>
      <c r="V52" s="297">
        <f>ROUND((B52/(CE76+CF76)*V76),0)</f>
        <v>0</v>
      </c>
      <c r="W52" s="297">
        <f>ROUND((B52/(CE76+CF76)*W76),0)</f>
        <v>0</v>
      </c>
      <c r="X52" s="297">
        <f>ROUND((B52/(CE76+CF76)*X76),0)</f>
        <v>0</v>
      </c>
      <c r="Y52" s="297">
        <f>ROUND((B52/(CE76+CF76)*Y76),0)</f>
        <v>0</v>
      </c>
      <c r="Z52" s="297">
        <f>ROUND((B52/(CE76+CF76)*Z76),0)</f>
        <v>0</v>
      </c>
      <c r="AA52" s="297">
        <f>ROUND((B52/(CE76+CF76)*AA76),0)</f>
        <v>0</v>
      </c>
      <c r="AB52" s="297">
        <f>ROUND((B52/(CE76+CF76)*AB76),0)</f>
        <v>0</v>
      </c>
      <c r="AC52" s="297">
        <f>ROUND((B52/(CE76+CF76)*AC76),0)</f>
        <v>0</v>
      </c>
      <c r="AD52" s="297">
        <f>ROUND((B52/(CE76+CF76)*AD76),0)</f>
        <v>0</v>
      </c>
      <c r="AE52" s="297">
        <f>ROUND((B52/(CE76+CF76)*AE76),0)</f>
        <v>0</v>
      </c>
      <c r="AF52" s="297">
        <f>ROUND((B52/(CE76+CF76)*AF76),0)</f>
        <v>0</v>
      </c>
      <c r="AG52" s="297">
        <f>ROUND((B52/(CE76+CF76)*AG76),0)</f>
        <v>0</v>
      </c>
      <c r="AH52" s="297">
        <f>ROUND((B52/(CE76+CF76)*AH76),0)</f>
        <v>0</v>
      </c>
      <c r="AI52" s="297">
        <f>ROUND((B52/(CE76+CF76)*AI76),0)</f>
        <v>0</v>
      </c>
      <c r="AJ52" s="297">
        <f>ROUND((B52/(CE76+CF76)*AJ76),0)</f>
        <v>0</v>
      </c>
      <c r="AK52" s="297">
        <f>ROUND((B52/(CE76+CF76)*AK76),0)</f>
        <v>0</v>
      </c>
      <c r="AL52" s="297">
        <f>ROUND((B52/(CE76+CF76)*AL76),0)</f>
        <v>0</v>
      </c>
      <c r="AM52" s="297">
        <f>ROUND((B52/(CE76+CF76)*AM76),0)</f>
        <v>0</v>
      </c>
      <c r="AN52" s="297">
        <f>ROUND((B52/(CE76+CF76)*AN76),0)</f>
        <v>0</v>
      </c>
      <c r="AO52" s="297">
        <f>ROUND((B52/(CE76+CF76)*AO76),0)</f>
        <v>0</v>
      </c>
      <c r="AP52" s="297">
        <f>ROUND((B52/(CE76+CF76)*AP76),0)</f>
        <v>0</v>
      </c>
      <c r="AQ52" s="297">
        <f>ROUND((B52/(CE76+CF76)*AQ76),0)</f>
        <v>0</v>
      </c>
      <c r="AR52" s="297">
        <f>ROUND((B52/(CE76+CF76)*AR76),0)</f>
        <v>0</v>
      </c>
      <c r="AS52" s="297">
        <f>ROUND((B52/(CE76+CF76)*AS76),0)</f>
        <v>0</v>
      </c>
      <c r="AT52" s="297">
        <f>ROUND((B52/(CE76+CF76)*AT76),0)</f>
        <v>0</v>
      </c>
      <c r="AU52" s="297">
        <f>ROUND((B52/(CE76+CF76)*AU76),0)</f>
        <v>0</v>
      </c>
      <c r="AV52" s="297">
        <f>ROUND((B52/(CE76+CF76)*AV76),0)</f>
        <v>0</v>
      </c>
      <c r="AW52" s="297">
        <f>ROUND((B52/(CE76+CF76)*AW76),0)</f>
        <v>0</v>
      </c>
      <c r="AX52" s="297">
        <f>ROUND((B52/(CE76+CF76)*AX76),0)</f>
        <v>0</v>
      </c>
      <c r="AY52" s="297">
        <f>ROUND((B52/(CE76+CF76)*AY76),0)</f>
        <v>0</v>
      </c>
      <c r="AZ52" s="297">
        <f>ROUND((B52/(CE76+CF76)*AZ76),0)</f>
        <v>0</v>
      </c>
      <c r="BA52" s="297">
        <f>ROUND((B52/(CE76+CF76)*BA76),0)</f>
        <v>0</v>
      </c>
      <c r="BB52" s="297">
        <f>ROUND((B52/(CE76+CF76)*BB76),0)</f>
        <v>0</v>
      </c>
      <c r="BC52" s="297">
        <f>ROUND((B52/(CE76+CF76)*BC76),0)</f>
        <v>0</v>
      </c>
      <c r="BD52" s="297">
        <f>ROUND((B52/(CE76+CF76)*BD76),0)</f>
        <v>0</v>
      </c>
      <c r="BE52" s="297">
        <f>ROUND((B52/(CE76+CF76)*BE76),0)</f>
        <v>0</v>
      </c>
      <c r="BF52" s="297">
        <f>ROUND((B52/(CE76+CF76)*BF76),0)</f>
        <v>0</v>
      </c>
      <c r="BG52" s="297">
        <f>ROUND((B52/(CE76+CF76)*BG76),0)</f>
        <v>0</v>
      </c>
      <c r="BH52" s="297">
        <f>ROUND((B52/(CE76+CF76)*BH76),0)</f>
        <v>0</v>
      </c>
      <c r="BI52" s="297">
        <f>ROUND((B52/(CE76+CF76)*BI76),0)</f>
        <v>0</v>
      </c>
      <c r="BJ52" s="297">
        <f>ROUND((B52/(CE76+CF76)*BJ76),0)</f>
        <v>0</v>
      </c>
      <c r="BK52" s="297">
        <f>ROUND((B52/(CE76+CF76)*BK76),0)</f>
        <v>0</v>
      </c>
      <c r="BL52" s="297">
        <f>ROUND((B52/(CE76+CF76)*BL76),0)</f>
        <v>0</v>
      </c>
      <c r="BM52" s="297">
        <f>ROUND((B52/(CE76+CF76)*BM76),0)</f>
        <v>0</v>
      </c>
      <c r="BN52" s="297">
        <f>ROUND((B52/(CE76+CF76)*BN76),0)</f>
        <v>0</v>
      </c>
      <c r="BO52" s="297">
        <f>ROUND((B52/(CE76+CF76)*BO76),0)</f>
        <v>0</v>
      </c>
      <c r="BP52" s="297">
        <f>ROUND((B52/(CE76+CF76)*BP76),0)</f>
        <v>0</v>
      </c>
      <c r="BQ52" s="297">
        <f>ROUND((B52/(CE76+CF76)*BQ76),0)</f>
        <v>0</v>
      </c>
      <c r="BR52" s="297">
        <f>ROUND((B52/(CE76+CF76)*BR76),0)</f>
        <v>0</v>
      </c>
      <c r="BS52" s="297">
        <f>ROUND((B52/(CE76+CF76)*BS76),0)</f>
        <v>0</v>
      </c>
      <c r="BT52" s="297">
        <f>ROUND((B52/(CE76+CF76)*BT76),0)</f>
        <v>0</v>
      </c>
      <c r="BU52" s="297">
        <f>ROUND((B52/(CE76+CF76)*BU76),0)</f>
        <v>0</v>
      </c>
      <c r="BV52" s="297">
        <f>ROUND((B52/(CE76+CF76)*BV76),0)</f>
        <v>0</v>
      </c>
      <c r="BW52" s="297">
        <f>ROUND((B52/(CE76+CF76)*BW76),0)</f>
        <v>0</v>
      </c>
      <c r="BX52" s="297">
        <f>ROUND((B52/(CE76+CF76)*BX76),0)</f>
        <v>0</v>
      </c>
      <c r="BY52" s="297">
        <f>ROUND((B52/(CE76+CF76)*BY76),0)</f>
        <v>0</v>
      </c>
      <c r="BZ52" s="297">
        <f>ROUND((B52/(CE76+CF76)*BZ76),0)</f>
        <v>0</v>
      </c>
      <c r="CA52" s="297">
        <f>ROUND((B52/(CE76+CF76)*CA76),0)</f>
        <v>0</v>
      </c>
      <c r="CB52" s="297">
        <f>ROUND((B52/(CE76+CF76)*CB76),0)</f>
        <v>0</v>
      </c>
      <c r="CC52" s="297">
        <f>ROUND((B52/(CE76+CF76)*CC76),0)</f>
        <v>0</v>
      </c>
      <c r="CD52" s="297"/>
      <c r="CE52" s="297">
        <f>SUM(C52:CD52)</f>
        <v>0</v>
      </c>
      <c r="CF52" s="2"/>
    </row>
    <row r="53" spans="1:84" ht="12.65" customHeight="1" x14ac:dyDescent="0.35">
      <c r="A53" s="297" t="s">
        <v>206</v>
      </c>
      <c r="B53" s="297">
        <f>B51+B52</f>
        <v>0</v>
      </c>
      <c r="C53" s="297"/>
      <c r="D53" s="297"/>
      <c r="E53" s="297"/>
      <c r="F53" s="297"/>
      <c r="G53" s="297"/>
      <c r="H53" s="297"/>
      <c r="I53" s="297"/>
      <c r="J53" s="297"/>
      <c r="K53" s="297"/>
      <c r="L53" s="297"/>
      <c r="M53" s="297"/>
      <c r="N53" s="297"/>
      <c r="O53" s="297"/>
      <c r="P53" s="297"/>
      <c r="Q53" s="297"/>
      <c r="R53" s="297"/>
      <c r="S53" s="297"/>
      <c r="T53" s="297"/>
      <c r="U53" s="297"/>
      <c r="V53" s="297"/>
      <c r="W53" s="297"/>
      <c r="X53" s="297"/>
      <c r="Y53" s="297"/>
      <c r="Z53" s="297"/>
      <c r="AA53" s="297"/>
      <c r="AB53" s="297"/>
      <c r="AC53" s="297"/>
      <c r="AD53" s="297"/>
      <c r="AE53" s="297"/>
      <c r="AF53" s="297"/>
      <c r="AG53" s="297"/>
      <c r="AH53" s="297"/>
      <c r="AI53" s="297"/>
      <c r="AJ53" s="297"/>
      <c r="AK53" s="297"/>
      <c r="AL53" s="297"/>
      <c r="AM53" s="297"/>
      <c r="AN53" s="297"/>
      <c r="AO53" s="297"/>
      <c r="AP53" s="297"/>
      <c r="AQ53" s="297"/>
      <c r="AR53" s="297"/>
      <c r="AS53" s="297"/>
      <c r="AT53" s="297"/>
      <c r="AU53" s="297"/>
      <c r="AV53" s="297"/>
      <c r="AW53" s="297"/>
      <c r="AX53" s="297"/>
      <c r="AY53" s="297"/>
      <c r="AZ53" s="297"/>
      <c r="BA53" s="297"/>
      <c r="BB53" s="297"/>
      <c r="BC53" s="297"/>
      <c r="BD53" s="297"/>
      <c r="BE53" s="297"/>
      <c r="BF53" s="297"/>
      <c r="BG53" s="297"/>
      <c r="BH53" s="297"/>
      <c r="BI53" s="297"/>
      <c r="BJ53" s="297"/>
      <c r="BK53" s="297"/>
      <c r="BL53" s="297"/>
      <c r="BM53" s="297"/>
      <c r="BN53" s="297"/>
      <c r="BO53" s="297"/>
      <c r="BP53" s="297"/>
      <c r="BQ53" s="297"/>
      <c r="BR53" s="297"/>
      <c r="BS53" s="297"/>
      <c r="BT53" s="297"/>
      <c r="BU53" s="297"/>
      <c r="BV53" s="297"/>
      <c r="BW53" s="297"/>
      <c r="BX53" s="297"/>
      <c r="BY53" s="297"/>
      <c r="BZ53" s="297"/>
      <c r="CA53" s="297"/>
      <c r="CB53" s="297"/>
      <c r="CC53" s="297"/>
      <c r="CD53" s="297"/>
      <c r="CE53" s="297"/>
      <c r="CF53" s="2"/>
    </row>
    <row r="54" spans="1:84" ht="15.75" customHeight="1" x14ac:dyDescent="0.35">
      <c r="A54" s="297"/>
      <c r="B54" s="297"/>
      <c r="C54" s="305"/>
      <c r="D54" s="297"/>
      <c r="E54" s="297"/>
      <c r="F54" s="297"/>
      <c r="G54" s="297"/>
      <c r="H54" s="297"/>
      <c r="I54" s="297"/>
      <c r="J54" s="297"/>
      <c r="K54" s="297"/>
      <c r="L54" s="297"/>
      <c r="M54" s="297"/>
      <c r="N54" s="297"/>
      <c r="O54" s="297"/>
      <c r="P54" s="297"/>
      <c r="Q54" s="297"/>
      <c r="R54" s="297"/>
      <c r="S54" s="297"/>
      <c r="T54" s="297"/>
      <c r="U54" s="297"/>
      <c r="V54" s="297"/>
      <c r="W54" s="297"/>
      <c r="X54" s="297"/>
      <c r="Y54" s="297"/>
      <c r="Z54" s="297"/>
      <c r="AA54" s="297"/>
      <c r="AB54" s="297"/>
      <c r="AC54" s="297"/>
      <c r="AD54" s="297"/>
      <c r="AE54" s="297"/>
      <c r="AF54" s="297"/>
      <c r="AG54" s="297"/>
      <c r="AH54" s="297"/>
      <c r="AI54" s="297"/>
      <c r="AJ54" s="297"/>
      <c r="AK54" s="297"/>
      <c r="AL54" s="297"/>
      <c r="AM54" s="297"/>
      <c r="AN54" s="297"/>
      <c r="AO54" s="297"/>
      <c r="AP54" s="297"/>
      <c r="AQ54" s="297"/>
      <c r="AR54" s="297"/>
      <c r="AS54" s="297"/>
      <c r="AT54" s="297"/>
      <c r="AU54" s="297"/>
      <c r="AV54" s="297"/>
      <c r="AW54" s="297"/>
      <c r="AX54" s="297"/>
      <c r="AY54" s="297"/>
      <c r="AZ54" s="297"/>
      <c r="BA54" s="297"/>
      <c r="BB54" s="297"/>
      <c r="BC54" s="297"/>
      <c r="BD54" s="297"/>
      <c r="BE54" s="297"/>
      <c r="BF54" s="297"/>
      <c r="BG54" s="297"/>
      <c r="BH54" s="297"/>
      <c r="BI54" s="297"/>
      <c r="BJ54" s="297"/>
      <c r="BK54" s="297"/>
      <c r="BL54" s="297"/>
      <c r="BM54" s="297"/>
      <c r="BN54" s="297"/>
      <c r="BO54" s="297"/>
      <c r="BP54" s="297"/>
      <c r="BQ54" s="297"/>
      <c r="BR54" s="297"/>
      <c r="BS54" s="297"/>
      <c r="BT54" s="297"/>
      <c r="BU54" s="297"/>
      <c r="BV54" s="297"/>
      <c r="BW54" s="297"/>
      <c r="BX54" s="297"/>
      <c r="BY54" s="297"/>
      <c r="BZ54" s="297"/>
      <c r="CA54" s="297"/>
      <c r="CB54" s="297"/>
      <c r="CC54" s="297"/>
      <c r="CD54" s="297"/>
      <c r="CE54" s="297"/>
      <c r="CF54" s="2"/>
    </row>
    <row r="55" spans="1:84" ht="12.65" customHeight="1" x14ac:dyDescent="0.35">
      <c r="A55" s="304" t="s">
        <v>209</v>
      </c>
      <c r="B55" s="297"/>
      <c r="C55" s="298" t="s">
        <v>10</v>
      </c>
      <c r="D55" s="299" t="s">
        <v>11</v>
      </c>
      <c r="E55" s="299" t="s">
        <v>12</v>
      </c>
      <c r="F55" s="299" t="s">
        <v>13</v>
      </c>
      <c r="G55" s="299" t="s">
        <v>14</v>
      </c>
      <c r="H55" s="299" t="s">
        <v>15</v>
      </c>
      <c r="I55" s="299" t="s">
        <v>16</v>
      </c>
      <c r="J55" s="299" t="s">
        <v>17</v>
      </c>
      <c r="K55" s="299" t="s">
        <v>18</v>
      </c>
      <c r="L55" s="299" t="s">
        <v>19</v>
      </c>
      <c r="M55" s="299" t="s">
        <v>20</v>
      </c>
      <c r="N55" s="299" t="s">
        <v>21</v>
      </c>
      <c r="O55" s="299" t="s">
        <v>22</v>
      </c>
      <c r="P55" s="299" t="s">
        <v>23</v>
      </c>
      <c r="Q55" s="299" t="s">
        <v>24</v>
      </c>
      <c r="R55" s="299" t="s">
        <v>25</v>
      </c>
      <c r="S55" s="299" t="s">
        <v>26</v>
      </c>
      <c r="T55" s="306" t="s">
        <v>27</v>
      </c>
      <c r="U55" s="299" t="s">
        <v>28</v>
      </c>
      <c r="V55" s="299" t="s">
        <v>29</v>
      </c>
      <c r="W55" s="299" t="s">
        <v>30</v>
      </c>
      <c r="X55" s="299" t="s">
        <v>31</v>
      </c>
      <c r="Y55" s="299" t="s">
        <v>32</v>
      </c>
      <c r="Z55" s="299" t="s">
        <v>33</v>
      </c>
      <c r="AA55" s="299" t="s">
        <v>34</v>
      </c>
      <c r="AB55" s="299" t="s">
        <v>35</v>
      </c>
      <c r="AC55" s="299" t="s">
        <v>36</v>
      </c>
      <c r="AD55" s="299" t="s">
        <v>37</v>
      </c>
      <c r="AE55" s="299" t="s">
        <v>38</v>
      </c>
      <c r="AF55" s="299" t="s">
        <v>39</v>
      </c>
      <c r="AG55" s="299" t="s">
        <v>40</v>
      </c>
      <c r="AH55" s="299" t="s">
        <v>41</v>
      </c>
      <c r="AI55" s="299" t="s">
        <v>42</v>
      </c>
      <c r="AJ55" s="299" t="s">
        <v>43</v>
      </c>
      <c r="AK55" s="299" t="s">
        <v>44</v>
      </c>
      <c r="AL55" s="299" t="s">
        <v>45</v>
      </c>
      <c r="AM55" s="299" t="s">
        <v>46</v>
      </c>
      <c r="AN55" s="299" t="s">
        <v>47</v>
      </c>
      <c r="AO55" s="299" t="s">
        <v>48</v>
      </c>
      <c r="AP55" s="299" t="s">
        <v>49</v>
      </c>
      <c r="AQ55" s="299" t="s">
        <v>50</v>
      </c>
      <c r="AR55" s="299" t="s">
        <v>51</v>
      </c>
      <c r="AS55" s="299" t="s">
        <v>52</v>
      </c>
      <c r="AT55" s="299" t="s">
        <v>53</v>
      </c>
      <c r="AU55" s="299" t="s">
        <v>54</v>
      </c>
      <c r="AV55" s="299" t="s">
        <v>55</v>
      </c>
      <c r="AW55" s="299" t="s">
        <v>56</v>
      </c>
      <c r="AX55" s="299" t="s">
        <v>57</v>
      </c>
      <c r="AY55" s="299" t="s">
        <v>58</v>
      </c>
      <c r="AZ55" s="299" t="s">
        <v>59</v>
      </c>
      <c r="BA55" s="299" t="s">
        <v>60</v>
      </c>
      <c r="BB55" s="299" t="s">
        <v>61</v>
      </c>
      <c r="BC55" s="299" t="s">
        <v>62</v>
      </c>
      <c r="BD55" s="299" t="s">
        <v>63</v>
      </c>
      <c r="BE55" s="299" t="s">
        <v>64</v>
      </c>
      <c r="BF55" s="299" t="s">
        <v>65</v>
      </c>
      <c r="BG55" s="299" t="s">
        <v>66</v>
      </c>
      <c r="BH55" s="299" t="s">
        <v>67</v>
      </c>
      <c r="BI55" s="299" t="s">
        <v>68</v>
      </c>
      <c r="BJ55" s="299" t="s">
        <v>69</v>
      </c>
      <c r="BK55" s="299" t="s">
        <v>70</v>
      </c>
      <c r="BL55" s="299" t="s">
        <v>71</v>
      </c>
      <c r="BM55" s="299" t="s">
        <v>72</v>
      </c>
      <c r="BN55" s="299" t="s">
        <v>73</v>
      </c>
      <c r="BO55" s="299" t="s">
        <v>74</v>
      </c>
      <c r="BP55" s="299" t="s">
        <v>75</v>
      </c>
      <c r="BQ55" s="299" t="s">
        <v>76</v>
      </c>
      <c r="BR55" s="299" t="s">
        <v>77</v>
      </c>
      <c r="BS55" s="299" t="s">
        <v>78</v>
      </c>
      <c r="BT55" s="299" t="s">
        <v>79</v>
      </c>
      <c r="BU55" s="299" t="s">
        <v>80</v>
      </c>
      <c r="BV55" s="299" t="s">
        <v>81</v>
      </c>
      <c r="BW55" s="299" t="s">
        <v>82</v>
      </c>
      <c r="BX55" s="299" t="s">
        <v>83</v>
      </c>
      <c r="BY55" s="299" t="s">
        <v>84</v>
      </c>
      <c r="BZ55" s="299" t="s">
        <v>85</v>
      </c>
      <c r="CA55" s="299" t="s">
        <v>86</v>
      </c>
      <c r="CB55" s="299" t="s">
        <v>87</v>
      </c>
      <c r="CC55" s="299" t="s">
        <v>88</v>
      </c>
      <c r="CD55" s="299" t="s">
        <v>89</v>
      </c>
      <c r="CE55" s="299" t="s">
        <v>90</v>
      </c>
      <c r="CF55" s="2"/>
    </row>
    <row r="56" spans="1:84" ht="12.65" customHeight="1" x14ac:dyDescent="0.35">
      <c r="A56" s="304" t="s">
        <v>210</v>
      </c>
      <c r="B56" s="297"/>
      <c r="C56" s="298" t="s">
        <v>92</v>
      </c>
      <c r="D56" s="299" t="s">
        <v>93</v>
      </c>
      <c r="E56" s="299" t="s">
        <v>94</v>
      </c>
      <c r="F56" s="299" t="s">
        <v>95</v>
      </c>
      <c r="G56" s="299" t="s">
        <v>96</v>
      </c>
      <c r="H56" s="299" t="s">
        <v>97</v>
      </c>
      <c r="I56" s="299" t="s">
        <v>98</v>
      </c>
      <c r="J56" s="299" t="s">
        <v>99</v>
      </c>
      <c r="K56" s="299" t="s">
        <v>100</v>
      </c>
      <c r="L56" s="299" t="s">
        <v>101</v>
      </c>
      <c r="M56" s="299" t="s">
        <v>102</v>
      </c>
      <c r="N56" s="299" t="s">
        <v>103</v>
      </c>
      <c r="O56" s="299" t="s">
        <v>104</v>
      </c>
      <c r="P56" s="299" t="s">
        <v>105</v>
      </c>
      <c r="Q56" s="299" t="s">
        <v>106</v>
      </c>
      <c r="R56" s="299" t="s">
        <v>107</v>
      </c>
      <c r="S56" s="299" t="s">
        <v>108</v>
      </c>
      <c r="T56" s="299" t="s">
        <v>1194</v>
      </c>
      <c r="U56" s="299" t="s">
        <v>109</v>
      </c>
      <c r="V56" s="299" t="s">
        <v>110</v>
      </c>
      <c r="W56" s="299" t="s">
        <v>111</v>
      </c>
      <c r="X56" s="299" t="s">
        <v>112</v>
      </c>
      <c r="Y56" s="299" t="s">
        <v>113</v>
      </c>
      <c r="Z56" s="299" t="s">
        <v>113</v>
      </c>
      <c r="AA56" s="299" t="s">
        <v>114</v>
      </c>
      <c r="AB56" s="299" t="s">
        <v>115</v>
      </c>
      <c r="AC56" s="299" t="s">
        <v>116</v>
      </c>
      <c r="AD56" s="299" t="s">
        <v>117</v>
      </c>
      <c r="AE56" s="299" t="s">
        <v>96</v>
      </c>
      <c r="AF56" s="299" t="s">
        <v>97</v>
      </c>
      <c r="AG56" s="299" t="s">
        <v>118</v>
      </c>
      <c r="AH56" s="299" t="s">
        <v>119</v>
      </c>
      <c r="AI56" s="299" t="s">
        <v>120</v>
      </c>
      <c r="AJ56" s="299" t="s">
        <v>121</v>
      </c>
      <c r="AK56" s="299" t="s">
        <v>122</v>
      </c>
      <c r="AL56" s="299" t="s">
        <v>123</v>
      </c>
      <c r="AM56" s="299" t="s">
        <v>124</v>
      </c>
      <c r="AN56" s="299" t="s">
        <v>110</v>
      </c>
      <c r="AO56" s="299" t="s">
        <v>125</v>
      </c>
      <c r="AP56" s="299" t="s">
        <v>126</v>
      </c>
      <c r="AQ56" s="299" t="s">
        <v>127</v>
      </c>
      <c r="AR56" s="299" t="s">
        <v>128</v>
      </c>
      <c r="AS56" s="299" t="s">
        <v>129</v>
      </c>
      <c r="AT56" s="299" t="s">
        <v>130</v>
      </c>
      <c r="AU56" s="299" t="s">
        <v>131</v>
      </c>
      <c r="AV56" s="299" t="s">
        <v>132</v>
      </c>
      <c r="AW56" s="299" t="s">
        <v>133</v>
      </c>
      <c r="AX56" s="299" t="s">
        <v>134</v>
      </c>
      <c r="AY56" s="299" t="s">
        <v>135</v>
      </c>
      <c r="AZ56" s="299" t="s">
        <v>136</v>
      </c>
      <c r="BA56" s="299" t="s">
        <v>137</v>
      </c>
      <c r="BB56" s="299" t="s">
        <v>138</v>
      </c>
      <c r="BC56" s="299" t="s">
        <v>108</v>
      </c>
      <c r="BD56" s="299" t="s">
        <v>139</v>
      </c>
      <c r="BE56" s="299" t="s">
        <v>140</v>
      </c>
      <c r="BF56" s="299" t="s">
        <v>141</v>
      </c>
      <c r="BG56" s="299" t="s">
        <v>142</v>
      </c>
      <c r="BH56" s="299" t="s">
        <v>143</v>
      </c>
      <c r="BI56" s="299" t="s">
        <v>144</v>
      </c>
      <c r="BJ56" s="299" t="s">
        <v>145</v>
      </c>
      <c r="BK56" s="299" t="s">
        <v>146</v>
      </c>
      <c r="BL56" s="299" t="s">
        <v>147</v>
      </c>
      <c r="BM56" s="299" t="s">
        <v>132</v>
      </c>
      <c r="BN56" s="299" t="s">
        <v>148</v>
      </c>
      <c r="BO56" s="299" t="s">
        <v>149</v>
      </c>
      <c r="BP56" s="299" t="s">
        <v>150</v>
      </c>
      <c r="BQ56" s="299" t="s">
        <v>151</v>
      </c>
      <c r="BR56" s="299" t="s">
        <v>152</v>
      </c>
      <c r="BS56" s="299" t="s">
        <v>153</v>
      </c>
      <c r="BT56" s="299" t="s">
        <v>154</v>
      </c>
      <c r="BU56" s="299" t="s">
        <v>155</v>
      </c>
      <c r="BV56" s="299" t="s">
        <v>155</v>
      </c>
      <c r="BW56" s="299" t="s">
        <v>155</v>
      </c>
      <c r="BX56" s="299" t="s">
        <v>156</v>
      </c>
      <c r="BY56" s="299" t="s">
        <v>157</v>
      </c>
      <c r="BZ56" s="299" t="s">
        <v>158</v>
      </c>
      <c r="CA56" s="299" t="s">
        <v>159</v>
      </c>
      <c r="CB56" s="299" t="s">
        <v>160</v>
      </c>
      <c r="CC56" s="299" t="s">
        <v>132</v>
      </c>
      <c r="CD56" s="299" t="s">
        <v>211</v>
      </c>
      <c r="CE56" s="299" t="s">
        <v>161</v>
      </c>
      <c r="CF56" s="2"/>
    </row>
    <row r="57" spans="1:84" ht="12.65" customHeight="1" x14ac:dyDescent="0.35">
      <c r="A57" s="304" t="s">
        <v>212</v>
      </c>
      <c r="B57" s="297"/>
      <c r="C57" s="298" t="s">
        <v>163</v>
      </c>
      <c r="D57" s="299" t="s">
        <v>163</v>
      </c>
      <c r="E57" s="299" t="s">
        <v>163</v>
      </c>
      <c r="F57" s="299" t="s">
        <v>164</v>
      </c>
      <c r="G57" s="299" t="s">
        <v>165</v>
      </c>
      <c r="H57" s="299" t="s">
        <v>163</v>
      </c>
      <c r="I57" s="299" t="s">
        <v>166</v>
      </c>
      <c r="J57" s="299"/>
      <c r="K57" s="299" t="s">
        <v>157</v>
      </c>
      <c r="L57" s="299" t="s">
        <v>167</v>
      </c>
      <c r="M57" s="299" t="s">
        <v>168</v>
      </c>
      <c r="N57" s="299" t="s">
        <v>169</v>
      </c>
      <c r="O57" s="299" t="s">
        <v>170</v>
      </c>
      <c r="P57" s="299" t="s">
        <v>169</v>
      </c>
      <c r="Q57" s="299" t="s">
        <v>171</v>
      </c>
      <c r="R57" s="299"/>
      <c r="S57" s="299" t="s">
        <v>169</v>
      </c>
      <c r="T57" s="299" t="s">
        <v>172</v>
      </c>
      <c r="U57" s="299"/>
      <c r="V57" s="299" t="s">
        <v>173</v>
      </c>
      <c r="W57" s="299" t="s">
        <v>174</v>
      </c>
      <c r="X57" s="299" t="s">
        <v>175</v>
      </c>
      <c r="Y57" s="299" t="s">
        <v>176</v>
      </c>
      <c r="Z57" s="299" t="s">
        <v>177</v>
      </c>
      <c r="AA57" s="299" t="s">
        <v>178</v>
      </c>
      <c r="AB57" s="299"/>
      <c r="AC57" s="299" t="s">
        <v>172</v>
      </c>
      <c r="AD57" s="299"/>
      <c r="AE57" s="299" t="s">
        <v>172</v>
      </c>
      <c r="AF57" s="299" t="s">
        <v>179</v>
      </c>
      <c r="AG57" s="299" t="s">
        <v>171</v>
      </c>
      <c r="AH57" s="299"/>
      <c r="AI57" s="299" t="s">
        <v>180</v>
      </c>
      <c r="AJ57" s="299"/>
      <c r="AK57" s="299" t="s">
        <v>172</v>
      </c>
      <c r="AL57" s="299" t="s">
        <v>172</v>
      </c>
      <c r="AM57" s="299" t="s">
        <v>172</v>
      </c>
      <c r="AN57" s="299" t="s">
        <v>181</v>
      </c>
      <c r="AO57" s="299" t="s">
        <v>182</v>
      </c>
      <c r="AP57" s="299" t="s">
        <v>121</v>
      </c>
      <c r="AQ57" s="299" t="s">
        <v>183</v>
      </c>
      <c r="AR57" s="299" t="s">
        <v>169</v>
      </c>
      <c r="AS57" s="299"/>
      <c r="AT57" s="299" t="s">
        <v>184</v>
      </c>
      <c r="AU57" s="299" t="s">
        <v>185</v>
      </c>
      <c r="AV57" s="299" t="s">
        <v>186</v>
      </c>
      <c r="AW57" s="299" t="s">
        <v>187</v>
      </c>
      <c r="AX57" s="299" t="s">
        <v>188</v>
      </c>
      <c r="AY57" s="299"/>
      <c r="AZ57" s="299"/>
      <c r="BA57" s="299" t="s">
        <v>189</v>
      </c>
      <c r="BB57" s="299" t="s">
        <v>169</v>
      </c>
      <c r="BC57" s="299" t="s">
        <v>183</v>
      </c>
      <c r="BD57" s="299"/>
      <c r="BE57" s="299"/>
      <c r="BF57" s="299"/>
      <c r="BG57" s="299"/>
      <c r="BH57" s="299" t="s">
        <v>190</v>
      </c>
      <c r="BI57" s="299" t="s">
        <v>169</v>
      </c>
      <c r="BJ57" s="299"/>
      <c r="BK57" s="299" t="s">
        <v>191</v>
      </c>
      <c r="BL57" s="299"/>
      <c r="BM57" s="299" t="s">
        <v>192</v>
      </c>
      <c r="BN57" s="299" t="s">
        <v>193</v>
      </c>
      <c r="BO57" s="299" t="s">
        <v>194</v>
      </c>
      <c r="BP57" s="299" t="s">
        <v>195</v>
      </c>
      <c r="BQ57" s="299" t="s">
        <v>196</v>
      </c>
      <c r="BR57" s="299"/>
      <c r="BS57" s="299" t="s">
        <v>197</v>
      </c>
      <c r="BT57" s="299" t="s">
        <v>169</v>
      </c>
      <c r="BU57" s="299" t="s">
        <v>198</v>
      </c>
      <c r="BV57" s="299" t="s">
        <v>199</v>
      </c>
      <c r="BW57" s="299" t="s">
        <v>200</v>
      </c>
      <c r="BX57" s="299" t="s">
        <v>151</v>
      </c>
      <c r="BY57" s="299" t="s">
        <v>193</v>
      </c>
      <c r="BZ57" s="299" t="s">
        <v>152</v>
      </c>
      <c r="CA57" s="299" t="s">
        <v>201</v>
      </c>
      <c r="CB57" s="299" t="s">
        <v>201</v>
      </c>
      <c r="CC57" s="299" t="s">
        <v>202</v>
      </c>
      <c r="CD57" s="299" t="s">
        <v>213</v>
      </c>
      <c r="CE57" s="299" t="s">
        <v>203</v>
      </c>
      <c r="CF57" s="2"/>
    </row>
    <row r="58" spans="1:84" ht="12.65" customHeight="1" x14ac:dyDescent="0.35">
      <c r="A58" s="304" t="s">
        <v>214</v>
      </c>
      <c r="B58" s="297"/>
      <c r="C58" s="298" t="s">
        <v>215</v>
      </c>
      <c r="D58" s="299" t="s">
        <v>215</v>
      </c>
      <c r="E58" s="299" t="s">
        <v>215</v>
      </c>
      <c r="F58" s="299" t="s">
        <v>215</v>
      </c>
      <c r="G58" s="299" t="s">
        <v>215</v>
      </c>
      <c r="H58" s="299" t="s">
        <v>215</v>
      </c>
      <c r="I58" s="299" t="s">
        <v>215</v>
      </c>
      <c r="J58" s="299" t="s">
        <v>216</v>
      </c>
      <c r="K58" s="299" t="s">
        <v>215</v>
      </c>
      <c r="L58" s="299" t="s">
        <v>215</v>
      </c>
      <c r="M58" s="299" t="s">
        <v>215</v>
      </c>
      <c r="N58" s="299" t="s">
        <v>215</v>
      </c>
      <c r="O58" s="299" t="s">
        <v>217</v>
      </c>
      <c r="P58" s="299" t="s">
        <v>218</v>
      </c>
      <c r="Q58" s="299" t="s">
        <v>219</v>
      </c>
      <c r="R58" s="300" t="s">
        <v>220</v>
      </c>
      <c r="S58" s="307" t="s">
        <v>221</v>
      </c>
      <c r="T58" s="307" t="s">
        <v>221</v>
      </c>
      <c r="U58" s="299" t="s">
        <v>222</v>
      </c>
      <c r="V58" s="299" t="s">
        <v>222</v>
      </c>
      <c r="W58" s="299" t="s">
        <v>223</v>
      </c>
      <c r="X58" s="299" t="s">
        <v>224</v>
      </c>
      <c r="Y58" s="299" t="s">
        <v>225</v>
      </c>
      <c r="Z58" s="299" t="s">
        <v>225</v>
      </c>
      <c r="AA58" s="299" t="s">
        <v>225</v>
      </c>
      <c r="AB58" s="307" t="s">
        <v>221</v>
      </c>
      <c r="AC58" s="299" t="s">
        <v>226</v>
      </c>
      <c r="AD58" s="299" t="s">
        <v>227</v>
      </c>
      <c r="AE58" s="299" t="s">
        <v>226</v>
      </c>
      <c r="AF58" s="299" t="s">
        <v>228</v>
      </c>
      <c r="AG58" s="299" t="s">
        <v>228</v>
      </c>
      <c r="AH58" s="299" t="s">
        <v>229</v>
      </c>
      <c r="AI58" s="299" t="s">
        <v>230</v>
      </c>
      <c r="AJ58" s="299" t="s">
        <v>228</v>
      </c>
      <c r="AK58" s="299" t="s">
        <v>226</v>
      </c>
      <c r="AL58" s="299" t="s">
        <v>226</v>
      </c>
      <c r="AM58" s="299" t="s">
        <v>226</v>
      </c>
      <c r="AN58" s="299" t="s">
        <v>217</v>
      </c>
      <c r="AO58" s="299" t="s">
        <v>227</v>
      </c>
      <c r="AP58" s="299" t="s">
        <v>228</v>
      </c>
      <c r="AQ58" s="299" t="s">
        <v>229</v>
      </c>
      <c r="AR58" s="299" t="s">
        <v>228</v>
      </c>
      <c r="AS58" s="299" t="s">
        <v>226</v>
      </c>
      <c r="AT58" s="299" t="s">
        <v>1212</v>
      </c>
      <c r="AU58" s="299" t="s">
        <v>228</v>
      </c>
      <c r="AV58" s="307" t="s">
        <v>221</v>
      </c>
      <c r="AW58" s="307" t="s">
        <v>221</v>
      </c>
      <c r="AX58" s="307" t="s">
        <v>221</v>
      </c>
      <c r="AY58" s="299" t="s">
        <v>231</v>
      </c>
      <c r="AZ58" s="299" t="s">
        <v>231</v>
      </c>
      <c r="BA58" s="307" t="s">
        <v>221</v>
      </c>
      <c r="BB58" s="307" t="s">
        <v>221</v>
      </c>
      <c r="BC58" s="307" t="s">
        <v>221</v>
      </c>
      <c r="BD58" s="307" t="s">
        <v>221</v>
      </c>
      <c r="BE58" s="299" t="s">
        <v>232</v>
      </c>
      <c r="BF58" s="307" t="s">
        <v>221</v>
      </c>
      <c r="BG58" s="307" t="s">
        <v>221</v>
      </c>
      <c r="BH58" s="307" t="s">
        <v>221</v>
      </c>
      <c r="BI58" s="307" t="s">
        <v>221</v>
      </c>
      <c r="BJ58" s="307" t="s">
        <v>221</v>
      </c>
      <c r="BK58" s="307" t="s">
        <v>221</v>
      </c>
      <c r="BL58" s="307" t="s">
        <v>221</v>
      </c>
      <c r="BM58" s="307" t="s">
        <v>221</v>
      </c>
      <c r="BN58" s="307" t="s">
        <v>221</v>
      </c>
      <c r="BO58" s="307" t="s">
        <v>221</v>
      </c>
      <c r="BP58" s="307" t="s">
        <v>221</v>
      </c>
      <c r="BQ58" s="307" t="s">
        <v>221</v>
      </c>
      <c r="BR58" s="307" t="s">
        <v>221</v>
      </c>
      <c r="BS58" s="307" t="s">
        <v>221</v>
      </c>
      <c r="BT58" s="307" t="s">
        <v>221</v>
      </c>
      <c r="BU58" s="307" t="s">
        <v>221</v>
      </c>
      <c r="BV58" s="307" t="s">
        <v>221</v>
      </c>
      <c r="BW58" s="307" t="s">
        <v>221</v>
      </c>
      <c r="BX58" s="307" t="s">
        <v>221</v>
      </c>
      <c r="BY58" s="307" t="s">
        <v>221</v>
      </c>
      <c r="BZ58" s="307" t="s">
        <v>221</v>
      </c>
      <c r="CA58" s="307" t="s">
        <v>221</v>
      </c>
      <c r="CB58" s="307" t="s">
        <v>221</v>
      </c>
      <c r="CC58" s="307" t="s">
        <v>221</v>
      </c>
      <c r="CD58" s="307" t="s">
        <v>221</v>
      </c>
      <c r="CE58" s="307" t="s">
        <v>221</v>
      </c>
      <c r="CF58" s="2"/>
    </row>
    <row r="59" spans="1:84" ht="12.65" customHeight="1" x14ac:dyDescent="0.35">
      <c r="A59" s="304" t="s">
        <v>233</v>
      </c>
      <c r="B59" s="297"/>
      <c r="C59" s="302"/>
      <c r="D59" s="302"/>
      <c r="E59" s="302"/>
      <c r="F59" s="302"/>
      <c r="G59" s="302"/>
      <c r="H59" s="302"/>
      <c r="I59" s="302"/>
      <c r="J59" s="302"/>
      <c r="K59" s="302"/>
      <c r="L59" s="302"/>
      <c r="M59" s="302"/>
      <c r="N59" s="302"/>
      <c r="O59" s="302"/>
      <c r="P59" s="185"/>
      <c r="Q59" s="185"/>
      <c r="R59" s="185"/>
      <c r="S59" s="249"/>
      <c r="T59" s="249"/>
      <c r="U59" s="224"/>
      <c r="V59" s="185"/>
      <c r="W59" s="185"/>
      <c r="X59" s="185"/>
      <c r="Y59" s="185"/>
      <c r="Z59" s="185"/>
      <c r="AA59" s="185"/>
      <c r="AB59" s="249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9"/>
      <c r="AW59" s="249"/>
      <c r="AX59" s="249"/>
      <c r="AY59" s="185">
        <v>4752</v>
      </c>
      <c r="AZ59" s="185">
        <f>33724+38+286</f>
        <v>34048</v>
      </c>
      <c r="BA59" s="249"/>
      <c r="BB59" s="249"/>
      <c r="BC59" s="249"/>
      <c r="BD59" s="249"/>
      <c r="BE59" s="185">
        <v>85625</v>
      </c>
      <c r="BF59" s="249"/>
      <c r="BG59" s="249"/>
      <c r="BH59" s="249"/>
      <c r="BI59" s="249"/>
      <c r="BJ59" s="249"/>
      <c r="BK59" s="249"/>
      <c r="BL59" s="249"/>
      <c r="BM59" s="249"/>
      <c r="BN59" s="249"/>
      <c r="BO59" s="249"/>
      <c r="BP59" s="249"/>
      <c r="BQ59" s="249"/>
      <c r="BR59" s="249"/>
      <c r="BS59" s="249"/>
      <c r="BT59" s="249"/>
      <c r="BU59" s="249"/>
      <c r="BV59" s="249"/>
      <c r="BW59" s="249"/>
      <c r="BX59" s="249"/>
      <c r="BY59" s="249"/>
      <c r="BZ59" s="249"/>
      <c r="CA59" s="249"/>
      <c r="CB59" s="249"/>
      <c r="CC59" s="249"/>
      <c r="CD59" s="307"/>
      <c r="CE59" s="297"/>
      <c r="CF59" s="2"/>
    </row>
    <row r="60" spans="1:84" ht="12.65" customHeight="1" x14ac:dyDescent="0.35">
      <c r="A60" s="308" t="s">
        <v>234</v>
      </c>
      <c r="B60" s="297"/>
      <c r="C60" s="186"/>
      <c r="D60" s="187"/>
      <c r="E60" s="187"/>
      <c r="F60" s="223"/>
      <c r="G60" s="187"/>
      <c r="H60" s="187"/>
      <c r="I60" s="187"/>
      <c r="J60" s="223"/>
      <c r="K60" s="187"/>
      <c r="L60" s="187"/>
      <c r="M60" s="187"/>
      <c r="N60" s="187"/>
      <c r="O60" s="187"/>
      <c r="P60" s="221"/>
      <c r="Q60" s="221"/>
      <c r="R60" s="221"/>
      <c r="S60" s="221"/>
      <c r="T60" s="221"/>
      <c r="U60" s="221"/>
      <c r="V60" s="221"/>
      <c r="W60" s="221"/>
      <c r="X60" s="221"/>
      <c r="Y60" s="221"/>
      <c r="Z60" s="221"/>
      <c r="AA60" s="221"/>
      <c r="AB60" s="221"/>
      <c r="AC60" s="221"/>
      <c r="AD60" s="221"/>
      <c r="AE60" s="221"/>
      <c r="AF60" s="221"/>
      <c r="AG60" s="221"/>
      <c r="AH60" s="221"/>
      <c r="AI60" s="221"/>
      <c r="AJ60" s="221"/>
      <c r="AK60" s="221"/>
      <c r="AL60" s="221"/>
      <c r="AM60" s="221"/>
      <c r="AN60" s="221"/>
      <c r="AO60" s="221"/>
      <c r="AP60" s="221"/>
      <c r="AQ60" s="221"/>
      <c r="AR60" s="221"/>
      <c r="AS60" s="221"/>
      <c r="AT60" s="221"/>
      <c r="AU60" s="221"/>
      <c r="AV60" s="221"/>
      <c r="AW60" s="221"/>
      <c r="AX60" s="221"/>
      <c r="AY60" s="221"/>
      <c r="AZ60" s="221"/>
      <c r="BA60" s="221"/>
      <c r="BB60" s="221"/>
      <c r="BC60" s="221"/>
      <c r="BD60" s="221"/>
      <c r="BE60" s="221"/>
      <c r="BF60" s="221"/>
      <c r="BG60" s="221"/>
      <c r="BH60" s="221"/>
      <c r="BI60" s="221"/>
      <c r="BJ60" s="221"/>
      <c r="BK60" s="221"/>
      <c r="BL60" s="221"/>
      <c r="BM60" s="221"/>
      <c r="BN60" s="221"/>
      <c r="BO60" s="221"/>
      <c r="BP60" s="221"/>
      <c r="BQ60" s="221"/>
      <c r="BR60" s="221"/>
      <c r="BS60" s="221"/>
      <c r="BT60" s="221"/>
      <c r="BU60" s="221"/>
      <c r="BV60" s="221"/>
      <c r="BW60" s="221"/>
      <c r="BX60" s="221"/>
      <c r="BY60" s="221"/>
      <c r="BZ60" s="221"/>
      <c r="CA60" s="221"/>
      <c r="CB60" s="221"/>
      <c r="CC60" s="221"/>
      <c r="CD60" s="307" t="s">
        <v>221</v>
      </c>
      <c r="CE60" s="309">
        <f t="shared" ref="CE60:CE70" si="0">SUM(C60:CD60)</f>
        <v>0</v>
      </c>
      <c r="CF60" s="2"/>
    </row>
    <row r="61" spans="1:84" ht="12.65" customHeight="1" x14ac:dyDescent="0.35">
      <c r="A61" s="304" t="s">
        <v>235</v>
      </c>
      <c r="B61" s="297"/>
      <c r="C61" s="302"/>
      <c r="D61" s="302"/>
      <c r="E61" s="302">
        <v>1346064.15</v>
      </c>
      <c r="F61" s="185"/>
      <c r="G61" s="302"/>
      <c r="H61" s="302"/>
      <c r="I61" s="185"/>
      <c r="J61" s="185"/>
      <c r="K61" s="185"/>
      <c r="L61" s="185"/>
      <c r="M61" s="302">
        <v>277271.57</v>
      </c>
      <c r="N61" s="302">
        <v>234287.22</v>
      </c>
      <c r="O61" s="302"/>
      <c r="P61" s="185">
        <v>691273.08</v>
      </c>
      <c r="Q61" s="185"/>
      <c r="R61" s="185">
        <v>217618.6</v>
      </c>
      <c r="S61" s="185"/>
      <c r="T61" s="185"/>
      <c r="U61" s="185">
        <v>564173.72</v>
      </c>
      <c r="V61" s="185"/>
      <c r="W61" s="185"/>
      <c r="X61" s="185">
        <v>77739.73</v>
      </c>
      <c r="Y61" s="185">
        <v>623447.05000000005</v>
      </c>
      <c r="Z61" s="185"/>
      <c r="AA61" s="185"/>
      <c r="AB61" s="185">
        <v>240010.3</v>
      </c>
      <c r="AC61" s="185">
        <v>54649.26</v>
      </c>
      <c r="AD61" s="185"/>
      <c r="AE61" s="185">
        <v>641608.28</v>
      </c>
      <c r="AF61" s="185"/>
      <c r="AG61" s="185">
        <v>1415817.08</v>
      </c>
      <c r="AH61" s="185"/>
      <c r="AI61" s="185"/>
      <c r="AJ61" s="185">
        <v>2663615.91</v>
      </c>
      <c r="AK61" s="185"/>
      <c r="AL61" s="185"/>
      <c r="AM61" s="185"/>
      <c r="AN61" s="185"/>
      <c r="AO61" s="185"/>
      <c r="AP61" s="185"/>
      <c r="AQ61" s="185"/>
      <c r="AR61" s="185">
        <v>297890.09999999998</v>
      </c>
      <c r="AS61" s="185"/>
      <c r="AT61" s="185"/>
      <c r="AU61" s="185"/>
      <c r="AV61" s="185"/>
      <c r="AW61" s="185">
        <v>79360.77</v>
      </c>
      <c r="AX61" s="185"/>
      <c r="AY61" s="185">
        <v>271147.84000000003</v>
      </c>
      <c r="AZ61" s="185"/>
      <c r="BA61" s="185"/>
      <c r="BB61" s="185"/>
      <c r="BC61" s="185">
        <v>10159.049999999999</v>
      </c>
      <c r="BD61" s="185">
        <v>56107.95</v>
      </c>
      <c r="BE61" s="185">
        <v>448193.66</v>
      </c>
      <c r="BF61" s="185">
        <v>311676.18</v>
      </c>
      <c r="BG61" s="185"/>
      <c r="BH61" s="185">
        <v>381722.46</v>
      </c>
      <c r="BI61" s="185"/>
      <c r="BJ61" s="185">
        <v>152224.9</v>
      </c>
      <c r="BK61" s="185">
        <v>431676.36</v>
      </c>
      <c r="BL61" s="185">
        <v>184001.27</v>
      </c>
      <c r="BM61" s="185"/>
      <c r="BN61" s="185">
        <f>8696.75+853072.52</f>
        <v>861769.27</v>
      </c>
      <c r="BO61" s="185"/>
      <c r="BP61" s="185"/>
      <c r="BQ61" s="185"/>
      <c r="BR61" s="185"/>
      <c r="BS61" s="185"/>
      <c r="BT61" s="185"/>
      <c r="BU61" s="185"/>
      <c r="BV61" s="185">
        <v>294378.23999999999</v>
      </c>
      <c r="BW61" s="185"/>
      <c r="BX61" s="185"/>
      <c r="BY61" s="185">
        <v>239527.13</v>
      </c>
      <c r="BZ61" s="185"/>
      <c r="CA61" s="185"/>
      <c r="CB61" s="185"/>
      <c r="CC61" s="185">
        <v>69375.039999999994</v>
      </c>
      <c r="CD61" s="307" t="s">
        <v>221</v>
      </c>
      <c r="CE61" s="297">
        <f t="shared" si="0"/>
        <v>13136786.169999998</v>
      </c>
      <c r="CF61" s="2"/>
    </row>
    <row r="62" spans="1:84" ht="12.65" customHeight="1" x14ac:dyDescent="0.35">
      <c r="A62" s="304" t="s">
        <v>3</v>
      </c>
      <c r="B62" s="297"/>
      <c r="C62" s="297">
        <f t="shared" ref="C62:BN62" si="1">ROUND(C47+C48,0)</f>
        <v>0</v>
      </c>
      <c r="D62" s="297">
        <f t="shared" si="1"/>
        <v>0</v>
      </c>
      <c r="E62" s="297">
        <f t="shared" si="1"/>
        <v>349554</v>
      </c>
      <c r="F62" s="297">
        <f t="shared" si="1"/>
        <v>0</v>
      </c>
      <c r="G62" s="297">
        <f t="shared" si="1"/>
        <v>0</v>
      </c>
      <c r="H62" s="297">
        <f t="shared" si="1"/>
        <v>0</v>
      </c>
      <c r="I62" s="297">
        <f t="shared" si="1"/>
        <v>0</v>
      </c>
      <c r="J62" s="297">
        <f>ROUND(J47+J48,0)</f>
        <v>0</v>
      </c>
      <c r="K62" s="297">
        <f t="shared" si="1"/>
        <v>0</v>
      </c>
      <c r="L62" s="297">
        <f t="shared" si="1"/>
        <v>0</v>
      </c>
      <c r="M62" s="297">
        <f t="shared" si="1"/>
        <v>37249</v>
      </c>
      <c r="N62" s="297">
        <f t="shared" si="1"/>
        <v>47837</v>
      </c>
      <c r="O62" s="297">
        <f t="shared" si="1"/>
        <v>0</v>
      </c>
      <c r="P62" s="297">
        <f t="shared" si="1"/>
        <v>111143</v>
      </c>
      <c r="Q62" s="297">
        <f t="shared" si="1"/>
        <v>0</v>
      </c>
      <c r="R62" s="297">
        <f t="shared" si="1"/>
        <v>35370</v>
      </c>
      <c r="S62" s="297">
        <f t="shared" si="1"/>
        <v>0</v>
      </c>
      <c r="T62" s="297">
        <f t="shared" si="1"/>
        <v>0</v>
      </c>
      <c r="U62" s="297">
        <f t="shared" si="1"/>
        <v>112035</v>
      </c>
      <c r="V62" s="297">
        <f t="shared" si="1"/>
        <v>0</v>
      </c>
      <c r="W62" s="297">
        <f t="shared" si="1"/>
        <v>0</v>
      </c>
      <c r="X62" s="297">
        <f t="shared" si="1"/>
        <v>1298</v>
      </c>
      <c r="Y62" s="297">
        <f t="shared" si="1"/>
        <v>143126</v>
      </c>
      <c r="Z62" s="297">
        <f t="shared" si="1"/>
        <v>0</v>
      </c>
      <c r="AA62" s="297">
        <f t="shared" si="1"/>
        <v>0</v>
      </c>
      <c r="AB62" s="297">
        <f t="shared" si="1"/>
        <v>37722</v>
      </c>
      <c r="AC62" s="297">
        <f t="shared" si="1"/>
        <v>10267</v>
      </c>
      <c r="AD62" s="297">
        <f t="shared" si="1"/>
        <v>0</v>
      </c>
      <c r="AE62" s="297">
        <f t="shared" si="1"/>
        <v>143598</v>
      </c>
      <c r="AF62" s="297">
        <f t="shared" si="1"/>
        <v>0</v>
      </c>
      <c r="AG62" s="297">
        <f t="shared" si="1"/>
        <v>230468</v>
      </c>
      <c r="AH62" s="297">
        <f t="shared" si="1"/>
        <v>0</v>
      </c>
      <c r="AI62" s="297">
        <f t="shared" si="1"/>
        <v>0</v>
      </c>
      <c r="AJ62" s="297">
        <f t="shared" si="1"/>
        <v>665379</v>
      </c>
      <c r="AK62" s="297">
        <f t="shared" si="1"/>
        <v>0</v>
      </c>
      <c r="AL62" s="297">
        <f t="shared" si="1"/>
        <v>0</v>
      </c>
      <c r="AM62" s="297">
        <f t="shared" si="1"/>
        <v>0</v>
      </c>
      <c r="AN62" s="297">
        <f t="shared" si="1"/>
        <v>0</v>
      </c>
      <c r="AO62" s="297">
        <f t="shared" si="1"/>
        <v>0</v>
      </c>
      <c r="AP62" s="297">
        <f t="shared" si="1"/>
        <v>0</v>
      </c>
      <c r="AQ62" s="297">
        <f t="shared" si="1"/>
        <v>0</v>
      </c>
      <c r="AR62" s="297">
        <f t="shared" si="1"/>
        <v>50538</v>
      </c>
      <c r="AS62" s="297">
        <f t="shared" si="1"/>
        <v>0</v>
      </c>
      <c r="AT62" s="297">
        <f t="shared" si="1"/>
        <v>0</v>
      </c>
      <c r="AU62" s="297">
        <f t="shared" si="1"/>
        <v>0</v>
      </c>
      <c r="AV62" s="297">
        <f t="shared" si="1"/>
        <v>0</v>
      </c>
      <c r="AW62" s="297">
        <f t="shared" si="1"/>
        <v>21599</v>
      </c>
      <c r="AX62" s="297">
        <f t="shared" si="1"/>
        <v>0</v>
      </c>
      <c r="AY62" s="297">
        <f>ROUND(AY47+AY48,0)</f>
        <v>92173</v>
      </c>
      <c r="AZ62" s="297">
        <f>ROUND(AZ47+AZ48,0)</f>
        <v>0</v>
      </c>
      <c r="BA62" s="297">
        <f>ROUND(BA47+BA48,0)</f>
        <v>0</v>
      </c>
      <c r="BB62" s="297">
        <f t="shared" si="1"/>
        <v>0</v>
      </c>
      <c r="BC62" s="297">
        <f t="shared" si="1"/>
        <v>1014</v>
      </c>
      <c r="BD62" s="297">
        <f t="shared" si="1"/>
        <v>18384</v>
      </c>
      <c r="BE62" s="297">
        <f t="shared" si="1"/>
        <v>111812</v>
      </c>
      <c r="BF62" s="297">
        <f t="shared" si="1"/>
        <v>82252</v>
      </c>
      <c r="BG62" s="297">
        <f t="shared" si="1"/>
        <v>0</v>
      </c>
      <c r="BH62" s="297">
        <f t="shared" si="1"/>
        <v>97947</v>
      </c>
      <c r="BI62" s="297">
        <f t="shared" si="1"/>
        <v>0</v>
      </c>
      <c r="BJ62" s="297">
        <f t="shared" si="1"/>
        <v>29413</v>
      </c>
      <c r="BK62" s="297">
        <f t="shared" si="1"/>
        <v>126114</v>
      </c>
      <c r="BL62" s="297">
        <f t="shared" si="1"/>
        <v>53680</v>
      </c>
      <c r="BM62" s="297">
        <f t="shared" si="1"/>
        <v>0</v>
      </c>
      <c r="BN62" s="297">
        <f t="shared" si="1"/>
        <v>423742</v>
      </c>
      <c r="BO62" s="297">
        <f t="shared" ref="BO62:CC62" si="2">ROUND(BO47+BO48,0)</f>
        <v>0</v>
      </c>
      <c r="BP62" s="297">
        <f t="shared" si="2"/>
        <v>0</v>
      </c>
      <c r="BQ62" s="297">
        <f t="shared" si="2"/>
        <v>0</v>
      </c>
      <c r="BR62" s="297">
        <f t="shared" si="2"/>
        <v>0</v>
      </c>
      <c r="BS62" s="297">
        <f t="shared" si="2"/>
        <v>0</v>
      </c>
      <c r="BT62" s="297">
        <f t="shared" si="2"/>
        <v>0</v>
      </c>
      <c r="BU62" s="297">
        <f t="shared" si="2"/>
        <v>0</v>
      </c>
      <c r="BV62" s="297">
        <f t="shared" si="2"/>
        <v>115028</v>
      </c>
      <c r="BW62" s="297">
        <f t="shared" si="2"/>
        <v>0</v>
      </c>
      <c r="BX62" s="297">
        <f t="shared" si="2"/>
        <v>0</v>
      </c>
      <c r="BY62" s="297">
        <f t="shared" si="2"/>
        <v>70687</v>
      </c>
      <c r="BZ62" s="297">
        <f t="shared" si="2"/>
        <v>0</v>
      </c>
      <c r="CA62" s="297">
        <f t="shared" si="2"/>
        <v>0</v>
      </c>
      <c r="CB62" s="297">
        <f t="shared" si="2"/>
        <v>0</v>
      </c>
      <c r="CC62" s="297">
        <f t="shared" si="2"/>
        <v>6293</v>
      </c>
      <c r="CD62" s="307" t="s">
        <v>221</v>
      </c>
      <c r="CE62" s="297">
        <f t="shared" si="0"/>
        <v>3225722</v>
      </c>
      <c r="CF62" s="2"/>
    </row>
    <row r="63" spans="1:84" ht="12.65" customHeight="1" x14ac:dyDescent="0.35">
      <c r="A63" s="304" t="s">
        <v>236</v>
      </c>
      <c r="B63" s="297"/>
      <c r="C63" s="302"/>
      <c r="D63" s="302"/>
      <c r="E63" s="302">
        <v>952805.29</v>
      </c>
      <c r="F63" s="185"/>
      <c r="G63" s="302"/>
      <c r="H63" s="302"/>
      <c r="I63" s="185"/>
      <c r="J63" s="185"/>
      <c r="K63" s="185"/>
      <c r="L63" s="185"/>
      <c r="M63" s="302"/>
      <c r="N63" s="302"/>
      <c r="O63" s="302"/>
      <c r="P63" s="185">
        <v>474509.99</v>
      </c>
      <c r="Q63" s="185"/>
      <c r="R63" s="185">
        <v>104570.21</v>
      </c>
      <c r="S63" s="185"/>
      <c r="T63" s="185"/>
      <c r="U63" s="185">
        <v>107790.5</v>
      </c>
      <c r="V63" s="185"/>
      <c r="W63" s="185">
        <v>51646.080000000002</v>
      </c>
      <c r="X63" s="185">
        <v>138571.17000000001</v>
      </c>
      <c r="Y63" s="185">
        <v>246096.88</v>
      </c>
      <c r="Z63" s="185"/>
      <c r="AA63" s="185"/>
      <c r="AB63" s="185">
        <v>1969.37</v>
      </c>
      <c r="AC63" s="185"/>
      <c r="AD63" s="185"/>
      <c r="AE63" s="185">
        <v>71645</v>
      </c>
      <c r="AF63" s="185"/>
      <c r="AG63" s="185">
        <v>823770.85</v>
      </c>
      <c r="AH63" s="185"/>
      <c r="AI63" s="185"/>
      <c r="AJ63" s="185">
        <v>65946.039999999994</v>
      </c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>
        <v>10412.86</v>
      </c>
      <c r="AX63" s="185"/>
      <c r="AY63" s="185">
        <v>7887.86</v>
      </c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/>
      <c r="BK63" s="185">
        <v>24085.95</v>
      </c>
      <c r="BL63" s="185"/>
      <c r="BM63" s="185"/>
      <c r="BN63" s="185">
        <v>24690.240000000002</v>
      </c>
      <c r="BO63" s="185"/>
      <c r="BP63" s="185"/>
      <c r="BQ63" s="185"/>
      <c r="BR63" s="185"/>
      <c r="BS63" s="185"/>
      <c r="BT63" s="185"/>
      <c r="BU63" s="185"/>
      <c r="BV63" s="185"/>
      <c r="BW63" s="185"/>
      <c r="BX63" s="185"/>
      <c r="BY63" s="185"/>
      <c r="BZ63" s="185"/>
      <c r="CA63" s="185"/>
      <c r="CB63" s="185"/>
      <c r="CC63" s="185"/>
      <c r="CD63" s="307" t="s">
        <v>221</v>
      </c>
      <c r="CE63" s="297">
        <f t="shared" si="0"/>
        <v>3106398.2900000005</v>
      </c>
      <c r="CF63" s="2"/>
    </row>
    <row r="64" spans="1:84" ht="12.65" customHeight="1" x14ac:dyDescent="0.35">
      <c r="A64" s="304" t="s">
        <v>237</v>
      </c>
      <c r="B64" s="297"/>
      <c r="C64" s="302"/>
      <c r="D64" s="302"/>
      <c r="E64" s="185">
        <v>96775.86</v>
      </c>
      <c r="F64" s="185"/>
      <c r="G64" s="302"/>
      <c r="H64" s="302"/>
      <c r="I64" s="185"/>
      <c r="J64" s="185"/>
      <c r="K64" s="185"/>
      <c r="L64" s="185"/>
      <c r="M64" s="302">
        <v>66056.34</v>
      </c>
      <c r="N64" s="302">
        <v>580.5</v>
      </c>
      <c r="O64" s="302"/>
      <c r="P64" s="185">
        <v>259331.29</v>
      </c>
      <c r="Q64" s="185"/>
      <c r="R64" s="185">
        <v>14233.41</v>
      </c>
      <c r="S64" s="185"/>
      <c r="T64" s="185"/>
      <c r="U64" s="185">
        <v>347042.09</v>
      </c>
      <c r="V64" s="185"/>
      <c r="W64" s="185"/>
      <c r="X64" s="185">
        <v>47904.29</v>
      </c>
      <c r="Y64" s="185">
        <v>29845.22</v>
      </c>
      <c r="Z64" s="185"/>
      <c r="AA64" s="185"/>
      <c r="AB64" s="185">
        <v>180404.31</v>
      </c>
      <c r="AC64" s="185">
        <v>-1707.8</v>
      </c>
      <c r="AD64" s="185"/>
      <c r="AE64" s="185">
        <v>15145.2</v>
      </c>
      <c r="AF64" s="185"/>
      <c r="AG64" s="185">
        <v>67958.759999999995</v>
      </c>
      <c r="AH64" s="185"/>
      <c r="AI64" s="185"/>
      <c r="AJ64" s="185">
        <v>186311.52</v>
      </c>
      <c r="AK64" s="185"/>
      <c r="AL64" s="185"/>
      <c r="AM64" s="185"/>
      <c r="AN64" s="185"/>
      <c r="AO64" s="185"/>
      <c r="AP64" s="185"/>
      <c r="AQ64" s="185"/>
      <c r="AR64" s="185">
        <v>16062.14</v>
      </c>
      <c r="AS64" s="185"/>
      <c r="AT64" s="185"/>
      <c r="AU64" s="185"/>
      <c r="AV64" s="185"/>
      <c r="AW64" s="185">
        <v>859.9</v>
      </c>
      <c r="AX64" s="185"/>
      <c r="AY64" s="185">
        <v>180598.47</v>
      </c>
      <c r="AZ64" s="185"/>
      <c r="BA64" s="185"/>
      <c r="BB64" s="185"/>
      <c r="BC64" s="185">
        <v>3016.66</v>
      </c>
      <c r="BD64" s="185">
        <v>1139.9000000000001</v>
      </c>
      <c r="BE64" s="185">
        <v>40786.43</v>
      </c>
      <c r="BF64" s="185">
        <v>44834.14</v>
      </c>
      <c r="BG64" s="185"/>
      <c r="BH64" s="185">
        <v>49773.42</v>
      </c>
      <c r="BI64" s="185"/>
      <c r="BJ64" s="185">
        <v>5919.13</v>
      </c>
      <c r="BK64" s="185">
        <v>4561.24</v>
      </c>
      <c r="BL64" s="185">
        <v>9622.34</v>
      </c>
      <c r="BM64" s="185"/>
      <c r="BN64" s="185">
        <v>42108.63</v>
      </c>
      <c r="BO64" s="185"/>
      <c r="BP64" s="185"/>
      <c r="BQ64" s="185"/>
      <c r="BR64" s="185"/>
      <c r="BS64" s="185"/>
      <c r="BT64" s="185"/>
      <c r="BU64" s="185"/>
      <c r="BV64" s="185">
        <v>1609.79</v>
      </c>
      <c r="BW64" s="185"/>
      <c r="BX64" s="185"/>
      <c r="BY64" s="185">
        <v>1696.59</v>
      </c>
      <c r="BZ64" s="185"/>
      <c r="CA64" s="185"/>
      <c r="CB64" s="185"/>
      <c r="CC64" s="185">
        <v>7845.24</v>
      </c>
      <c r="CD64" s="307" t="s">
        <v>221</v>
      </c>
      <c r="CE64" s="297">
        <f t="shared" si="0"/>
        <v>1720315.0099999993</v>
      </c>
      <c r="CF64" s="2"/>
    </row>
    <row r="65" spans="1:84" ht="12.65" customHeight="1" x14ac:dyDescent="0.35">
      <c r="A65" s="304" t="s">
        <v>238</v>
      </c>
      <c r="B65" s="297"/>
      <c r="C65" s="302"/>
      <c r="D65" s="302"/>
      <c r="E65" s="302">
        <v>8305.01</v>
      </c>
      <c r="F65" s="302"/>
      <c r="G65" s="302"/>
      <c r="H65" s="302"/>
      <c r="I65" s="185"/>
      <c r="J65" s="302"/>
      <c r="K65" s="185"/>
      <c r="L65" s="185"/>
      <c r="M65" s="302">
        <v>416.30200000000002</v>
      </c>
      <c r="N65" s="302"/>
      <c r="O65" s="302"/>
      <c r="P65" s="185"/>
      <c r="Q65" s="185"/>
      <c r="R65" s="185"/>
      <c r="S65" s="185"/>
      <c r="T65" s="185"/>
      <c r="U65" s="185"/>
      <c r="V65" s="185"/>
      <c r="W65" s="185">
        <v>797.01</v>
      </c>
      <c r="X65" s="185">
        <v>1992.57</v>
      </c>
      <c r="Y65" s="185">
        <v>5018.09</v>
      </c>
      <c r="Z65" s="185"/>
      <c r="AA65" s="185"/>
      <c r="AB65" s="185"/>
      <c r="AC65" s="185"/>
      <c r="AD65" s="185"/>
      <c r="AE65" s="185"/>
      <c r="AF65" s="185"/>
      <c r="AG65" s="185">
        <v>319.47000000000003</v>
      </c>
      <c r="AH65" s="185"/>
      <c r="AI65" s="185"/>
      <c r="AJ65" s="185">
        <v>51216.13</v>
      </c>
      <c r="AK65" s="185"/>
      <c r="AL65" s="185"/>
      <c r="AM65" s="185"/>
      <c r="AN65" s="185"/>
      <c r="AO65" s="185"/>
      <c r="AP65" s="185"/>
      <c r="AQ65" s="185"/>
      <c r="AR65" s="185">
        <v>55.44</v>
      </c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>
        <v>241058.97</v>
      </c>
      <c r="BF65" s="185">
        <v>506.93</v>
      </c>
      <c r="BG65" s="185"/>
      <c r="BH65" s="185"/>
      <c r="BI65" s="185"/>
      <c r="BJ65" s="185"/>
      <c r="BK65" s="185"/>
      <c r="BL65" s="185"/>
      <c r="BM65" s="185"/>
      <c r="BN65" s="185"/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/>
      <c r="CD65" s="307" t="s">
        <v>221</v>
      </c>
      <c r="CE65" s="297">
        <f t="shared" si="0"/>
        <v>309685.92199999996</v>
      </c>
      <c r="CF65" s="2"/>
    </row>
    <row r="66" spans="1:84" ht="12.65" customHeight="1" x14ac:dyDescent="0.35">
      <c r="A66" s="304" t="s">
        <v>239</v>
      </c>
      <c r="B66" s="297"/>
      <c r="C66" s="302"/>
      <c r="D66" s="302"/>
      <c r="E66" s="302">
        <v>40789.72</v>
      </c>
      <c r="F66" s="302"/>
      <c r="G66" s="302"/>
      <c r="H66" s="302"/>
      <c r="I66" s="302"/>
      <c r="J66" s="302"/>
      <c r="K66" s="185"/>
      <c r="L66" s="185"/>
      <c r="M66" s="302">
        <v>1469.83</v>
      </c>
      <c r="N66" s="302">
        <v>217.69</v>
      </c>
      <c r="O66" s="185"/>
      <c r="P66" s="185">
        <v>26143.33</v>
      </c>
      <c r="Q66" s="185"/>
      <c r="R66" s="185"/>
      <c r="S66" s="302"/>
      <c r="T66" s="302"/>
      <c r="U66" s="185">
        <v>139387.82999999999</v>
      </c>
      <c r="V66" s="185"/>
      <c r="W66" s="185">
        <v>1439.38</v>
      </c>
      <c r="X66" s="185">
        <v>99021.73</v>
      </c>
      <c r="Y66" s="185">
        <v>140598.70000000001</v>
      </c>
      <c r="Z66" s="185"/>
      <c r="AA66" s="185"/>
      <c r="AB66" s="185">
        <v>86595.5</v>
      </c>
      <c r="AC66" s="185">
        <v>376.35</v>
      </c>
      <c r="AD66" s="185"/>
      <c r="AE66" s="185">
        <v>43484.61</v>
      </c>
      <c r="AF66" s="185"/>
      <c r="AG66" s="185">
        <v>13846.18</v>
      </c>
      <c r="AH66" s="185"/>
      <c r="AI66" s="185"/>
      <c r="AJ66" s="185">
        <v>149647.88</v>
      </c>
      <c r="AK66" s="185"/>
      <c r="AL66" s="185"/>
      <c r="AM66" s="185"/>
      <c r="AN66" s="185"/>
      <c r="AO66" s="185"/>
      <c r="AP66" s="185"/>
      <c r="AQ66" s="185"/>
      <c r="AR66" s="185">
        <v>16207.02</v>
      </c>
      <c r="AS66" s="185"/>
      <c r="AT66" s="185"/>
      <c r="AU66" s="185"/>
      <c r="AV66" s="185"/>
      <c r="AW66" s="185">
        <v>36.549999999999997</v>
      </c>
      <c r="AX66" s="185"/>
      <c r="AY66" s="185">
        <v>6346.33</v>
      </c>
      <c r="AZ66" s="185"/>
      <c r="BA66" s="185"/>
      <c r="BB66" s="185"/>
      <c r="BC66" s="185"/>
      <c r="BD66" s="185"/>
      <c r="BE66" s="185">
        <v>100477.56</v>
      </c>
      <c r="BF66" s="185">
        <v>117307.13</v>
      </c>
      <c r="BG66" s="185"/>
      <c r="BH66" s="185">
        <v>443589.37</v>
      </c>
      <c r="BI66" s="185"/>
      <c r="BJ66" s="185">
        <v>135608.38</v>
      </c>
      <c r="BK66" s="185">
        <v>330038.27</v>
      </c>
      <c r="BL66" s="185">
        <v>576.45000000000005</v>
      </c>
      <c r="BM66" s="185"/>
      <c r="BN66" s="185">
        <f>121433.98+23118.19+2242.44+86.23+5380.4+423.98</f>
        <v>152685.22</v>
      </c>
      <c r="BO66" s="185"/>
      <c r="BP66" s="185"/>
      <c r="BQ66" s="185"/>
      <c r="BR66" s="185"/>
      <c r="BS66" s="185"/>
      <c r="BT66" s="185"/>
      <c r="BU66" s="185"/>
      <c r="BV66" s="185">
        <v>14728.32</v>
      </c>
      <c r="BW66" s="185"/>
      <c r="BX66" s="185"/>
      <c r="BY66" s="185"/>
      <c r="BZ66" s="185"/>
      <c r="CA66" s="185"/>
      <c r="CB66" s="185"/>
      <c r="CC66" s="185"/>
      <c r="CD66" s="307" t="s">
        <v>221</v>
      </c>
      <c r="CE66" s="297">
        <f t="shared" si="0"/>
        <v>2060619.3299999998</v>
      </c>
      <c r="CF66" s="2"/>
    </row>
    <row r="67" spans="1:84" ht="12.65" customHeight="1" x14ac:dyDescent="0.35">
      <c r="A67" s="304" t="s">
        <v>6</v>
      </c>
      <c r="B67" s="297"/>
      <c r="C67" s="297">
        <f>ROUND(C51+C52,0)</f>
        <v>0</v>
      </c>
      <c r="D67" s="297">
        <f>ROUND(D51+D52,0)</f>
        <v>0</v>
      </c>
      <c r="E67" s="297">
        <f t="shared" ref="E67:BP67" si="3">ROUND(E51+E52,0)</f>
        <v>0</v>
      </c>
      <c r="F67" s="297">
        <f t="shared" si="3"/>
        <v>0</v>
      </c>
      <c r="G67" s="297">
        <f t="shared" si="3"/>
        <v>0</v>
      </c>
      <c r="H67" s="297">
        <f t="shared" si="3"/>
        <v>0</v>
      </c>
      <c r="I67" s="297">
        <f t="shared" si="3"/>
        <v>0</v>
      </c>
      <c r="J67" s="297">
        <f>ROUND(J51+J52,0)</f>
        <v>0</v>
      </c>
      <c r="K67" s="297">
        <f t="shared" si="3"/>
        <v>0</v>
      </c>
      <c r="L67" s="297">
        <f t="shared" si="3"/>
        <v>0</v>
      </c>
      <c r="M67" s="297">
        <f t="shared" si="3"/>
        <v>0</v>
      </c>
      <c r="N67" s="297">
        <f t="shared" si="3"/>
        <v>0</v>
      </c>
      <c r="O67" s="297">
        <f t="shared" si="3"/>
        <v>0</v>
      </c>
      <c r="P67" s="297">
        <f>ROUND(P51+P52,0)</f>
        <v>0</v>
      </c>
      <c r="Q67" s="297">
        <f t="shared" si="3"/>
        <v>0</v>
      </c>
      <c r="R67" s="297">
        <f t="shared" si="3"/>
        <v>0</v>
      </c>
      <c r="S67" s="297">
        <f t="shared" si="3"/>
        <v>0</v>
      </c>
      <c r="T67" s="297">
        <f t="shared" si="3"/>
        <v>0</v>
      </c>
      <c r="U67" s="297">
        <f t="shared" si="3"/>
        <v>0</v>
      </c>
      <c r="V67" s="297">
        <f t="shared" si="3"/>
        <v>0</v>
      </c>
      <c r="W67" s="297">
        <f t="shared" si="3"/>
        <v>0</v>
      </c>
      <c r="X67" s="297">
        <f t="shared" si="3"/>
        <v>0</v>
      </c>
      <c r="Y67" s="297">
        <f t="shared" si="3"/>
        <v>0</v>
      </c>
      <c r="Z67" s="297">
        <f t="shared" si="3"/>
        <v>0</v>
      </c>
      <c r="AA67" s="297">
        <f t="shared" si="3"/>
        <v>0</v>
      </c>
      <c r="AB67" s="297">
        <f t="shared" si="3"/>
        <v>0</v>
      </c>
      <c r="AC67" s="297">
        <f t="shared" si="3"/>
        <v>0</v>
      </c>
      <c r="AD67" s="297">
        <f t="shared" si="3"/>
        <v>0</v>
      </c>
      <c r="AE67" s="297">
        <f t="shared" si="3"/>
        <v>0</v>
      </c>
      <c r="AF67" s="297">
        <f t="shared" si="3"/>
        <v>0</v>
      </c>
      <c r="AG67" s="297">
        <f t="shared" si="3"/>
        <v>0</v>
      </c>
      <c r="AH67" s="297">
        <f t="shared" si="3"/>
        <v>0</v>
      </c>
      <c r="AI67" s="297">
        <f t="shared" si="3"/>
        <v>0</v>
      </c>
      <c r="AJ67" s="297">
        <f t="shared" si="3"/>
        <v>190971</v>
      </c>
      <c r="AK67" s="297">
        <f t="shared" si="3"/>
        <v>0</v>
      </c>
      <c r="AL67" s="297">
        <f t="shared" si="3"/>
        <v>0</v>
      </c>
      <c r="AM67" s="297">
        <f t="shared" si="3"/>
        <v>0</v>
      </c>
      <c r="AN67" s="297">
        <f t="shared" si="3"/>
        <v>0</v>
      </c>
      <c r="AO67" s="297">
        <f t="shared" si="3"/>
        <v>0</v>
      </c>
      <c r="AP67" s="297">
        <f t="shared" si="3"/>
        <v>0</v>
      </c>
      <c r="AQ67" s="297">
        <f t="shared" si="3"/>
        <v>0</v>
      </c>
      <c r="AR67" s="297">
        <f t="shared" si="3"/>
        <v>0</v>
      </c>
      <c r="AS67" s="297">
        <f t="shared" si="3"/>
        <v>0</v>
      </c>
      <c r="AT67" s="297">
        <f t="shared" si="3"/>
        <v>0</v>
      </c>
      <c r="AU67" s="297">
        <f t="shared" si="3"/>
        <v>0</v>
      </c>
      <c r="AV67" s="297">
        <f t="shared" si="3"/>
        <v>0</v>
      </c>
      <c r="AW67" s="297">
        <f t="shared" si="3"/>
        <v>0</v>
      </c>
      <c r="AX67" s="297">
        <f t="shared" si="3"/>
        <v>0</v>
      </c>
      <c r="AY67" s="297">
        <f t="shared" si="3"/>
        <v>0</v>
      </c>
      <c r="AZ67" s="297">
        <f>ROUND(AZ51+AZ52,0)</f>
        <v>0</v>
      </c>
      <c r="BA67" s="297">
        <f>ROUND(BA51+BA52,0)</f>
        <v>0</v>
      </c>
      <c r="BB67" s="297">
        <f t="shared" si="3"/>
        <v>0</v>
      </c>
      <c r="BC67" s="297">
        <f t="shared" si="3"/>
        <v>0</v>
      </c>
      <c r="BD67" s="297">
        <f t="shared" si="3"/>
        <v>0</v>
      </c>
      <c r="BE67" s="297">
        <f t="shared" si="3"/>
        <v>0</v>
      </c>
      <c r="BF67" s="297">
        <f t="shared" si="3"/>
        <v>0</v>
      </c>
      <c r="BG67" s="297">
        <f t="shared" si="3"/>
        <v>0</v>
      </c>
      <c r="BH67" s="297">
        <f t="shared" si="3"/>
        <v>0</v>
      </c>
      <c r="BI67" s="297">
        <f t="shared" si="3"/>
        <v>0</v>
      </c>
      <c r="BJ67" s="297">
        <f t="shared" si="3"/>
        <v>0</v>
      </c>
      <c r="BK67" s="297">
        <f t="shared" si="3"/>
        <v>0</v>
      </c>
      <c r="BL67" s="297">
        <f t="shared" si="3"/>
        <v>0</v>
      </c>
      <c r="BM67" s="297">
        <f t="shared" si="3"/>
        <v>0</v>
      </c>
      <c r="BN67" s="297">
        <f t="shared" si="3"/>
        <v>1046968</v>
      </c>
      <c r="BO67" s="297">
        <f t="shared" si="3"/>
        <v>0</v>
      </c>
      <c r="BP67" s="297">
        <f t="shared" si="3"/>
        <v>0</v>
      </c>
      <c r="BQ67" s="297">
        <f t="shared" ref="BQ67:CC67" si="4">ROUND(BQ51+BQ52,0)</f>
        <v>0</v>
      </c>
      <c r="BR67" s="297">
        <f t="shared" si="4"/>
        <v>0</v>
      </c>
      <c r="BS67" s="297">
        <f t="shared" si="4"/>
        <v>0</v>
      </c>
      <c r="BT67" s="297">
        <f t="shared" si="4"/>
        <v>0</v>
      </c>
      <c r="BU67" s="297">
        <f t="shared" si="4"/>
        <v>0</v>
      </c>
      <c r="BV67" s="297">
        <f t="shared" si="4"/>
        <v>0</v>
      </c>
      <c r="BW67" s="297">
        <f t="shared" si="4"/>
        <v>0</v>
      </c>
      <c r="BX67" s="297">
        <f t="shared" si="4"/>
        <v>0</v>
      </c>
      <c r="BY67" s="297">
        <f t="shared" si="4"/>
        <v>0</v>
      </c>
      <c r="BZ67" s="297">
        <f t="shared" si="4"/>
        <v>0</v>
      </c>
      <c r="CA67" s="297">
        <f t="shared" si="4"/>
        <v>0</v>
      </c>
      <c r="CB67" s="297">
        <f t="shared" si="4"/>
        <v>0</v>
      </c>
      <c r="CC67" s="297">
        <f t="shared" si="4"/>
        <v>0</v>
      </c>
      <c r="CD67" s="307" t="s">
        <v>221</v>
      </c>
      <c r="CE67" s="297">
        <f t="shared" si="0"/>
        <v>1237939</v>
      </c>
      <c r="CF67" s="2"/>
    </row>
    <row r="68" spans="1:84" ht="12.65" customHeight="1" x14ac:dyDescent="0.35">
      <c r="A68" s="304" t="s">
        <v>240</v>
      </c>
      <c r="B68" s="297"/>
      <c r="C68" s="302"/>
      <c r="D68" s="302"/>
      <c r="E68" s="302">
        <v>52794.39</v>
      </c>
      <c r="F68" s="302"/>
      <c r="G68" s="302"/>
      <c r="H68" s="302"/>
      <c r="I68" s="302"/>
      <c r="J68" s="302"/>
      <c r="K68" s="185"/>
      <c r="L68" s="185"/>
      <c r="M68" s="302">
        <v>8725.18</v>
      </c>
      <c r="N68" s="302"/>
      <c r="O68" s="302"/>
      <c r="P68" s="185">
        <v>9789.93</v>
      </c>
      <c r="Q68" s="185"/>
      <c r="R68" s="185"/>
      <c r="S68" s="185"/>
      <c r="T68" s="185"/>
      <c r="U68" s="185">
        <v>23830.58</v>
      </c>
      <c r="V68" s="185"/>
      <c r="W68" s="185">
        <v>248304.09</v>
      </c>
      <c r="X68" s="185"/>
      <c r="Y68" s="185">
        <v>24143.5</v>
      </c>
      <c r="Z68" s="185"/>
      <c r="AA68" s="185"/>
      <c r="AB68" s="185">
        <v>8807.1200000000008</v>
      </c>
      <c r="AC68" s="185"/>
      <c r="AD68" s="185"/>
      <c r="AE68" s="185"/>
      <c r="AF68" s="185"/>
      <c r="AG68" s="185">
        <v>21932.38</v>
      </c>
      <c r="AH68" s="185"/>
      <c r="AI68" s="185"/>
      <c r="AJ68" s="185">
        <v>10034.07</v>
      </c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/>
      <c r="AW68" s="185"/>
      <c r="AX68" s="185"/>
      <c r="AY68" s="185"/>
      <c r="AZ68" s="185"/>
      <c r="BA68" s="185"/>
      <c r="BB68" s="185"/>
      <c r="BC68" s="185"/>
      <c r="BD68" s="185"/>
      <c r="BE68" s="185">
        <v>1914.35</v>
      </c>
      <c r="BF68" s="185"/>
      <c r="BG68" s="185"/>
      <c r="BH68" s="185"/>
      <c r="BI68" s="185"/>
      <c r="BJ68" s="185">
        <v>3137.54</v>
      </c>
      <c r="BK68" s="185">
        <v>2243.4699999999998</v>
      </c>
      <c r="BL68" s="185">
        <v>1807.06</v>
      </c>
      <c r="BM68" s="185"/>
      <c r="BN68" s="185">
        <v>15703.52</v>
      </c>
      <c r="BO68" s="185"/>
      <c r="BP68" s="185"/>
      <c r="BQ68" s="185"/>
      <c r="BR68" s="185"/>
      <c r="BS68" s="185"/>
      <c r="BT68" s="185"/>
      <c r="BU68" s="185"/>
      <c r="BV68" s="185">
        <v>2243.41</v>
      </c>
      <c r="BW68" s="185"/>
      <c r="BX68" s="185"/>
      <c r="BY68" s="185"/>
      <c r="BZ68" s="185"/>
      <c r="CA68" s="185"/>
      <c r="CB68" s="185"/>
      <c r="CC68" s="185"/>
      <c r="CD68" s="307" t="s">
        <v>221</v>
      </c>
      <c r="CE68" s="297">
        <f t="shared" si="0"/>
        <v>435410.58999999991</v>
      </c>
      <c r="CF68" s="2"/>
    </row>
    <row r="69" spans="1:84" ht="12.65" customHeight="1" x14ac:dyDescent="0.35">
      <c r="A69" s="304" t="s">
        <v>241</v>
      </c>
      <c r="B69" s="297"/>
      <c r="C69" s="302"/>
      <c r="D69" s="302"/>
      <c r="E69" s="185">
        <v>23884.58</v>
      </c>
      <c r="F69" s="185"/>
      <c r="G69" s="302"/>
      <c r="H69" s="302"/>
      <c r="I69" s="185"/>
      <c r="J69" s="185"/>
      <c r="K69" s="185"/>
      <c r="L69" s="185"/>
      <c r="M69" s="302">
        <v>5977.5</v>
      </c>
      <c r="N69" s="302">
        <v>12204.07</v>
      </c>
      <c r="O69" s="302"/>
      <c r="P69" s="185">
        <v>10868.32</v>
      </c>
      <c r="Q69" s="185"/>
      <c r="R69" s="224">
        <v>1823.5</v>
      </c>
      <c r="S69" s="185"/>
      <c r="T69" s="302"/>
      <c r="U69" s="185">
        <v>7854.01</v>
      </c>
      <c r="V69" s="185"/>
      <c r="W69" s="302"/>
      <c r="X69" s="185">
        <v>3579</v>
      </c>
      <c r="Y69" s="185">
        <v>4504.46</v>
      </c>
      <c r="Z69" s="185"/>
      <c r="AA69" s="185"/>
      <c r="AB69" s="185">
        <v>5703.12</v>
      </c>
      <c r="AC69" s="185"/>
      <c r="AD69" s="185"/>
      <c r="AE69" s="185">
        <v>7925.23</v>
      </c>
      <c r="AF69" s="185"/>
      <c r="AG69" s="185">
        <v>11099.5</v>
      </c>
      <c r="AH69" s="185"/>
      <c r="AI69" s="185"/>
      <c r="AJ69" s="185">
        <v>137148.07999999999</v>
      </c>
      <c r="AK69" s="185"/>
      <c r="AL69" s="185"/>
      <c r="AM69" s="185"/>
      <c r="AN69" s="185"/>
      <c r="AO69" s="302"/>
      <c r="AP69" s="185"/>
      <c r="AQ69" s="302"/>
      <c r="AR69" s="302">
        <v>15984.9</v>
      </c>
      <c r="AS69" s="302"/>
      <c r="AT69" s="302"/>
      <c r="AU69" s="185"/>
      <c r="AV69" s="185"/>
      <c r="AW69" s="185">
        <v>2268.38</v>
      </c>
      <c r="AX69" s="185"/>
      <c r="AY69" s="185">
        <v>1798.32</v>
      </c>
      <c r="AZ69" s="185"/>
      <c r="BA69" s="185"/>
      <c r="BB69" s="185"/>
      <c r="BC69" s="185">
        <v>2323</v>
      </c>
      <c r="BD69" s="185"/>
      <c r="BE69" s="185">
        <v>54280.12</v>
      </c>
      <c r="BF69" s="185">
        <v>573.36</v>
      </c>
      <c r="BG69" s="185"/>
      <c r="BH69" s="224">
        <v>12272.14</v>
      </c>
      <c r="BI69" s="185"/>
      <c r="BJ69" s="185">
        <v>1969.95</v>
      </c>
      <c r="BK69" s="185">
        <v>61714.79</v>
      </c>
      <c r="BL69" s="185">
        <v>392.94</v>
      </c>
      <c r="BM69" s="185"/>
      <c r="BN69" s="185">
        <f>242154+535784.76</f>
        <v>777938.76</v>
      </c>
      <c r="BO69" s="185"/>
      <c r="BP69" s="185"/>
      <c r="BQ69" s="185"/>
      <c r="BR69" s="185"/>
      <c r="BS69" s="185"/>
      <c r="BT69" s="185"/>
      <c r="BU69" s="185"/>
      <c r="BV69" s="185">
        <v>1802.06</v>
      </c>
      <c r="BW69" s="185"/>
      <c r="BX69" s="185"/>
      <c r="BY69" s="185">
        <v>1317.24</v>
      </c>
      <c r="BZ69" s="185"/>
      <c r="CA69" s="185"/>
      <c r="CB69" s="185"/>
      <c r="CC69" s="185">
        <v>665.78</v>
      </c>
      <c r="CD69" s="310"/>
      <c r="CE69" s="297">
        <f t="shared" si="0"/>
        <v>1167873.1100000001</v>
      </c>
      <c r="CF69" s="2"/>
    </row>
    <row r="70" spans="1:84" ht="12.65" customHeight="1" x14ac:dyDescent="0.35">
      <c r="A70" s="304" t="s">
        <v>242</v>
      </c>
      <c r="B70" s="297"/>
      <c r="C70" s="302"/>
      <c r="D70" s="302"/>
      <c r="E70" s="302"/>
      <c r="F70" s="185"/>
      <c r="G70" s="302"/>
      <c r="H70" s="302"/>
      <c r="I70" s="302"/>
      <c r="J70" s="185"/>
      <c r="K70" s="185"/>
      <c r="L70" s="185"/>
      <c r="M70" s="302"/>
      <c r="N70" s="302"/>
      <c r="O70" s="302"/>
      <c r="P70" s="302"/>
      <c r="Q70" s="302"/>
      <c r="R70" s="302"/>
      <c r="S70" s="302"/>
      <c r="T70" s="302"/>
      <c r="U70" s="185"/>
      <c r="V70" s="302"/>
      <c r="W70" s="302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310"/>
      <c r="CE70" s="297">
        <f t="shared" si="0"/>
        <v>0</v>
      </c>
      <c r="CF70" s="2"/>
    </row>
    <row r="71" spans="1:84" ht="12.65" customHeight="1" x14ac:dyDescent="0.35">
      <c r="A71" s="304" t="s">
        <v>243</v>
      </c>
      <c r="B71" s="297"/>
      <c r="C71" s="297">
        <f>SUM(C61:C68)+C69-C70</f>
        <v>0</v>
      </c>
      <c r="D71" s="297">
        <f t="shared" ref="D71:AI71" si="5">SUM(D61:D69)-D70</f>
        <v>0</v>
      </c>
      <c r="E71" s="297">
        <f>SUM(E61:E69)-E70</f>
        <v>2870973</v>
      </c>
      <c r="F71" s="297">
        <f t="shared" si="5"/>
        <v>0</v>
      </c>
      <c r="G71" s="297">
        <f t="shared" si="5"/>
        <v>0</v>
      </c>
      <c r="H71" s="297">
        <f t="shared" si="5"/>
        <v>0</v>
      </c>
      <c r="I71" s="297">
        <f t="shared" si="5"/>
        <v>0</v>
      </c>
      <c r="J71" s="297">
        <f t="shared" si="5"/>
        <v>0</v>
      </c>
      <c r="K71" s="297">
        <f t="shared" si="5"/>
        <v>0</v>
      </c>
      <c r="L71" s="297">
        <f t="shared" si="5"/>
        <v>0</v>
      </c>
      <c r="M71" s="297">
        <f t="shared" si="5"/>
        <v>397165.72200000007</v>
      </c>
      <c r="N71" s="297">
        <f t="shared" si="5"/>
        <v>295126.48</v>
      </c>
      <c r="O71" s="297">
        <f t="shared" si="5"/>
        <v>0</v>
      </c>
      <c r="P71" s="297">
        <f>SUM(P61:P69)-P70</f>
        <v>1583058.94</v>
      </c>
      <c r="Q71" s="297">
        <f t="shared" si="5"/>
        <v>0</v>
      </c>
      <c r="R71" s="297">
        <f t="shared" si="5"/>
        <v>373615.72</v>
      </c>
      <c r="S71" s="297">
        <f t="shared" si="5"/>
        <v>0</v>
      </c>
      <c r="T71" s="297">
        <f t="shared" si="5"/>
        <v>0</v>
      </c>
      <c r="U71" s="297">
        <f t="shared" si="5"/>
        <v>1302113.7300000002</v>
      </c>
      <c r="V71" s="297">
        <f t="shared" si="5"/>
        <v>0</v>
      </c>
      <c r="W71" s="297">
        <f t="shared" si="5"/>
        <v>302186.56</v>
      </c>
      <c r="X71" s="297">
        <f t="shared" si="5"/>
        <v>370106.49</v>
      </c>
      <c r="Y71" s="297">
        <f t="shared" si="5"/>
        <v>1216779.8999999999</v>
      </c>
      <c r="Z71" s="297">
        <f t="shared" si="5"/>
        <v>0</v>
      </c>
      <c r="AA71" s="297">
        <f t="shared" si="5"/>
        <v>0</v>
      </c>
      <c r="AB71" s="297">
        <f t="shared" si="5"/>
        <v>561211.72</v>
      </c>
      <c r="AC71" s="297">
        <f t="shared" si="5"/>
        <v>63584.81</v>
      </c>
      <c r="AD71" s="297">
        <f t="shared" si="5"/>
        <v>0</v>
      </c>
      <c r="AE71" s="297">
        <f t="shared" si="5"/>
        <v>923406.32</v>
      </c>
      <c r="AF71" s="297">
        <f t="shared" si="5"/>
        <v>0</v>
      </c>
      <c r="AG71" s="297">
        <f t="shared" si="5"/>
        <v>2585212.2200000002</v>
      </c>
      <c r="AH71" s="297">
        <f t="shared" si="5"/>
        <v>0</v>
      </c>
      <c r="AI71" s="297">
        <f t="shared" si="5"/>
        <v>0</v>
      </c>
      <c r="AJ71" s="297">
        <f t="shared" ref="AJ71:BO71" si="6">SUM(AJ61:AJ69)-AJ70</f>
        <v>4120269.63</v>
      </c>
      <c r="AK71" s="297">
        <f t="shared" si="6"/>
        <v>0</v>
      </c>
      <c r="AL71" s="297">
        <f t="shared" si="6"/>
        <v>0</v>
      </c>
      <c r="AM71" s="297">
        <f t="shared" si="6"/>
        <v>0</v>
      </c>
      <c r="AN71" s="297">
        <f t="shared" si="6"/>
        <v>0</v>
      </c>
      <c r="AO71" s="297">
        <f t="shared" si="6"/>
        <v>0</v>
      </c>
      <c r="AP71" s="297">
        <f t="shared" si="6"/>
        <v>0</v>
      </c>
      <c r="AQ71" s="297">
        <f t="shared" si="6"/>
        <v>0</v>
      </c>
      <c r="AR71" s="297">
        <f t="shared" si="6"/>
        <v>396737.60000000003</v>
      </c>
      <c r="AS71" s="297">
        <f t="shared" si="6"/>
        <v>0</v>
      </c>
      <c r="AT71" s="297">
        <f t="shared" si="6"/>
        <v>0</v>
      </c>
      <c r="AU71" s="297">
        <f t="shared" si="6"/>
        <v>0</v>
      </c>
      <c r="AV71" s="297">
        <f t="shared" si="6"/>
        <v>0</v>
      </c>
      <c r="AW71" s="297">
        <f t="shared" si="6"/>
        <v>114537.46</v>
      </c>
      <c r="AX71" s="297">
        <f t="shared" si="6"/>
        <v>0</v>
      </c>
      <c r="AY71" s="297">
        <f t="shared" si="6"/>
        <v>559951.81999999995</v>
      </c>
      <c r="AZ71" s="297">
        <f t="shared" si="6"/>
        <v>0</v>
      </c>
      <c r="BA71" s="297">
        <f t="shared" si="6"/>
        <v>0</v>
      </c>
      <c r="BB71" s="297">
        <f t="shared" si="6"/>
        <v>0</v>
      </c>
      <c r="BC71" s="297">
        <f t="shared" si="6"/>
        <v>16512.71</v>
      </c>
      <c r="BD71" s="297">
        <f t="shared" si="6"/>
        <v>75631.849999999991</v>
      </c>
      <c r="BE71" s="297">
        <f t="shared" si="6"/>
        <v>998523.08999999985</v>
      </c>
      <c r="BF71" s="297">
        <f t="shared" si="6"/>
        <v>557149.74</v>
      </c>
      <c r="BG71" s="297">
        <f t="shared" si="6"/>
        <v>0</v>
      </c>
      <c r="BH71" s="297">
        <f t="shared" si="6"/>
        <v>985304.39</v>
      </c>
      <c r="BI71" s="297">
        <f t="shared" si="6"/>
        <v>0</v>
      </c>
      <c r="BJ71" s="297">
        <f t="shared" si="6"/>
        <v>328272.90000000002</v>
      </c>
      <c r="BK71" s="297">
        <f t="shared" si="6"/>
        <v>980434.08</v>
      </c>
      <c r="BL71" s="297">
        <f t="shared" si="6"/>
        <v>250080.06</v>
      </c>
      <c r="BM71" s="297">
        <f t="shared" si="6"/>
        <v>0</v>
      </c>
      <c r="BN71" s="297">
        <f t="shared" si="6"/>
        <v>3345605.6399999997</v>
      </c>
      <c r="BO71" s="297">
        <f t="shared" si="6"/>
        <v>0</v>
      </c>
      <c r="BP71" s="297">
        <f t="shared" ref="BP71:CC71" si="7">SUM(BP61:BP69)-BP70</f>
        <v>0</v>
      </c>
      <c r="BQ71" s="297">
        <f t="shared" si="7"/>
        <v>0</v>
      </c>
      <c r="BR71" s="297">
        <f t="shared" si="7"/>
        <v>0</v>
      </c>
      <c r="BS71" s="297">
        <f t="shared" si="7"/>
        <v>0</v>
      </c>
      <c r="BT71" s="297">
        <f t="shared" si="7"/>
        <v>0</v>
      </c>
      <c r="BU71" s="297">
        <f t="shared" si="7"/>
        <v>0</v>
      </c>
      <c r="BV71" s="297">
        <f t="shared" si="7"/>
        <v>429789.81999999995</v>
      </c>
      <c r="BW71" s="297">
        <f t="shared" si="7"/>
        <v>0</v>
      </c>
      <c r="BX71" s="297">
        <f t="shared" si="7"/>
        <v>0</v>
      </c>
      <c r="BY71" s="297">
        <f t="shared" si="7"/>
        <v>313227.96000000002</v>
      </c>
      <c r="BZ71" s="297">
        <f t="shared" si="7"/>
        <v>0</v>
      </c>
      <c r="CA71" s="297">
        <f t="shared" si="7"/>
        <v>0</v>
      </c>
      <c r="CB71" s="297">
        <f t="shared" si="7"/>
        <v>0</v>
      </c>
      <c r="CC71" s="297">
        <f t="shared" si="7"/>
        <v>84179.06</v>
      </c>
      <c r="CD71" s="303">
        <f>CD69-CD70</f>
        <v>0</v>
      </c>
      <c r="CE71" s="297">
        <f>SUM(CE61:CE69)-CE70</f>
        <v>26400749.421999991</v>
      </c>
      <c r="CF71" s="2"/>
    </row>
    <row r="72" spans="1:84" ht="12.65" customHeight="1" x14ac:dyDescent="0.35">
      <c r="A72" s="304" t="s">
        <v>244</v>
      </c>
      <c r="B72" s="297"/>
      <c r="C72" s="307" t="s">
        <v>221</v>
      </c>
      <c r="D72" s="307" t="s">
        <v>221</v>
      </c>
      <c r="E72" s="307" t="s">
        <v>221</v>
      </c>
      <c r="F72" s="307" t="s">
        <v>221</v>
      </c>
      <c r="G72" s="307" t="s">
        <v>221</v>
      </c>
      <c r="H72" s="307" t="s">
        <v>221</v>
      </c>
      <c r="I72" s="307" t="s">
        <v>221</v>
      </c>
      <c r="J72" s="307" t="s">
        <v>221</v>
      </c>
      <c r="K72" s="254" t="s">
        <v>221</v>
      </c>
      <c r="L72" s="307" t="s">
        <v>221</v>
      </c>
      <c r="M72" s="307" t="s">
        <v>221</v>
      </c>
      <c r="N72" s="307" t="s">
        <v>221</v>
      </c>
      <c r="O72" s="307" t="s">
        <v>221</v>
      </c>
      <c r="P72" s="307" t="s">
        <v>221</v>
      </c>
      <c r="Q72" s="307" t="s">
        <v>221</v>
      </c>
      <c r="R72" s="307" t="s">
        <v>221</v>
      </c>
      <c r="S72" s="307" t="s">
        <v>221</v>
      </c>
      <c r="T72" s="307" t="s">
        <v>221</v>
      </c>
      <c r="U72" s="307" t="s">
        <v>221</v>
      </c>
      <c r="V72" s="307" t="s">
        <v>221</v>
      </c>
      <c r="W72" s="307" t="s">
        <v>221</v>
      </c>
      <c r="X72" s="307" t="s">
        <v>221</v>
      </c>
      <c r="Y72" s="307" t="s">
        <v>221</v>
      </c>
      <c r="Z72" s="307" t="s">
        <v>221</v>
      </c>
      <c r="AA72" s="307" t="s">
        <v>221</v>
      </c>
      <c r="AB72" s="307" t="s">
        <v>221</v>
      </c>
      <c r="AC72" s="307" t="s">
        <v>221</v>
      </c>
      <c r="AD72" s="307" t="s">
        <v>221</v>
      </c>
      <c r="AE72" s="307" t="s">
        <v>221</v>
      </c>
      <c r="AF72" s="307" t="s">
        <v>221</v>
      </c>
      <c r="AG72" s="307" t="s">
        <v>221</v>
      </c>
      <c r="AH72" s="307" t="s">
        <v>221</v>
      </c>
      <c r="AI72" s="307" t="s">
        <v>221</v>
      </c>
      <c r="AJ72" s="307" t="s">
        <v>221</v>
      </c>
      <c r="AK72" s="307" t="s">
        <v>221</v>
      </c>
      <c r="AL72" s="307" t="s">
        <v>221</v>
      </c>
      <c r="AM72" s="307" t="s">
        <v>221</v>
      </c>
      <c r="AN72" s="307" t="s">
        <v>221</v>
      </c>
      <c r="AO72" s="307" t="s">
        <v>221</v>
      </c>
      <c r="AP72" s="307" t="s">
        <v>221</v>
      </c>
      <c r="AQ72" s="307" t="s">
        <v>221</v>
      </c>
      <c r="AR72" s="307" t="s">
        <v>221</v>
      </c>
      <c r="AS72" s="307" t="s">
        <v>221</v>
      </c>
      <c r="AT72" s="307" t="s">
        <v>221</v>
      </c>
      <c r="AU72" s="307" t="s">
        <v>221</v>
      </c>
      <c r="AV72" s="307" t="s">
        <v>221</v>
      </c>
      <c r="AW72" s="307" t="s">
        <v>221</v>
      </c>
      <c r="AX72" s="307" t="s">
        <v>221</v>
      </c>
      <c r="AY72" s="307" t="s">
        <v>221</v>
      </c>
      <c r="AZ72" s="307" t="s">
        <v>221</v>
      </c>
      <c r="BA72" s="307" t="s">
        <v>221</v>
      </c>
      <c r="BB72" s="307" t="s">
        <v>221</v>
      </c>
      <c r="BC72" s="307" t="s">
        <v>221</v>
      </c>
      <c r="BD72" s="307" t="s">
        <v>221</v>
      </c>
      <c r="BE72" s="307" t="s">
        <v>221</v>
      </c>
      <c r="BF72" s="307" t="s">
        <v>221</v>
      </c>
      <c r="BG72" s="307" t="s">
        <v>221</v>
      </c>
      <c r="BH72" s="307" t="s">
        <v>221</v>
      </c>
      <c r="BI72" s="307" t="s">
        <v>221</v>
      </c>
      <c r="BJ72" s="307" t="s">
        <v>221</v>
      </c>
      <c r="BK72" s="307" t="s">
        <v>221</v>
      </c>
      <c r="BL72" s="307" t="s">
        <v>221</v>
      </c>
      <c r="BM72" s="307" t="s">
        <v>221</v>
      </c>
      <c r="BN72" s="307" t="s">
        <v>221</v>
      </c>
      <c r="BO72" s="307" t="s">
        <v>221</v>
      </c>
      <c r="BP72" s="307" t="s">
        <v>221</v>
      </c>
      <c r="BQ72" s="307" t="s">
        <v>221</v>
      </c>
      <c r="BR72" s="307" t="s">
        <v>221</v>
      </c>
      <c r="BS72" s="307" t="s">
        <v>221</v>
      </c>
      <c r="BT72" s="307" t="s">
        <v>221</v>
      </c>
      <c r="BU72" s="307" t="s">
        <v>221</v>
      </c>
      <c r="BV72" s="307" t="s">
        <v>221</v>
      </c>
      <c r="BW72" s="307" t="s">
        <v>221</v>
      </c>
      <c r="BX72" s="307" t="s">
        <v>221</v>
      </c>
      <c r="BY72" s="307" t="s">
        <v>221</v>
      </c>
      <c r="BZ72" s="307" t="s">
        <v>221</v>
      </c>
      <c r="CA72" s="307" t="s">
        <v>221</v>
      </c>
      <c r="CB72" s="307" t="s">
        <v>221</v>
      </c>
      <c r="CC72" s="307" t="s">
        <v>221</v>
      </c>
      <c r="CD72" s="307" t="s">
        <v>221</v>
      </c>
      <c r="CE72" s="310"/>
      <c r="CF72" s="2"/>
    </row>
    <row r="73" spans="1:84" ht="12.65" customHeight="1" x14ac:dyDescent="0.35">
      <c r="A73" s="304" t="s">
        <v>245</v>
      </c>
      <c r="B73" s="297"/>
      <c r="C73" s="302"/>
      <c r="D73" s="302"/>
      <c r="E73" s="185">
        <v>1726207.2</v>
      </c>
      <c r="F73" s="185"/>
      <c r="G73" s="302"/>
      <c r="H73" s="302"/>
      <c r="I73" s="185"/>
      <c r="J73" s="185"/>
      <c r="K73" s="185"/>
      <c r="L73" s="185"/>
      <c r="M73" s="302"/>
      <c r="N73" s="302"/>
      <c r="O73" s="302"/>
      <c r="P73" s="185">
        <v>8073</v>
      </c>
      <c r="Q73" s="185"/>
      <c r="R73" s="185">
        <v>3990</v>
      </c>
      <c r="S73" s="185"/>
      <c r="T73" s="185"/>
      <c r="U73" s="185">
        <v>255626.71</v>
      </c>
      <c r="V73" s="185"/>
      <c r="W73" s="185">
        <v>45563</v>
      </c>
      <c r="X73" s="185">
        <v>152787</v>
      </c>
      <c r="Y73" s="185">
        <v>246652</v>
      </c>
      <c r="Z73" s="185"/>
      <c r="AA73" s="185"/>
      <c r="AB73" s="185">
        <v>654020.57999999996</v>
      </c>
      <c r="AC73" s="185">
        <v>49346</v>
      </c>
      <c r="AD73" s="185"/>
      <c r="AE73" s="185">
        <v>183699</v>
      </c>
      <c r="AF73" s="185"/>
      <c r="AG73" s="185">
        <v>91392</v>
      </c>
      <c r="AH73" s="185"/>
      <c r="AI73" s="185"/>
      <c r="AJ73" s="185"/>
      <c r="AK73" s="185"/>
      <c r="AL73" s="185"/>
      <c r="AM73" s="185"/>
      <c r="AN73" s="185"/>
      <c r="AO73" s="185"/>
      <c r="AP73" s="185"/>
      <c r="AQ73" s="185"/>
      <c r="AR73" s="185"/>
      <c r="AS73" s="185"/>
      <c r="AT73" s="185"/>
      <c r="AU73" s="185"/>
      <c r="AV73" s="185"/>
      <c r="AW73" s="307" t="s">
        <v>221</v>
      </c>
      <c r="AX73" s="307" t="s">
        <v>221</v>
      </c>
      <c r="AY73" s="307" t="s">
        <v>221</v>
      </c>
      <c r="AZ73" s="307" t="s">
        <v>221</v>
      </c>
      <c r="BA73" s="307" t="s">
        <v>221</v>
      </c>
      <c r="BB73" s="307" t="s">
        <v>221</v>
      </c>
      <c r="BC73" s="307" t="s">
        <v>221</v>
      </c>
      <c r="BD73" s="307" t="s">
        <v>221</v>
      </c>
      <c r="BE73" s="307" t="s">
        <v>221</v>
      </c>
      <c r="BF73" s="307" t="s">
        <v>221</v>
      </c>
      <c r="BG73" s="307" t="s">
        <v>221</v>
      </c>
      <c r="BH73" s="307" t="s">
        <v>221</v>
      </c>
      <c r="BI73" s="307" t="s">
        <v>221</v>
      </c>
      <c r="BJ73" s="307" t="s">
        <v>221</v>
      </c>
      <c r="BK73" s="307" t="s">
        <v>221</v>
      </c>
      <c r="BL73" s="307" t="s">
        <v>221</v>
      </c>
      <c r="BM73" s="307" t="s">
        <v>221</v>
      </c>
      <c r="BN73" s="307" t="s">
        <v>221</v>
      </c>
      <c r="BO73" s="307" t="s">
        <v>221</v>
      </c>
      <c r="BP73" s="307" t="s">
        <v>221</v>
      </c>
      <c r="BQ73" s="307" t="s">
        <v>221</v>
      </c>
      <c r="BR73" s="307" t="s">
        <v>221</v>
      </c>
      <c r="BS73" s="307" t="s">
        <v>221</v>
      </c>
      <c r="BT73" s="307" t="s">
        <v>221</v>
      </c>
      <c r="BU73" s="307" t="s">
        <v>221</v>
      </c>
      <c r="BV73" s="307" t="s">
        <v>221</v>
      </c>
      <c r="BW73" s="307" t="s">
        <v>221</v>
      </c>
      <c r="BX73" s="307" t="s">
        <v>221</v>
      </c>
      <c r="BY73" s="307" t="s">
        <v>221</v>
      </c>
      <c r="BZ73" s="307" t="s">
        <v>221</v>
      </c>
      <c r="CA73" s="307" t="s">
        <v>221</v>
      </c>
      <c r="CB73" s="307" t="s">
        <v>221</v>
      </c>
      <c r="CC73" s="307" t="s">
        <v>221</v>
      </c>
      <c r="CD73" s="307" t="s">
        <v>221</v>
      </c>
      <c r="CE73" s="297">
        <f t="shared" ref="CE73:CE80" si="8">SUM(C73:CD73)</f>
        <v>3417356.49</v>
      </c>
      <c r="CF73" s="2"/>
    </row>
    <row r="74" spans="1:84" ht="12.65" customHeight="1" x14ac:dyDescent="0.35">
      <c r="A74" s="304" t="s">
        <v>246</v>
      </c>
      <c r="B74" s="297"/>
      <c r="C74" s="302"/>
      <c r="D74" s="302"/>
      <c r="E74" s="185">
        <v>918126.67</v>
      </c>
      <c r="F74" s="185"/>
      <c r="G74" s="302"/>
      <c r="H74" s="302"/>
      <c r="I74" s="302"/>
      <c r="J74" s="185"/>
      <c r="K74" s="185"/>
      <c r="L74" s="185"/>
      <c r="M74" s="302">
        <v>677430</v>
      </c>
      <c r="N74" s="302">
        <v>549689</v>
      </c>
      <c r="O74" s="302"/>
      <c r="P74" s="185">
        <v>2868411.3</v>
      </c>
      <c r="Q74" s="185"/>
      <c r="R74" s="185">
        <v>273058</v>
      </c>
      <c r="S74" s="185"/>
      <c r="T74" s="185"/>
      <c r="U74" s="185">
        <v>5093331.6900000004</v>
      </c>
      <c r="V74" s="185"/>
      <c r="W74" s="185">
        <v>1504890</v>
      </c>
      <c r="X74" s="185">
        <v>4864076</v>
      </c>
      <c r="Y74" s="185">
        <v>4698013.82</v>
      </c>
      <c r="Z74" s="185"/>
      <c r="AA74" s="185"/>
      <c r="AB74" s="185">
        <v>1248165.57</v>
      </c>
      <c r="AC74" s="185">
        <v>178306.92</v>
      </c>
      <c r="AD74" s="185"/>
      <c r="AE74" s="185">
        <v>1930777.39</v>
      </c>
      <c r="AF74" s="185"/>
      <c r="AG74" s="185">
        <v>10228824.76</v>
      </c>
      <c r="AH74" s="185"/>
      <c r="AI74" s="185"/>
      <c r="AJ74" s="185">
        <v>5735843.0599999996</v>
      </c>
      <c r="AK74" s="185"/>
      <c r="AL74" s="185"/>
      <c r="AM74" s="185"/>
      <c r="AN74" s="185"/>
      <c r="AO74" s="185"/>
      <c r="AP74" s="185"/>
      <c r="AQ74" s="185"/>
      <c r="AR74" s="185">
        <v>525605.06000000006</v>
      </c>
      <c r="AS74" s="185"/>
      <c r="AT74" s="185"/>
      <c r="AU74" s="185"/>
      <c r="AV74" s="185">
        <v>82455.5</v>
      </c>
      <c r="AW74" s="307" t="s">
        <v>221</v>
      </c>
      <c r="AX74" s="307" t="s">
        <v>221</v>
      </c>
      <c r="AY74" s="307" t="s">
        <v>221</v>
      </c>
      <c r="AZ74" s="307" t="s">
        <v>221</v>
      </c>
      <c r="BA74" s="307" t="s">
        <v>221</v>
      </c>
      <c r="BB74" s="307" t="s">
        <v>221</v>
      </c>
      <c r="BC74" s="307" t="s">
        <v>221</v>
      </c>
      <c r="BD74" s="307" t="s">
        <v>221</v>
      </c>
      <c r="BE74" s="307" t="s">
        <v>221</v>
      </c>
      <c r="BF74" s="307" t="s">
        <v>221</v>
      </c>
      <c r="BG74" s="307" t="s">
        <v>221</v>
      </c>
      <c r="BH74" s="307" t="s">
        <v>221</v>
      </c>
      <c r="BI74" s="307" t="s">
        <v>221</v>
      </c>
      <c r="BJ74" s="307" t="s">
        <v>221</v>
      </c>
      <c r="BK74" s="307" t="s">
        <v>221</v>
      </c>
      <c r="BL74" s="307" t="s">
        <v>221</v>
      </c>
      <c r="BM74" s="307" t="s">
        <v>221</v>
      </c>
      <c r="BN74" s="307" t="s">
        <v>221</v>
      </c>
      <c r="BO74" s="307" t="s">
        <v>221</v>
      </c>
      <c r="BP74" s="307" t="s">
        <v>221</v>
      </c>
      <c r="BQ74" s="307" t="s">
        <v>221</v>
      </c>
      <c r="BR74" s="307" t="s">
        <v>221</v>
      </c>
      <c r="BS74" s="307" t="s">
        <v>221</v>
      </c>
      <c r="BT74" s="307" t="s">
        <v>221</v>
      </c>
      <c r="BU74" s="307" t="s">
        <v>221</v>
      </c>
      <c r="BV74" s="307" t="s">
        <v>221</v>
      </c>
      <c r="BW74" s="307" t="s">
        <v>221</v>
      </c>
      <c r="BX74" s="307" t="s">
        <v>221</v>
      </c>
      <c r="BY74" s="307" t="s">
        <v>221</v>
      </c>
      <c r="BZ74" s="307" t="s">
        <v>221</v>
      </c>
      <c r="CA74" s="307" t="s">
        <v>221</v>
      </c>
      <c r="CB74" s="307" t="s">
        <v>221</v>
      </c>
      <c r="CC74" s="307" t="s">
        <v>221</v>
      </c>
      <c r="CD74" s="307" t="s">
        <v>221</v>
      </c>
      <c r="CE74" s="297">
        <f t="shared" si="8"/>
        <v>41377004.74000001</v>
      </c>
      <c r="CF74" s="2"/>
    </row>
    <row r="75" spans="1:84" ht="12.65" customHeight="1" x14ac:dyDescent="0.35">
      <c r="A75" s="304" t="s">
        <v>247</v>
      </c>
      <c r="B75" s="297"/>
      <c r="C75" s="297">
        <f t="shared" ref="C75:AV75" si="9">SUM(C73:C74)</f>
        <v>0</v>
      </c>
      <c r="D75" s="297">
        <f t="shared" si="9"/>
        <v>0</v>
      </c>
      <c r="E75" s="297">
        <f t="shared" si="9"/>
        <v>2644333.87</v>
      </c>
      <c r="F75" s="297">
        <f t="shared" si="9"/>
        <v>0</v>
      </c>
      <c r="G75" s="297">
        <f t="shared" si="9"/>
        <v>0</v>
      </c>
      <c r="H75" s="297">
        <f t="shared" si="9"/>
        <v>0</v>
      </c>
      <c r="I75" s="297">
        <f t="shared" si="9"/>
        <v>0</v>
      </c>
      <c r="J75" s="297">
        <f t="shared" si="9"/>
        <v>0</v>
      </c>
      <c r="K75" s="297">
        <f t="shared" si="9"/>
        <v>0</v>
      </c>
      <c r="L75" s="297">
        <f t="shared" si="9"/>
        <v>0</v>
      </c>
      <c r="M75" s="297">
        <f t="shared" si="9"/>
        <v>677430</v>
      </c>
      <c r="N75" s="297">
        <f t="shared" si="9"/>
        <v>549689</v>
      </c>
      <c r="O75" s="297">
        <f t="shared" si="9"/>
        <v>0</v>
      </c>
      <c r="P75" s="297">
        <f t="shared" si="9"/>
        <v>2876484.3</v>
      </c>
      <c r="Q75" s="297">
        <f t="shared" si="9"/>
        <v>0</v>
      </c>
      <c r="R75" s="297">
        <f t="shared" si="9"/>
        <v>277048</v>
      </c>
      <c r="S75" s="297">
        <f t="shared" si="9"/>
        <v>0</v>
      </c>
      <c r="T75" s="297">
        <f t="shared" si="9"/>
        <v>0</v>
      </c>
      <c r="U75" s="297">
        <f t="shared" si="9"/>
        <v>5348958.4000000004</v>
      </c>
      <c r="V75" s="297">
        <f t="shared" si="9"/>
        <v>0</v>
      </c>
      <c r="W75" s="297">
        <f t="shared" si="9"/>
        <v>1550453</v>
      </c>
      <c r="X75" s="297">
        <f t="shared" si="9"/>
        <v>5016863</v>
      </c>
      <c r="Y75" s="297">
        <f t="shared" si="9"/>
        <v>4944665.82</v>
      </c>
      <c r="Z75" s="297">
        <f t="shared" si="9"/>
        <v>0</v>
      </c>
      <c r="AA75" s="297">
        <f t="shared" si="9"/>
        <v>0</v>
      </c>
      <c r="AB75" s="297">
        <f t="shared" si="9"/>
        <v>1902186.15</v>
      </c>
      <c r="AC75" s="297">
        <f t="shared" si="9"/>
        <v>227652.92</v>
      </c>
      <c r="AD75" s="297">
        <f t="shared" si="9"/>
        <v>0</v>
      </c>
      <c r="AE75" s="297">
        <f t="shared" si="9"/>
        <v>2114476.3899999997</v>
      </c>
      <c r="AF75" s="297">
        <f t="shared" si="9"/>
        <v>0</v>
      </c>
      <c r="AG75" s="297">
        <f t="shared" si="9"/>
        <v>10320216.76</v>
      </c>
      <c r="AH75" s="297">
        <f t="shared" si="9"/>
        <v>0</v>
      </c>
      <c r="AI75" s="297">
        <f t="shared" si="9"/>
        <v>0</v>
      </c>
      <c r="AJ75" s="297">
        <f t="shared" si="9"/>
        <v>5735843.0599999996</v>
      </c>
      <c r="AK75" s="297">
        <f t="shared" si="9"/>
        <v>0</v>
      </c>
      <c r="AL75" s="297">
        <f t="shared" si="9"/>
        <v>0</v>
      </c>
      <c r="AM75" s="297">
        <f t="shared" si="9"/>
        <v>0</v>
      </c>
      <c r="AN75" s="297">
        <f t="shared" si="9"/>
        <v>0</v>
      </c>
      <c r="AO75" s="297">
        <f t="shared" si="9"/>
        <v>0</v>
      </c>
      <c r="AP75" s="297">
        <f t="shared" si="9"/>
        <v>0</v>
      </c>
      <c r="AQ75" s="297">
        <f t="shared" si="9"/>
        <v>0</v>
      </c>
      <c r="AR75" s="297">
        <f t="shared" si="9"/>
        <v>525605.06000000006</v>
      </c>
      <c r="AS75" s="297">
        <f t="shared" si="9"/>
        <v>0</v>
      </c>
      <c r="AT75" s="297">
        <f t="shared" si="9"/>
        <v>0</v>
      </c>
      <c r="AU75" s="297">
        <f t="shared" si="9"/>
        <v>0</v>
      </c>
      <c r="AV75" s="297">
        <f t="shared" si="9"/>
        <v>82455.5</v>
      </c>
      <c r="AW75" s="307" t="s">
        <v>221</v>
      </c>
      <c r="AX75" s="307" t="s">
        <v>221</v>
      </c>
      <c r="AY75" s="307" t="s">
        <v>221</v>
      </c>
      <c r="AZ75" s="307" t="s">
        <v>221</v>
      </c>
      <c r="BA75" s="307" t="s">
        <v>221</v>
      </c>
      <c r="BB75" s="307" t="s">
        <v>221</v>
      </c>
      <c r="BC75" s="307" t="s">
        <v>221</v>
      </c>
      <c r="BD75" s="307" t="s">
        <v>221</v>
      </c>
      <c r="BE75" s="307" t="s">
        <v>221</v>
      </c>
      <c r="BF75" s="307" t="s">
        <v>221</v>
      </c>
      <c r="BG75" s="307" t="s">
        <v>221</v>
      </c>
      <c r="BH75" s="307" t="s">
        <v>221</v>
      </c>
      <c r="BI75" s="307" t="s">
        <v>221</v>
      </c>
      <c r="BJ75" s="307" t="s">
        <v>221</v>
      </c>
      <c r="BK75" s="307" t="s">
        <v>221</v>
      </c>
      <c r="BL75" s="307" t="s">
        <v>221</v>
      </c>
      <c r="BM75" s="307" t="s">
        <v>221</v>
      </c>
      <c r="BN75" s="307" t="s">
        <v>221</v>
      </c>
      <c r="BO75" s="307" t="s">
        <v>221</v>
      </c>
      <c r="BP75" s="307" t="s">
        <v>221</v>
      </c>
      <c r="BQ75" s="307" t="s">
        <v>221</v>
      </c>
      <c r="BR75" s="307" t="s">
        <v>221</v>
      </c>
      <c r="BS75" s="307" t="s">
        <v>221</v>
      </c>
      <c r="BT75" s="307" t="s">
        <v>221</v>
      </c>
      <c r="BU75" s="307" t="s">
        <v>221</v>
      </c>
      <c r="BV75" s="307" t="s">
        <v>221</v>
      </c>
      <c r="BW75" s="307" t="s">
        <v>221</v>
      </c>
      <c r="BX75" s="307" t="s">
        <v>221</v>
      </c>
      <c r="BY75" s="307" t="s">
        <v>221</v>
      </c>
      <c r="BZ75" s="307" t="s">
        <v>221</v>
      </c>
      <c r="CA75" s="307" t="s">
        <v>221</v>
      </c>
      <c r="CB75" s="307" t="s">
        <v>221</v>
      </c>
      <c r="CC75" s="307" t="s">
        <v>221</v>
      </c>
      <c r="CD75" s="307" t="s">
        <v>221</v>
      </c>
      <c r="CE75" s="297">
        <f t="shared" si="8"/>
        <v>44794361.230000004</v>
      </c>
      <c r="CF75" s="2"/>
    </row>
    <row r="76" spans="1:84" ht="12.65" customHeight="1" x14ac:dyDescent="0.35">
      <c r="A76" s="304" t="s">
        <v>248</v>
      </c>
      <c r="B76" s="297"/>
      <c r="C76" s="302"/>
      <c r="D76" s="302"/>
      <c r="E76" s="185">
        <v>5592</v>
      </c>
      <c r="F76" s="185"/>
      <c r="G76" s="302"/>
      <c r="H76" s="302"/>
      <c r="I76" s="185"/>
      <c r="J76" s="185"/>
      <c r="K76" s="185"/>
      <c r="L76" s="185"/>
      <c r="M76" s="185"/>
      <c r="N76" s="185"/>
      <c r="O76" s="185"/>
      <c r="P76" s="185">
        <v>5691</v>
      </c>
      <c r="Q76" s="185"/>
      <c r="R76" s="185"/>
      <c r="S76" s="185"/>
      <c r="T76" s="185"/>
      <c r="U76" s="185">
        <v>1784</v>
      </c>
      <c r="V76" s="185"/>
      <c r="W76" s="185"/>
      <c r="X76" s="185">
        <v>621</v>
      </c>
      <c r="Y76" s="185">
        <v>2257</v>
      </c>
      <c r="Z76" s="185"/>
      <c r="AA76" s="185"/>
      <c r="AB76" s="185">
        <v>239</v>
      </c>
      <c r="AC76" s="185">
        <v>342</v>
      </c>
      <c r="AD76" s="185"/>
      <c r="AE76" s="185">
        <v>4611</v>
      </c>
      <c r="AF76" s="185"/>
      <c r="AG76" s="185">
        <v>2054</v>
      </c>
      <c r="AH76" s="185"/>
      <c r="AI76" s="185"/>
      <c r="AJ76" s="185">
        <v>12898</v>
      </c>
      <c r="AK76" s="185"/>
      <c r="AL76" s="185"/>
      <c r="AM76" s="185"/>
      <c r="AN76" s="185"/>
      <c r="AO76" s="185"/>
      <c r="AP76" s="185"/>
      <c r="AQ76" s="185"/>
      <c r="AR76" s="185">
        <v>987</v>
      </c>
      <c r="AS76" s="185"/>
      <c r="AT76" s="185"/>
      <c r="AU76" s="185"/>
      <c r="AV76" s="185"/>
      <c r="AW76" s="185"/>
      <c r="AX76" s="185"/>
      <c r="AY76" s="185">
        <v>1202</v>
      </c>
      <c r="AZ76" s="185">
        <v>1067</v>
      </c>
      <c r="BA76" s="185"/>
      <c r="BB76" s="185"/>
      <c r="BC76" s="185"/>
      <c r="BD76" s="185">
        <v>883</v>
      </c>
      <c r="BE76" s="185">
        <v>33563</v>
      </c>
      <c r="BF76" s="185">
        <v>1332</v>
      </c>
      <c r="BG76" s="185"/>
      <c r="BH76" s="185">
        <v>1571</v>
      </c>
      <c r="BI76" s="185"/>
      <c r="BJ76" s="185">
        <v>700</v>
      </c>
      <c r="BK76" s="185">
        <v>1730</v>
      </c>
      <c r="BL76" s="185">
        <v>410</v>
      </c>
      <c r="BM76" s="185"/>
      <c r="BN76" s="185">
        <v>4373</v>
      </c>
      <c r="BO76" s="185"/>
      <c r="BP76" s="185"/>
      <c r="BQ76" s="185"/>
      <c r="BR76" s="185"/>
      <c r="BS76" s="185"/>
      <c r="BT76" s="185"/>
      <c r="BU76" s="185"/>
      <c r="BV76" s="185">
        <v>1031</v>
      </c>
      <c r="BW76" s="185"/>
      <c r="BX76" s="185"/>
      <c r="BY76" s="185">
        <v>112</v>
      </c>
      <c r="BZ76" s="185"/>
      <c r="CA76" s="185"/>
      <c r="CB76" s="185"/>
      <c r="CC76" s="185">
        <v>575</v>
      </c>
      <c r="CD76" s="307" t="s">
        <v>221</v>
      </c>
      <c r="CE76" s="297">
        <f t="shared" si="8"/>
        <v>85625</v>
      </c>
      <c r="CF76" s="297">
        <f>BE59-CE76</f>
        <v>0</v>
      </c>
    </row>
    <row r="77" spans="1:84" ht="12.65" customHeight="1" x14ac:dyDescent="0.35">
      <c r="A77" s="304" t="s">
        <v>249</v>
      </c>
      <c r="B77" s="297"/>
      <c r="C77" s="302"/>
      <c r="D77" s="302"/>
      <c r="E77" s="302">
        <v>4752</v>
      </c>
      <c r="F77" s="302"/>
      <c r="G77" s="302"/>
      <c r="H77" s="302"/>
      <c r="I77" s="302"/>
      <c r="J77" s="302"/>
      <c r="K77" s="302"/>
      <c r="L77" s="302"/>
      <c r="M77" s="302"/>
      <c r="N77" s="302"/>
      <c r="O77" s="302"/>
      <c r="P77" s="302"/>
      <c r="Q77" s="302"/>
      <c r="R77" s="302"/>
      <c r="S77" s="302"/>
      <c r="T77" s="302"/>
      <c r="U77" s="302"/>
      <c r="V77" s="302"/>
      <c r="W77" s="302"/>
      <c r="X77" s="302"/>
      <c r="Y77" s="302"/>
      <c r="Z77" s="302"/>
      <c r="AA77" s="302"/>
      <c r="AB77" s="302"/>
      <c r="AC77" s="302"/>
      <c r="AD77" s="302"/>
      <c r="AE77" s="302"/>
      <c r="AF77" s="302"/>
      <c r="AG77" s="302"/>
      <c r="AH77" s="302"/>
      <c r="AI77" s="302"/>
      <c r="AJ77" s="302"/>
      <c r="AK77" s="302"/>
      <c r="AL77" s="302"/>
      <c r="AM77" s="302"/>
      <c r="AN77" s="302"/>
      <c r="AO77" s="302"/>
      <c r="AP77" s="302"/>
      <c r="AQ77" s="302"/>
      <c r="AR77" s="302"/>
      <c r="AS77" s="302"/>
      <c r="AT77" s="302"/>
      <c r="AU77" s="302"/>
      <c r="AV77" s="302"/>
      <c r="AW77" s="302"/>
      <c r="AX77" s="307" t="s">
        <v>221</v>
      </c>
      <c r="AY77" s="307" t="s">
        <v>221</v>
      </c>
      <c r="AZ77" s="302"/>
      <c r="BA77" s="302"/>
      <c r="BB77" s="302"/>
      <c r="BC77" s="302"/>
      <c r="BD77" s="307" t="s">
        <v>221</v>
      </c>
      <c r="BE77" s="307" t="s">
        <v>221</v>
      </c>
      <c r="BF77" s="302"/>
      <c r="BG77" s="307" t="s">
        <v>221</v>
      </c>
      <c r="BH77" s="302"/>
      <c r="BI77" s="302"/>
      <c r="BJ77" s="307" t="s">
        <v>221</v>
      </c>
      <c r="BK77" s="302"/>
      <c r="BL77" s="302"/>
      <c r="BM77" s="302"/>
      <c r="BN77" s="307" t="s">
        <v>221</v>
      </c>
      <c r="BO77" s="307" t="s">
        <v>221</v>
      </c>
      <c r="BP77" s="307" t="s">
        <v>221</v>
      </c>
      <c r="BQ77" s="307" t="s">
        <v>221</v>
      </c>
      <c r="BR77" s="302"/>
      <c r="BS77" s="302"/>
      <c r="BT77" s="302"/>
      <c r="BU77" s="302"/>
      <c r="BV77" s="302"/>
      <c r="BW77" s="302"/>
      <c r="BX77" s="302"/>
      <c r="BY77" s="302"/>
      <c r="BZ77" s="302"/>
      <c r="CA77" s="302"/>
      <c r="CB77" s="302"/>
      <c r="CC77" s="307" t="s">
        <v>221</v>
      </c>
      <c r="CD77" s="307" t="s">
        <v>221</v>
      </c>
      <c r="CE77" s="297">
        <f>SUM(C77:CD77)</f>
        <v>4752</v>
      </c>
      <c r="CF77" s="297">
        <f>AY59-CE77</f>
        <v>0</v>
      </c>
    </row>
    <row r="78" spans="1:84" ht="12.65" customHeight="1" x14ac:dyDescent="0.35">
      <c r="A78" s="304" t="s">
        <v>250</v>
      </c>
      <c r="B78" s="297"/>
      <c r="C78" s="302"/>
      <c r="D78" s="302"/>
      <c r="E78" s="302"/>
      <c r="F78" s="302"/>
      <c r="G78" s="302"/>
      <c r="H78" s="302"/>
      <c r="I78" s="302"/>
      <c r="J78" s="302"/>
      <c r="K78" s="302"/>
      <c r="L78" s="302"/>
      <c r="M78" s="302"/>
      <c r="N78" s="302"/>
      <c r="O78" s="302"/>
      <c r="P78" s="302"/>
      <c r="Q78" s="302"/>
      <c r="R78" s="302"/>
      <c r="S78" s="302"/>
      <c r="T78" s="302"/>
      <c r="U78" s="302"/>
      <c r="V78" s="302"/>
      <c r="W78" s="302"/>
      <c r="X78" s="302"/>
      <c r="Y78" s="302"/>
      <c r="Z78" s="302"/>
      <c r="AA78" s="302"/>
      <c r="AB78" s="302"/>
      <c r="AC78" s="302"/>
      <c r="AD78" s="302"/>
      <c r="AE78" s="302"/>
      <c r="AF78" s="302"/>
      <c r="AG78" s="302"/>
      <c r="AH78" s="302"/>
      <c r="AI78" s="302"/>
      <c r="AJ78" s="302"/>
      <c r="AK78" s="302"/>
      <c r="AL78" s="302"/>
      <c r="AM78" s="302"/>
      <c r="AN78" s="302"/>
      <c r="AO78" s="302"/>
      <c r="AP78" s="302"/>
      <c r="AQ78" s="302"/>
      <c r="AR78" s="302"/>
      <c r="AS78" s="302"/>
      <c r="AT78" s="302"/>
      <c r="AU78" s="302"/>
      <c r="AV78" s="302"/>
      <c r="AW78" s="302"/>
      <c r="AX78" s="307" t="s">
        <v>221</v>
      </c>
      <c r="AY78" s="307" t="s">
        <v>221</v>
      </c>
      <c r="AZ78" s="307" t="s">
        <v>221</v>
      </c>
      <c r="BA78" s="302"/>
      <c r="BB78" s="302"/>
      <c r="BC78" s="302"/>
      <c r="BD78" s="307" t="s">
        <v>221</v>
      </c>
      <c r="BE78" s="307" t="s">
        <v>221</v>
      </c>
      <c r="BF78" s="307" t="s">
        <v>221</v>
      </c>
      <c r="BG78" s="307" t="s">
        <v>221</v>
      </c>
      <c r="BH78" s="302"/>
      <c r="BI78" s="302"/>
      <c r="BJ78" s="307" t="s">
        <v>221</v>
      </c>
      <c r="BK78" s="302"/>
      <c r="BL78" s="302"/>
      <c r="BM78" s="302"/>
      <c r="BN78" s="307" t="s">
        <v>221</v>
      </c>
      <c r="BO78" s="307" t="s">
        <v>221</v>
      </c>
      <c r="BP78" s="307" t="s">
        <v>221</v>
      </c>
      <c r="BQ78" s="307" t="s">
        <v>221</v>
      </c>
      <c r="BR78" s="307" t="s">
        <v>221</v>
      </c>
      <c r="BS78" s="302"/>
      <c r="BT78" s="302"/>
      <c r="BU78" s="302"/>
      <c r="BV78" s="302"/>
      <c r="BW78" s="302"/>
      <c r="BX78" s="302"/>
      <c r="BY78" s="302"/>
      <c r="BZ78" s="302"/>
      <c r="CA78" s="302"/>
      <c r="CB78" s="302"/>
      <c r="CC78" s="307" t="s">
        <v>221</v>
      </c>
      <c r="CD78" s="307" t="s">
        <v>221</v>
      </c>
      <c r="CE78" s="297">
        <f t="shared" si="8"/>
        <v>0</v>
      </c>
      <c r="CF78" s="297"/>
    </row>
    <row r="79" spans="1:84" ht="12.65" customHeight="1" x14ac:dyDescent="0.35">
      <c r="A79" s="304" t="s">
        <v>251</v>
      </c>
      <c r="B79" s="297"/>
      <c r="C79" s="225"/>
      <c r="D79" s="225"/>
      <c r="E79" s="302"/>
      <c r="F79" s="302"/>
      <c r="G79" s="302"/>
      <c r="H79" s="302"/>
      <c r="I79" s="302"/>
      <c r="J79" s="302"/>
      <c r="K79" s="302"/>
      <c r="L79" s="302"/>
      <c r="M79" s="302"/>
      <c r="N79" s="302"/>
      <c r="O79" s="302"/>
      <c r="P79" s="302"/>
      <c r="Q79" s="302"/>
      <c r="R79" s="302"/>
      <c r="S79" s="302"/>
      <c r="T79" s="302"/>
      <c r="U79" s="302"/>
      <c r="V79" s="302"/>
      <c r="W79" s="302"/>
      <c r="X79" s="302"/>
      <c r="Y79" s="302"/>
      <c r="Z79" s="302"/>
      <c r="AA79" s="302"/>
      <c r="AB79" s="302"/>
      <c r="AC79" s="302"/>
      <c r="AD79" s="302"/>
      <c r="AE79" s="302"/>
      <c r="AF79" s="302"/>
      <c r="AG79" s="302"/>
      <c r="AH79" s="302"/>
      <c r="AI79" s="302"/>
      <c r="AJ79" s="302"/>
      <c r="AK79" s="302"/>
      <c r="AL79" s="302"/>
      <c r="AM79" s="302"/>
      <c r="AN79" s="302"/>
      <c r="AO79" s="302"/>
      <c r="AP79" s="302"/>
      <c r="AQ79" s="302"/>
      <c r="AR79" s="302"/>
      <c r="AS79" s="302"/>
      <c r="AT79" s="302"/>
      <c r="AU79" s="302"/>
      <c r="AV79" s="302"/>
      <c r="AW79" s="302"/>
      <c r="AX79" s="307" t="s">
        <v>221</v>
      </c>
      <c r="AY79" s="307" t="s">
        <v>221</v>
      </c>
      <c r="AZ79" s="307" t="s">
        <v>221</v>
      </c>
      <c r="BA79" s="307" t="s">
        <v>221</v>
      </c>
      <c r="BB79" s="302"/>
      <c r="BC79" s="302"/>
      <c r="BD79" s="307" t="s">
        <v>221</v>
      </c>
      <c r="BE79" s="307" t="s">
        <v>221</v>
      </c>
      <c r="BF79" s="307" t="s">
        <v>221</v>
      </c>
      <c r="BG79" s="307" t="s">
        <v>221</v>
      </c>
      <c r="BH79" s="302"/>
      <c r="BI79" s="302"/>
      <c r="BJ79" s="307" t="s">
        <v>221</v>
      </c>
      <c r="BK79" s="302"/>
      <c r="BL79" s="302"/>
      <c r="BM79" s="302"/>
      <c r="BN79" s="307" t="s">
        <v>221</v>
      </c>
      <c r="BO79" s="307" t="s">
        <v>221</v>
      </c>
      <c r="BP79" s="307" t="s">
        <v>221</v>
      </c>
      <c r="BQ79" s="307" t="s">
        <v>221</v>
      </c>
      <c r="BR79" s="307" t="s">
        <v>221</v>
      </c>
      <c r="BS79" s="302"/>
      <c r="BT79" s="302"/>
      <c r="BU79" s="302"/>
      <c r="BV79" s="302"/>
      <c r="BW79" s="302"/>
      <c r="BX79" s="302"/>
      <c r="BY79" s="302"/>
      <c r="BZ79" s="302"/>
      <c r="CA79" s="302"/>
      <c r="CB79" s="302"/>
      <c r="CC79" s="307" t="s">
        <v>221</v>
      </c>
      <c r="CD79" s="307" t="s">
        <v>221</v>
      </c>
      <c r="CE79" s="297">
        <f t="shared" si="8"/>
        <v>0</v>
      </c>
      <c r="CF79" s="297">
        <f>BA59</f>
        <v>0</v>
      </c>
    </row>
    <row r="80" spans="1:84" ht="12.65" customHeight="1" x14ac:dyDescent="0.35">
      <c r="A80" s="304" t="s">
        <v>252</v>
      </c>
      <c r="B80" s="297"/>
      <c r="C80" s="187"/>
      <c r="D80" s="187"/>
      <c r="E80" s="187">
        <v>10.33</v>
      </c>
      <c r="F80" s="187"/>
      <c r="G80" s="187"/>
      <c r="H80" s="187"/>
      <c r="I80" s="187"/>
      <c r="J80" s="187"/>
      <c r="K80" s="187"/>
      <c r="L80" s="187"/>
      <c r="M80" s="187">
        <v>0.84</v>
      </c>
      <c r="N80" s="187"/>
      <c r="O80" s="187"/>
      <c r="P80" s="187">
        <v>2.7</v>
      </c>
      <c r="Q80" s="187"/>
      <c r="R80" s="187">
        <v>0.64</v>
      </c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>
        <v>7.28</v>
      </c>
      <c r="AH80" s="187"/>
      <c r="AI80" s="187"/>
      <c r="AJ80" s="187">
        <v>1.55</v>
      </c>
      <c r="AK80" s="187"/>
      <c r="AL80" s="187"/>
      <c r="AM80" s="187"/>
      <c r="AN80" s="187"/>
      <c r="AO80" s="187"/>
      <c r="AP80" s="187"/>
      <c r="AQ80" s="187"/>
      <c r="AR80" s="187">
        <v>0.56999999999999995</v>
      </c>
      <c r="AS80" s="187"/>
      <c r="AT80" s="187"/>
      <c r="AU80" s="187"/>
      <c r="AV80" s="187"/>
      <c r="AW80" s="307" t="s">
        <v>221</v>
      </c>
      <c r="AX80" s="307" t="s">
        <v>221</v>
      </c>
      <c r="AY80" s="307" t="s">
        <v>221</v>
      </c>
      <c r="AZ80" s="307" t="s">
        <v>221</v>
      </c>
      <c r="BA80" s="307" t="s">
        <v>221</v>
      </c>
      <c r="BB80" s="307" t="s">
        <v>221</v>
      </c>
      <c r="BC80" s="307" t="s">
        <v>221</v>
      </c>
      <c r="BD80" s="307" t="s">
        <v>221</v>
      </c>
      <c r="BE80" s="307" t="s">
        <v>221</v>
      </c>
      <c r="BF80" s="307" t="s">
        <v>221</v>
      </c>
      <c r="BG80" s="307" t="s">
        <v>221</v>
      </c>
      <c r="BH80" s="307" t="s">
        <v>221</v>
      </c>
      <c r="BI80" s="307" t="s">
        <v>221</v>
      </c>
      <c r="BJ80" s="307" t="s">
        <v>221</v>
      </c>
      <c r="BK80" s="307" t="s">
        <v>221</v>
      </c>
      <c r="BL80" s="307" t="s">
        <v>221</v>
      </c>
      <c r="BM80" s="307" t="s">
        <v>221</v>
      </c>
      <c r="BN80" s="307" t="s">
        <v>221</v>
      </c>
      <c r="BO80" s="307" t="s">
        <v>221</v>
      </c>
      <c r="BP80" s="307" t="s">
        <v>221</v>
      </c>
      <c r="BQ80" s="307" t="s">
        <v>221</v>
      </c>
      <c r="BR80" s="307" t="s">
        <v>221</v>
      </c>
      <c r="BS80" s="307" t="s">
        <v>221</v>
      </c>
      <c r="BT80" s="307" t="s">
        <v>221</v>
      </c>
      <c r="BU80" s="311"/>
      <c r="BV80" s="311"/>
      <c r="BW80" s="311"/>
      <c r="BX80" s="311"/>
      <c r="BY80" s="311"/>
      <c r="BZ80" s="311"/>
      <c r="CA80" s="311"/>
      <c r="CB80" s="311"/>
      <c r="CC80" s="307" t="s">
        <v>221</v>
      </c>
      <c r="CD80" s="307" t="s">
        <v>221</v>
      </c>
      <c r="CE80" s="312">
        <f t="shared" si="8"/>
        <v>23.910000000000004</v>
      </c>
      <c r="CF80" s="312"/>
    </row>
    <row r="81" spans="1:84" ht="21" customHeight="1" x14ac:dyDescent="0.35">
      <c r="A81" s="313" t="s">
        <v>253</v>
      </c>
      <c r="B81" s="313"/>
      <c r="C81" s="313"/>
      <c r="D81" s="313"/>
      <c r="E81" s="313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</row>
    <row r="82" spans="1:84" ht="12.65" customHeight="1" x14ac:dyDescent="0.35">
      <c r="A82" s="304" t="s">
        <v>254</v>
      </c>
      <c r="B82" s="314"/>
      <c r="C82" s="315" t="s">
        <v>1267</v>
      </c>
      <c r="D82" s="316"/>
      <c r="E82" s="297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</row>
    <row r="83" spans="1:84" ht="12.65" customHeight="1" x14ac:dyDescent="0.35">
      <c r="A83" s="297" t="s">
        <v>255</v>
      </c>
      <c r="B83" s="314" t="s">
        <v>256</v>
      </c>
      <c r="C83" s="317" t="s">
        <v>1268</v>
      </c>
      <c r="D83" s="316"/>
      <c r="E83" s="297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</row>
    <row r="84" spans="1:84" ht="12.65" customHeight="1" x14ac:dyDescent="0.35">
      <c r="A84" s="297" t="s">
        <v>257</v>
      </c>
      <c r="B84" s="314" t="s">
        <v>256</v>
      </c>
      <c r="C84" s="230" t="s">
        <v>1269</v>
      </c>
      <c r="D84" s="205"/>
      <c r="E84" s="204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</row>
    <row r="85" spans="1:84" ht="12.65" customHeight="1" x14ac:dyDescent="0.35">
      <c r="A85" s="297" t="s">
        <v>1250</v>
      </c>
      <c r="B85" s="314"/>
      <c r="C85" s="272" t="s">
        <v>1270</v>
      </c>
      <c r="D85" s="205"/>
      <c r="E85" s="204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</row>
    <row r="86" spans="1:84" ht="12.65" customHeight="1" x14ac:dyDescent="0.35">
      <c r="A86" s="297" t="s">
        <v>1251</v>
      </c>
      <c r="B86" s="314" t="s">
        <v>256</v>
      </c>
      <c r="C86" s="231" t="s">
        <v>1271</v>
      </c>
      <c r="D86" s="205"/>
      <c r="E86" s="204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</row>
    <row r="87" spans="1:84" ht="12.65" customHeight="1" x14ac:dyDescent="0.35">
      <c r="A87" s="297" t="s">
        <v>258</v>
      </c>
      <c r="B87" s="314" t="s">
        <v>256</v>
      </c>
      <c r="C87" s="230" t="s">
        <v>1272</v>
      </c>
      <c r="D87" s="205"/>
      <c r="E87" s="204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</row>
    <row r="88" spans="1:84" ht="12.65" customHeight="1" x14ac:dyDescent="0.35">
      <c r="A88" s="297" t="s">
        <v>259</v>
      </c>
      <c r="B88" s="314" t="s">
        <v>256</v>
      </c>
      <c r="C88" s="230" t="s">
        <v>1273</v>
      </c>
      <c r="D88" s="205"/>
      <c r="E88" s="204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</row>
    <row r="89" spans="1:84" ht="12.65" customHeight="1" x14ac:dyDescent="0.35">
      <c r="A89" s="297" t="s">
        <v>260</v>
      </c>
      <c r="B89" s="314" t="s">
        <v>256</v>
      </c>
      <c r="C89" s="230" t="s">
        <v>1274</v>
      </c>
      <c r="D89" s="205"/>
      <c r="E89" s="204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</row>
    <row r="90" spans="1:84" ht="12.65" customHeight="1" x14ac:dyDescent="0.35">
      <c r="A90" s="297" t="s">
        <v>261</v>
      </c>
      <c r="B90" s="314" t="s">
        <v>256</v>
      </c>
      <c r="C90" s="230" t="s">
        <v>1275</v>
      </c>
      <c r="D90" s="205"/>
      <c r="E90" s="204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</row>
    <row r="91" spans="1:84" ht="12.65" customHeight="1" x14ac:dyDescent="0.35">
      <c r="A91" s="297" t="s">
        <v>262</v>
      </c>
      <c r="B91" s="314" t="s">
        <v>256</v>
      </c>
      <c r="C91" s="230"/>
      <c r="D91" s="205"/>
      <c r="E91" s="204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</row>
    <row r="92" spans="1:84" ht="12.65" customHeight="1" x14ac:dyDescent="0.35">
      <c r="A92" s="297" t="s">
        <v>263</v>
      </c>
      <c r="B92" s="314" t="s">
        <v>256</v>
      </c>
      <c r="C92" s="226" t="s">
        <v>1276</v>
      </c>
      <c r="D92" s="316"/>
      <c r="E92" s="297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</row>
    <row r="93" spans="1:84" ht="12.65" customHeight="1" x14ac:dyDescent="0.35">
      <c r="A93" s="297" t="s">
        <v>264</v>
      </c>
      <c r="B93" s="314" t="s">
        <v>256</v>
      </c>
      <c r="C93" s="271" t="s">
        <v>1277</v>
      </c>
      <c r="D93" s="316"/>
      <c r="E93" s="297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</row>
    <row r="94" spans="1:84" ht="12.65" customHeight="1" x14ac:dyDescent="0.35">
      <c r="A94" s="297"/>
      <c r="B94" s="297"/>
      <c r="C94" s="305"/>
      <c r="D94" s="297"/>
      <c r="E94" s="297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</row>
    <row r="95" spans="1:84" ht="12.65" customHeight="1" x14ac:dyDescent="0.35">
      <c r="A95" s="313" t="s">
        <v>265</v>
      </c>
      <c r="B95" s="313"/>
      <c r="C95" s="313"/>
      <c r="D95" s="313"/>
      <c r="E95" s="313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</row>
    <row r="96" spans="1:84" ht="12.65" customHeight="1" x14ac:dyDescent="0.35">
      <c r="A96" s="318" t="s">
        <v>266</v>
      </c>
      <c r="B96" s="318"/>
      <c r="C96" s="318"/>
      <c r="D96" s="318"/>
      <c r="E96" s="318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</row>
    <row r="97" spans="1:84" ht="12.65" customHeight="1" x14ac:dyDescent="0.35">
      <c r="A97" s="297" t="s">
        <v>267</v>
      </c>
      <c r="B97" s="314" t="s">
        <v>256</v>
      </c>
      <c r="C97" s="189"/>
      <c r="D97" s="297"/>
      <c r="E97" s="297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</row>
    <row r="98" spans="1:84" ht="12.65" customHeight="1" x14ac:dyDescent="0.35">
      <c r="A98" s="297" t="s">
        <v>259</v>
      </c>
      <c r="B98" s="314" t="s">
        <v>256</v>
      </c>
      <c r="C98" s="189"/>
      <c r="D98" s="297"/>
      <c r="E98" s="297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</row>
    <row r="99" spans="1:84" ht="12.65" customHeight="1" x14ac:dyDescent="0.35">
      <c r="A99" s="297" t="s">
        <v>268</v>
      </c>
      <c r="B99" s="314" t="s">
        <v>256</v>
      </c>
      <c r="C99" s="189">
        <v>1</v>
      </c>
      <c r="D99" s="297"/>
      <c r="E99" s="297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</row>
    <row r="100" spans="1:84" ht="12.65" customHeight="1" x14ac:dyDescent="0.35">
      <c r="A100" s="318" t="s">
        <v>269</v>
      </c>
      <c r="B100" s="318"/>
      <c r="C100" s="318"/>
      <c r="D100" s="318"/>
      <c r="E100" s="318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</row>
    <row r="101" spans="1:84" ht="12.65" customHeight="1" x14ac:dyDescent="0.35">
      <c r="A101" s="297" t="s">
        <v>270</v>
      </c>
      <c r="B101" s="314" t="s">
        <v>256</v>
      </c>
      <c r="C101" s="189"/>
      <c r="D101" s="297"/>
      <c r="E101" s="297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</row>
    <row r="102" spans="1:84" ht="12.65" customHeight="1" x14ac:dyDescent="0.35">
      <c r="A102" s="297" t="s">
        <v>132</v>
      </c>
      <c r="B102" s="314" t="s">
        <v>256</v>
      </c>
      <c r="C102" s="222"/>
      <c r="D102" s="297"/>
      <c r="E102" s="297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</row>
    <row r="103" spans="1:84" ht="12.65" customHeight="1" x14ac:dyDescent="0.35">
      <c r="A103" s="318" t="s">
        <v>271</v>
      </c>
      <c r="B103" s="318"/>
      <c r="C103" s="318"/>
      <c r="D103" s="318"/>
      <c r="E103" s="318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</row>
    <row r="104" spans="1:84" ht="12.65" customHeight="1" x14ac:dyDescent="0.35">
      <c r="A104" s="297" t="s">
        <v>272</v>
      </c>
      <c r="B104" s="314" t="s">
        <v>256</v>
      </c>
      <c r="C104" s="189"/>
      <c r="D104" s="297"/>
      <c r="E104" s="297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</row>
    <row r="105" spans="1:84" ht="12.65" customHeight="1" x14ac:dyDescent="0.35">
      <c r="A105" s="297" t="s">
        <v>273</v>
      </c>
      <c r="B105" s="314" t="s">
        <v>256</v>
      </c>
      <c r="C105" s="189"/>
      <c r="D105" s="297"/>
      <c r="E105" s="297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</row>
    <row r="106" spans="1:84" ht="12.65" customHeight="1" x14ac:dyDescent="0.35">
      <c r="A106" s="297" t="s">
        <v>274</v>
      </c>
      <c r="B106" s="314" t="s">
        <v>256</v>
      </c>
      <c r="C106" s="189"/>
      <c r="D106" s="297"/>
      <c r="E106" s="297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</row>
    <row r="107" spans="1:84" ht="12.65" customHeight="1" x14ac:dyDescent="0.35">
      <c r="A107" s="297"/>
      <c r="B107" s="314"/>
      <c r="C107" s="319"/>
      <c r="D107" s="297"/>
      <c r="E107" s="297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</row>
    <row r="108" spans="1:84" ht="21.75" customHeight="1" x14ac:dyDescent="0.35">
      <c r="A108" s="320" t="s">
        <v>275</v>
      </c>
      <c r="B108" s="313"/>
      <c r="C108" s="313"/>
      <c r="D108" s="313"/>
      <c r="E108" s="313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</row>
    <row r="109" spans="1:84" ht="13.5" customHeight="1" x14ac:dyDescent="0.35">
      <c r="A109" s="297"/>
      <c r="B109" s="314"/>
      <c r="C109" s="319"/>
      <c r="D109" s="297"/>
      <c r="E109" s="297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</row>
    <row r="110" spans="1:84" ht="13.5" customHeight="1" x14ac:dyDescent="0.35">
      <c r="A110" s="304" t="s">
        <v>276</v>
      </c>
      <c r="B110" s="297"/>
      <c r="C110" s="298" t="s">
        <v>277</v>
      </c>
      <c r="D110" s="299" t="s">
        <v>215</v>
      </c>
      <c r="E110" s="297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</row>
    <row r="111" spans="1:84" ht="12.65" customHeight="1" x14ac:dyDescent="0.35">
      <c r="A111" s="297" t="s">
        <v>278</v>
      </c>
      <c r="B111" s="314" t="s">
        <v>256</v>
      </c>
      <c r="C111" s="189">
        <v>170</v>
      </c>
      <c r="D111" s="174">
        <v>515</v>
      </c>
      <c r="E111" s="297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</row>
    <row r="112" spans="1:84" ht="12.65" customHeight="1" x14ac:dyDescent="0.35">
      <c r="A112" s="297" t="s">
        <v>279</v>
      </c>
      <c r="B112" s="314" t="s">
        <v>256</v>
      </c>
      <c r="C112" s="189">
        <v>61</v>
      </c>
      <c r="D112" s="174">
        <v>808</v>
      </c>
      <c r="E112" s="297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</row>
    <row r="113" spans="1:84" ht="12.65" customHeight="1" x14ac:dyDescent="0.35">
      <c r="A113" s="297" t="s">
        <v>280</v>
      </c>
      <c r="B113" s="314" t="s">
        <v>256</v>
      </c>
      <c r="C113" s="189"/>
      <c r="D113" s="174"/>
      <c r="E113" s="297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</row>
    <row r="114" spans="1:84" ht="12.65" customHeight="1" x14ac:dyDescent="0.35">
      <c r="A114" s="297" t="s">
        <v>281</v>
      </c>
      <c r="B114" s="314" t="s">
        <v>256</v>
      </c>
      <c r="C114" s="189"/>
      <c r="D114" s="174"/>
      <c r="E114" s="297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</row>
    <row r="115" spans="1:84" ht="12.65" customHeight="1" x14ac:dyDescent="0.35">
      <c r="A115" s="304" t="s">
        <v>282</v>
      </c>
      <c r="B115" s="297"/>
      <c r="C115" s="298" t="s">
        <v>167</v>
      </c>
      <c r="D115" s="297"/>
      <c r="E115" s="297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</row>
    <row r="116" spans="1:84" ht="12.65" customHeight="1" x14ac:dyDescent="0.35">
      <c r="A116" s="297" t="s">
        <v>283</v>
      </c>
      <c r="B116" s="314" t="s">
        <v>256</v>
      </c>
      <c r="C116" s="189"/>
      <c r="D116" s="297"/>
      <c r="E116" s="297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</row>
    <row r="117" spans="1:84" ht="12.65" customHeight="1" x14ac:dyDescent="0.35">
      <c r="A117" s="297" t="s">
        <v>284</v>
      </c>
      <c r="B117" s="314" t="s">
        <v>256</v>
      </c>
      <c r="C117" s="189">
        <v>10</v>
      </c>
      <c r="D117" s="297"/>
      <c r="E117" s="297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</row>
    <row r="118" spans="1:84" ht="12.65" customHeight="1" x14ac:dyDescent="0.35">
      <c r="A118" s="297" t="s">
        <v>1238</v>
      </c>
      <c r="B118" s="314" t="s">
        <v>256</v>
      </c>
      <c r="C118" s="189"/>
      <c r="D118" s="297"/>
      <c r="E118" s="297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</row>
    <row r="119" spans="1:84" ht="12.65" customHeight="1" x14ac:dyDescent="0.35">
      <c r="A119" s="297" t="s">
        <v>285</v>
      </c>
      <c r="B119" s="314" t="s">
        <v>256</v>
      </c>
      <c r="C119" s="189"/>
      <c r="D119" s="297"/>
      <c r="E119" s="297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</row>
    <row r="120" spans="1:84" ht="12.65" customHeight="1" x14ac:dyDescent="0.35">
      <c r="A120" s="297" t="s">
        <v>286</v>
      </c>
      <c r="B120" s="314" t="s">
        <v>256</v>
      </c>
      <c r="C120" s="189"/>
      <c r="D120" s="297"/>
      <c r="E120" s="297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</row>
    <row r="121" spans="1:84" ht="12.65" customHeight="1" x14ac:dyDescent="0.35">
      <c r="A121" s="297" t="s">
        <v>287</v>
      </c>
      <c r="B121" s="314" t="s">
        <v>256</v>
      </c>
      <c r="C121" s="189"/>
      <c r="D121" s="297"/>
      <c r="E121" s="297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</row>
    <row r="122" spans="1:84" ht="12.65" customHeight="1" x14ac:dyDescent="0.35">
      <c r="A122" s="297" t="s">
        <v>97</v>
      </c>
      <c r="B122" s="314" t="s">
        <v>256</v>
      </c>
      <c r="C122" s="189"/>
      <c r="D122" s="297"/>
      <c r="E122" s="297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</row>
    <row r="123" spans="1:84" ht="12.65" customHeight="1" x14ac:dyDescent="0.35">
      <c r="A123" s="297" t="s">
        <v>288</v>
      </c>
      <c r="B123" s="314" t="s">
        <v>256</v>
      </c>
      <c r="C123" s="189"/>
      <c r="D123" s="297"/>
      <c r="E123" s="297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</row>
    <row r="124" spans="1:84" ht="12.65" customHeight="1" x14ac:dyDescent="0.35">
      <c r="A124" s="297" t="s">
        <v>289</v>
      </c>
      <c r="B124" s="314"/>
      <c r="C124" s="189">
        <v>7</v>
      </c>
      <c r="D124" s="297"/>
      <c r="E124" s="297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</row>
    <row r="125" spans="1:84" ht="12.65" customHeight="1" x14ac:dyDescent="0.35">
      <c r="A125" s="297" t="s">
        <v>280</v>
      </c>
      <c r="B125" s="314" t="s">
        <v>256</v>
      </c>
      <c r="C125" s="189"/>
      <c r="D125" s="297"/>
      <c r="E125" s="297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</row>
    <row r="126" spans="1:84" ht="12.65" customHeight="1" x14ac:dyDescent="0.35">
      <c r="A126" s="297" t="s">
        <v>290</v>
      </c>
      <c r="B126" s="314" t="s">
        <v>256</v>
      </c>
      <c r="C126" s="189"/>
      <c r="D126" s="297"/>
      <c r="E126" s="297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</row>
    <row r="127" spans="1:84" ht="12.65" customHeight="1" x14ac:dyDescent="0.35">
      <c r="A127" s="297" t="s">
        <v>291</v>
      </c>
      <c r="B127" s="297"/>
      <c r="C127" s="305"/>
      <c r="D127" s="297"/>
      <c r="E127" s="297">
        <f>SUM(C116:C126)</f>
        <v>17</v>
      </c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</row>
    <row r="128" spans="1:84" ht="12.65" customHeight="1" x14ac:dyDescent="0.35">
      <c r="A128" s="297" t="s">
        <v>292</v>
      </c>
      <c r="B128" s="314" t="s">
        <v>256</v>
      </c>
      <c r="C128" s="189">
        <v>25</v>
      </c>
      <c r="D128" s="297"/>
      <c r="E128" s="297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</row>
    <row r="129" spans="1:84" ht="12.65" customHeight="1" x14ac:dyDescent="0.35">
      <c r="A129" s="297" t="s">
        <v>293</v>
      </c>
      <c r="B129" s="314" t="s">
        <v>256</v>
      </c>
      <c r="C129" s="189"/>
      <c r="D129" s="297"/>
      <c r="E129" s="297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</row>
    <row r="130" spans="1:84" ht="12.65" customHeight="1" x14ac:dyDescent="0.35">
      <c r="A130" s="297"/>
      <c r="B130" s="297"/>
      <c r="C130" s="305"/>
      <c r="D130" s="297"/>
      <c r="E130" s="297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</row>
    <row r="131" spans="1:84" ht="12.65" customHeight="1" x14ac:dyDescent="0.35">
      <c r="A131" s="297" t="s">
        <v>294</v>
      </c>
      <c r="B131" s="314" t="s">
        <v>256</v>
      </c>
      <c r="C131" s="189">
        <v>331188</v>
      </c>
      <c r="D131" s="297"/>
      <c r="E131" s="297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</row>
    <row r="132" spans="1:84" ht="12.65" customHeight="1" x14ac:dyDescent="0.35">
      <c r="A132" s="297"/>
      <c r="B132" s="297"/>
      <c r="C132" s="305"/>
      <c r="D132" s="297"/>
      <c r="E132" s="297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</row>
    <row r="133" spans="1:84" ht="12.65" customHeight="1" x14ac:dyDescent="0.35">
      <c r="A133" s="297"/>
      <c r="B133" s="297"/>
      <c r="C133" s="305"/>
      <c r="D133" s="297"/>
      <c r="E133" s="297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</row>
    <row r="134" spans="1:84" ht="12.65" customHeight="1" x14ac:dyDescent="0.35">
      <c r="A134" s="297"/>
      <c r="B134" s="297"/>
      <c r="C134" s="305"/>
      <c r="D134" s="297"/>
      <c r="E134" s="297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</row>
    <row r="135" spans="1:84" ht="12.65" customHeight="1" x14ac:dyDescent="0.35">
      <c r="A135" s="297"/>
      <c r="B135" s="297"/>
      <c r="C135" s="305"/>
      <c r="D135" s="297"/>
      <c r="E135" s="297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</row>
    <row r="136" spans="1:84" ht="18" customHeight="1" x14ac:dyDescent="0.35">
      <c r="A136" s="313" t="s">
        <v>1239</v>
      </c>
      <c r="B136" s="320"/>
      <c r="C136" s="320"/>
      <c r="D136" s="320"/>
      <c r="E136" s="320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</row>
    <row r="137" spans="1:84" ht="12.65" customHeight="1" x14ac:dyDescent="0.35">
      <c r="A137" s="321" t="s">
        <v>295</v>
      </c>
      <c r="B137" s="322" t="s">
        <v>296</v>
      </c>
      <c r="C137" s="323" t="s">
        <v>297</v>
      </c>
      <c r="D137" s="322" t="s">
        <v>132</v>
      </c>
      <c r="E137" s="322" t="s">
        <v>203</v>
      </c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</row>
    <row r="138" spans="1:84" ht="12.65" customHeight="1" x14ac:dyDescent="0.35">
      <c r="A138" s="297" t="s">
        <v>277</v>
      </c>
      <c r="B138" s="174">
        <f>122+4</f>
        <v>126</v>
      </c>
      <c r="C138" s="189">
        <f>21+2+1</f>
        <v>24</v>
      </c>
      <c r="D138" s="174">
        <v>20</v>
      </c>
      <c r="E138" s="297">
        <f>SUM(B138:D138)</f>
        <v>170</v>
      </c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</row>
    <row r="139" spans="1:84" ht="12.65" customHeight="1" x14ac:dyDescent="0.35">
      <c r="A139" s="297" t="s">
        <v>215</v>
      </c>
      <c r="B139" s="174">
        <f>344+18+6</f>
        <v>368</v>
      </c>
      <c r="C139" s="189">
        <f>70+6+3</f>
        <v>79</v>
      </c>
      <c r="D139" s="174">
        <v>68</v>
      </c>
      <c r="E139" s="297">
        <f>SUM(B139:D139)</f>
        <v>515</v>
      </c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</row>
    <row r="140" spans="1:84" ht="12.65" customHeight="1" x14ac:dyDescent="0.35">
      <c r="A140" s="297" t="s">
        <v>298</v>
      </c>
      <c r="B140" s="174"/>
      <c r="C140" s="174"/>
      <c r="D140" s="174"/>
      <c r="E140" s="297">
        <f>SUM(B140:D140)</f>
        <v>0</v>
      </c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</row>
    <row r="141" spans="1:84" ht="12.65" customHeight="1" x14ac:dyDescent="0.35">
      <c r="A141" s="297" t="s">
        <v>245</v>
      </c>
      <c r="B141" s="174">
        <v>2168539</v>
      </c>
      <c r="C141" s="189">
        <v>569474.9</v>
      </c>
      <c r="D141" s="174">
        <v>500309.44</v>
      </c>
      <c r="E141" s="297">
        <f>SUM(B141:D141)</f>
        <v>3238323.34</v>
      </c>
      <c r="F141" s="324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</row>
    <row r="142" spans="1:84" ht="12.65" customHeight="1" x14ac:dyDescent="0.35">
      <c r="A142" s="297" t="s">
        <v>246</v>
      </c>
      <c r="B142" s="174">
        <v>19310146</v>
      </c>
      <c r="C142" s="189">
        <v>11188381</v>
      </c>
      <c r="D142" s="174">
        <v>10335136</v>
      </c>
      <c r="E142" s="297">
        <f>SUM(B142:D142)</f>
        <v>40833663</v>
      </c>
      <c r="F142" s="324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</row>
    <row r="143" spans="1:84" ht="12.65" customHeight="1" x14ac:dyDescent="0.35">
      <c r="A143" s="321" t="s">
        <v>299</v>
      </c>
      <c r="B143" s="322" t="s">
        <v>296</v>
      </c>
      <c r="C143" s="323" t="s">
        <v>297</v>
      </c>
      <c r="D143" s="322" t="s">
        <v>132</v>
      </c>
      <c r="E143" s="322" t="s">
        <v>203</v>
      </c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</row>
    <row r="144" spans="1:84" ht="12.65" customHeight="1" x14ac:dyDescent="0.35">
      <c r="A144" s="297" t="s">
        <v>277</v>
      </c>
      <c r="B144" s="174">
        <f>44+8</f>
        <v>52</v>
      </c>
      <c r="C144" s="189">
        <v>6</v>
      </c>
      <c r="D144" s="174">
        <v>3</v>
      </c>
      <c r="E144" s="297">
        <f>SUM(B144:D144)</f>
        <v>61</v>
      </c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</row>
    <row r="145" spans="1:84" ht="12.65" customHeight="1" x14ac:dyDescent="0.35">
      <c r="A145" s="297" t="s">
        <v>215</v>
      </c>
      <c r="B145" s="174">
        <v>646</v>
      </c>
      <c r="C145" s="189">
        <v>76</v>
      </c>
      <c r="D145" s="174">
        <v>86</v>
      </c>
      <c r="E145" s="297">
        <f>SUM(B145:D145)</f>
        <v>808</v>
      </c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</row>
    <row r="146" spans="1:84" ht="12.65" customHeight="1" x14ac:dyDescent="0.35">
      <c r="A146" s="297" t="s">
        <v>298</v>
      </c>
      <c r="B146" s="174"/>
      <c r="C146" s="189"/>
      <c r="D146" s="174"/>
      <c r="E146" s="297">
        <f>SUM(B146:D146)</f>
        <v>0</v>
      </c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</row>
    <row r="147" spans="1:84" ht="12.65" customHeight="1" x14ac:dyDescent="0.35">
      <c r="A147" s="297" t="s">
        <v>245</v>
      </c>
      <c r="B147" s="174"/>
      <c r="C147" s="189"/>
      <c r="D147" s="174"/>
      <c r="E147" s="297">
        <f>SUM(B147:D147)</f>
        <v>0</v>
      </c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</row>
    <row r="148" spans="1:84" ht="12.65" customHeight="1" x14ac:dyDescent="0.35">
      <c r="A148" s="297" t="s">
        <v>246</v>
      </c>
      <c r="B148" s="174"/>
      <c r="C148" s="189"/>
      <c r="D148" s="174"/>
      <c r="E148" s="297">
        <f>SUM(B148:D148)</f>
        <v>0</v>
      </c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</row>
    <row r="149" spans="1:84" ht="12.65" customHeight="1" x14ac:dyDescent="0.35">
      <c r="A149" s="321" t="s">
        <v>300</v>
      </c>
      <c r="B149" s="322" t="s">
        <v>296</v>
      </c>
      <c r="C149" s="323" t="s">
        <v>297</v>
      </c>
      <c r="D149" s="322" t="s">
        <v>132</v>
      </c>
      <c r="E149" s="322" t="s">
        <v>203</v>
      </c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</row>
    <row r="150" spans="1:84" ht="12.65" customHeight="1" x14ac:dyDescent="0.35">
      <c r="A150" s="297" t="s">
        <v>277</v>
      </c>
      <c r="B150" s="174"/>
      <c r="C150" s="189"/>
      <c r="D150" s="174"/>
      <c r="E150" s="297">
        <f>SUM(B150:D150)</f>
        <v>0</v>
      </c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</row>
    <row r="151" spans="1:84" ht="12.65" customHeight="1" x14ac:dyDescent="0.35">
      <c r="A151" s="297" t="s">
        <v>215</v>
      </c>
      <c r="B151" s="174"/>
      <c r="C151" s="189"/>
      <c r="D151" s="174"/>
      <c r="E151" s="297">
        <f>SUM(B151:D151)</f>
        <v>0</v>
      </c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</row>
    <row r="152" spans="1:84" ht="12.65" customHeight="1" x14ac:dyDescent="0.35">
      <c r="A152" s="297" t="s">
        <v>298</v>
      </c>
      <c r="B152" s="174"/>
      <c r="C152" s="189"/>
      <c r="D152" s="174"/>
      <c r="E152" s="297">
        <f>SUM(B152:D152)</f>
        <v>0</v>
      </c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</row>
    <row r="153" spans="1:84" ht="12.65" customHeight="1" x14ac:dyDescent="0.35">
      <c r="A153" s="297" t="s">
        <v>245</v>
      </c>
      <c r="B153" s="174"/>
      <c r="C153" s="189"/>
      <c r="D153" s="174"/>
      <c r="E153" s="297">
        <f>SUM(B153:D153)</f>
        <v>0</v>
      </c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</row>
    <row r="154" spans="1:84" ht="12.65" customHeight="1" x14ac:dyDescent="0.35">
      <c r="A154" s="297" t="s">
        <v>246</v>
      </c>
      <c r="B154" s="174"/>
      <c r="C154" s="189"/>
      <c r="D154" s="174"/>
      <c r="E154" s="297">
        <f>SUM(B154:D154)</f>
        <v>0</v>
      </c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</row>
    <row r="155" spans="1:84" ht="12.65" customHeight="1" x14ac:dyDescent="0.35">
      <c r="A155" s="303"/>
      <c r="B155" s="303"/>
      <c r="C155" s="325"/>
      <c r="D155" s="326"/>
      <c r="E155" s="297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</row>
    <row r="156" spans="1:84" ht="12.65" customHeight="1" x14ac:dyDescent="0.35">
      <c r="A156" s="321" t="s">
        <v>301</v>
      </c>
      <c r="B156" s="322" t="s">
        <v>302</v>
      </c>
      <c r="C156" s="323" t="s">
        <v>303</v>
      </c>
      <c r="D156" s="297"/>
      <c r="E156" s="297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</row>
    <row r="157" spans="1:84" ht="12.65" customHeight="1" x14ac:dyDescent="0.35">
      <c r="A157" s="303" t="s">
        <v>304</v>
      </c>
      <c r="B157" s="174"/>
      <c r="C157" s="174"/>
      <c r="D157" s="297"/>
      <c r="E157" s="297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</row>
    <row r="158" spans="1:84" ht="12.65" customHeight="1" x14ac:dyDescent="0.35">
      <c r="A158" s="303"/>
      <c r="B158" s="326"/>
      <c r="C158" s="325"/>
      <c r="D158" s="297"/>
      <c r="E158" s="297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</row>
    <row r="159" spans="1:84" ht="12.65" customHeight="1" x14ac:dyDescent="0.35">
      <c r="A159" s="303"/>
      <c r="B159" s="303"/>
      <c r="C159" s="325"/>
      <c r="D159" s="326"/>
      <c r="E159" s="297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</row>
    <row r="160" spans="1:84" ht="12.65" customHeight="1" x14ac:dyDescent="0.35">
      <c r="A160" s="303"/>
      <c r="B160" s="303"/>
      <c r="C160" s="325"/>
      <c r="D160" s="326"/>
      <c r="E160" s="297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</row>
    <row r="161" spans="1:84" ht="12.65" customHeight="1" x14ac:dyDescent="0.35">
      <c r="A161" s="303"/>
      <c r="B161" s="303"/>
      <c r="C161" s="325"/>
      <c r="D161" s="326"/>
      <c r="E161" s="297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</row>
    <row r="162" spans="1:84" ht="12.65" customHeight="1" x14ac:dyDescent="0.35">
      <c r="A162" s="303"/>
      <c r="B162" s="303"/>
      <c r="C162" s="325"/>
      <c r="D162" s="326"/>
      <c r="E162" s="297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</row>
    <row r="163" spans="1:84" ht="21.75" customHeight="1" x14ac:dyDescent="0.35">
      <c r="A163" s="320" t="s">
        <v>305</v>
      </c>
      <c r="B163" s="313"/>
      <c r="C163" s="313"/>
      <c r="D163" s="313"/>
      <c r="E163" s="313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</row>
    <row r="164" spans="1:84" ht="11.5" customHeight="1" x14ac:dyDescent="0.35">
      <c r="A164" s="318" t="s">
        <v>306</v>
      </c>
      <c r="B164" s="318"/>
      <c r="C164" s="318"/>
      <c r="D164" s="318"/>
      <c r="E164" s="318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</row>
    <row r="165" spans="1:84" ht="11.5" customHeight="1" x14ac:dyDescent="0.35">
      <c r="A165" s="297" t="s">
        <v>307</v>
      </c>
      <c r="B165" s="314" t="s">
        <v>256</v>
      </c>
      <c r="C165" s="189">
        <v>929961.78</v>
      </c>
      <c r="D165" s="297"/>
      <c r="E165" s="297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</row>
    <row r="166" spans="1:84" ht="11.5" customHeight="1" x14ac:dyDescent="0.35">
      <c r="A166" s="297" t="s">
        <v>308</v>
      </c>
      <c r="B166" s="314" t="s">
        <v>256</v>
      </c>
      <c r="C166" s="189">
        <v>-3174.29</v>
      </c>
      <c r="D166" s="297"/>
      <c r="E166" s="297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</row>
    <row r="167" spans="1:84" ht="11.5" customHeight="1" x14ac:dyDescent="0.35">
      <c r="A167" s="303" t="s">
        <v>309</v>
      </c>
      <c r="B167" s="314" t="s">
        <v>256</v>
      </c>
      <c r="C167" s="189">
        <v>91819.32</v>
      </c>
      <c r="D167" s="297"/>
      <c r="E167" s="297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</row>
    <row r="168" spans="1:84" ht="11.5" customHeight="1" x14ac:dyDescent="0.35">
      <c r="A168" s="297" t="s">
        <v>310</v>
      </c>
      <c r="B168" s="314" t="s">
        <v>256</v>
      </c>
      <c r="C168" s="189">
        <v>1848964.35</v>
      </c>
      <c r="D168" s="297"/>
      <c r="E168" s="297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</row>
    <row r="169" spans="1:84" ht="11.5" customHeight="1" x14ac:dyDescent="0.35">
      <c r="A169" s="297" t="s">
        <v>311</v>
      </c>
      <c r="B169" s="314" t="s">
        <v>256</v>
      </c>
      <c r="C169" s="189">
        <v>14154.07</v>
      </c>
      <c r="D169" s="297"/>
      <c r="E169" s="297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</row>
    <row r="170" spans="1:84" ht="11.5" customHeight="1" x14ac:dyDescent="0.35">
      <c r="A170" s="297" t="s">
        <v>312</v>
      </c>
      <c r="B170" s="314" t="s">
        <v>256</v>
      </c>
      <c r="C170" s="189">
        <v>309389.89</v>
      </c>
      <c r="D170" s="297"/>
      <c r="E170" s="297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</row>
    <row r="171" spans="1:84" ht="11.5" customHeight="1" x14ac:dyDescent="0.35">
      <c r="A171" s="297" t="s">
        <v>313</v>
      </c>
      <c r="B171" s="314" t="s">
        <v>256</v>
      </c>
      <c r="C171" s="189">
        <v>34607.32</v>
      </c>
      <c r="D171" s="297"/>
      <c r="E171" s="297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</row>
    <row r="172" spans="1:84" ht="11.5" customHeight="1" x14ac:dyDescent="0.35">
      <c r="A172" s="297" t="s">
        <v>313</v>
      </c>
      <c r="B172" s="314" t="s">
        <v>256</v>
      </c>
      <c r="C172" s="189"/>
      <c r="D172" s="297"/>
      <c r="E172" s="297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</row>
    <row r="173" spans="1:84" ht="11.5" customHeight="1" x14ac:dyDescent="0.35">
      <c r="A173" s="297" t="s">
        <v>203</v>
      </c>
      <c r="B173" s="297"/>
      <c r="C173" s="305"/>
      <c r="D173" s="297">
        <f>SUM(C165:C172)</f>
        <v>3225722.44</v>
      </c>
      <c r="E173" s="297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</row>
    <row r="174" spans="1:84" ht="11.5" customHeight="1" x14ac:dyDescent="0.35">
      <c r="A174" s="318" t="s">
        <v>314</v>
      </c>
      <c r="B174" s="318"/>
      <c r="C174" s="318"/>
      <c r="D174" s="318"/>
      <c r="E174" s="318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</row>
    <row r="175" spans="1:84" ht="11.5" customHeight="1" x14ac:dyDescent="0.35">
      <c r="A175" s="297" t="s">
        <v>315</v>
      </c>
      <c r="B175" s="314" t="s">
        <v>256</v>
      </c>
      <c r="C175" s="189">
        <v>3517.11</v>
      </c>
      <c r="D175" s="297"/>
      <c r="E175" s="297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</row>
    <row r="176" spans="1:84" ht="11.5" customHeight="1" x14ac:dyDescent="0.35">
      <c r="A176" s="297" t="s">
        <v>316</v>
      </c>
      <c r="B176" s="314" t="s">
        <v>256</v>
      </c>
      <c r="C176" s="189">
        <v>431893.48</v>
      </c>
      <c r="D176" s="297"/>
      <c r="E176" s="297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</row>
    <row r="177" spans="1:84" ht="11.5" customHeight="1" x14ac:dyDescent="0.35">
      <c r="A177" s="297" t="s">
        <v>203</v>
      </c>
      <c r="B177" s="297"/>
      <c r="C177" s="305"/>
      <c r="D177" s="297">
        <f>SUM(C175:C176)</f>
        <v>435410.58999999997</v>
      </c>
      <c r="E177" s="297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</row>
    <row r="178" spans="1:84" ht="11.5" customHeight="1" x14ac:dyDescent="0.35">
      <c r="A178" s="318" t="s">
        <v>317</v>
      </c>
      <c r="B178" s="318"/>
      <c r="C178" s="318"/>
      <c r="D178" s="318"/>
      <c r="E178" s="318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</row>
    <row r="179" spans="1:84" ht="11.5" customHeight="1" x14ac:dyDescent="0.35">
      <c r="A179" s="297" t="s">
        <v>318</v>
      </c>
      <c r="B179" s="314" t="s">
        <v>256</v>
      </c>
      <c r="C179" s="189">
        <v>110561.5</v>
      </c>
      <c r="D179" s="297"/>
      <c r="E179" s="297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</row>
    <row r="180" spans="1:84" ht="11.5" customHeight="1" x14ac:dyDescent="0.35">
      <c r="A180" s="297" t="s">
        <v>319</v>
      </c>
      <c r="B180" s="314" t="s">
        <v>256</v>
      </c>
      <c r="C180" s="189">
        <v>61746.77</v>
      </c>
      <c r="D180" s="297"/>
      <c r="E180" s="297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</row>
    <row r="181" spans="1:84" ht="11.5" customHeight="1" x14ac:dyDescent="0.35">
      <c r="A181" s="297" t="s">
        <v>203</v>
      </c>
      <c r="B181" s="297"/>
      <c r="C181" s="305"/>
      <c r="D181" s="297">
        <f>SUM(C179:C180)</f>
        <v>172308.27</v>
      </c>
      <c r="E181" s="297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</row>
    <row r="182" spans="1:84" ht="11.5" customHeight="1" x14ac:dyDescent="0.35">
      <c r="A182" s="318" t="s">
        <v>320</v>
      </c>
      <c r="B182" s="318"/>
      <c r="C182" s="318"/>
      <c r="D182" s="318"/>
      <c r="E182" s="318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</row>
    <row r="183" spans="1:84" ht="11.5" customHeight="1" x14ac:dyDescent="0.35">
      <c r="A183" s="297" t="s">
        <v>321</v>
      </c>
      <c r="B183" s="314" t="s">
        <v>256</v>
      </c>
      <c r="C183" s="189">
        <v>28805.24</v>
      </c>
      <c r="D183" s="297"/>
      <c r="E183" s="297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</row>
    <row r="184" spans="1:84" ht="11.5" customHeight="1" x14ac:dyDescent="0.35">
      <c r="A184" s="297" t="s">
        <v>322</v>
      </c>
      <c r="B184" s="314" t="s">
        <v>256</v>
      </c>
      <c r="C184" s="189"/>
      <c r="D184" s="297"/>
      <c r="E184" s="297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</row>
    <row r="185" spans="1:84" ht="11.5" customHeight="1" x14ac:dyDescent="0.35">
      <c r="A185" s="297" t="s">
        <v>132</v>
      </c>
      <c r="B185" s="314" t="s">
        <v>256</v>
      </c>
      <c r="C185" s="189">
        <v>665721.22</v>
      </c>
      <c r="D185" s="297"/>
      <c r="E185" s="297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</row>
    <row r="186" spans="1:84" ht="11.5" customHeight="1" x14ac:dyDescent="0.35">
      <c r="A186" s="297" t="s">
        <v>203</v>
      </c>
      <c r="B186" s="297"/>
      <c r="C186" s="305"/>
      <c r="D186" s="297">
        <f>SUM(C183:C185)</f>
        <v>694526.46</v>
      </c>
      <c r="E186" s="297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</row>
    <row r="187" spans="1:84" ht="11.5" customHeight="1" x14ac:dyDescent="0.35">
      <c r="A187" s="318" t="s">
        <v>323</v>
      </c>
      <c r="B187" s="318"/>
      <c r="C187" s="318"/>
      <c r="D187" s="318"/>
      <c r="E187" s="318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</row>
    <row r="188" spans="1:84" ht="11.5" customHeight="1" x14ac:dyDescent="0.35">
      <c r="A188" s="297" t="s">
        <v>324</v>
      </c>
      <c r="B188" s="314" t="s">
        <v>256</v>
      </c>
      <c r="C188" s="189"/>
      <c r="D188" s="297"/>
      <c r="E188" s="297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</row>
    <row r="189" spans="1:84" ht="11.5" customHeight="1" x14ac:dyDescent="0.35">
      <c r="A189" s="297" t="s">
        <v>325</v>
      </c>
      <c r="B189" s="314" t="s">
        <v>256</v>
      </c>
      <c r="C189" s="189">
        <v>242153.56</v>
      </c>
      <c r="D189" s="297"/>
      <c r="E189" s="297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</row>
    <row r="190" spans="1:84" ht="11.5" customHeight="1" x14ac:dyDescent="0.35">
      <c r="A190" s="297" t="s">
        <v>203</v>
      </c>
      <c r="B190" s="297"/>
      <c r="C190" s="305"/>
      <c r="D190" s="297">
        <f>SUM(C188:C189)</f>
        <v>242153.56</v>
      </c>
      <c r="E190" s="297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</row>
    <row r="191" spans="1:84" ht="11.5" customHeight="1" x14ac:dyDescent="0.35">
      <c r="A191" s="297"/>
      <c r="B191" s="297"/>
      <c r="C191" s="305"/>
      <c r="D191" s="297"/>
      <c r="E191" s="297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</row>
    <row r="192" spans="1:84" ht="18" customHeight="1" x14ac:dyDescent="0.35">
      <c r="A192" s="313" t="s">
        <v>326</v>
      </c>
      <c r="B192" s="313"/>
      <c r="C192" s="313"/>
      <c r="D192" s="313"/>
      <c r="E192" s="313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</row>
    <row r="193" spans="1:84" ht="12.65" customHeight="1" x14ac:dyDescent="0.35">
      <c r="A193" s="320" t="s">
        <v>327</v>
      </c>
      <c r="B193" s="313"/>
      <c r="C193" s="313"/>
      <c r="D193" s="313"/>
      <c r="E193" s="313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</row>
    <row r="194" spans="1:84" ht="12.65" customHeight="1" x14ac:dyDescent="0.35">
      <c r="A194" s="304"/>
      <c r="B194" s="299" t="s">
        <v>328</v>
      </c>
      <c r="C194" s="298" t="s">
        <v>329</v>
      </c>
      <c r="D194" s="299" t="s">
        <v>330</v>
      </c>
      <c r="E194" s="299" t="s">
        <v>331</v>
      </c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</row>
    <row r="195" spans="1:84" ht="12.65" customHeight="1" x14ac:dyDescent="0.35">
      <c r="A195" s="297" t="s">
        <v>332</v>
      </c>
      <c r="B195" s="174">
        <v>203706.33</v>
      </c>
      <c r="C195" s="189">
        <v>0</v>
      </c>
      <c r="D195" s="174">
        <v>0</v>
      </c>
      <c r="E195" s="297">
        <f t="shared" ref="E195:E203" si="10">SUM(B195:C195)-D195</f>
        <v>203706.33</v>
      </c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</row>
    <row r="196" spans="1:84" ht="12.65" customHeight="1" x14ac:dyDescent="0.35">
      <c r="A196" s="297" t="s">
        <v>333</v>
      </c>
      <c r="B196" s="174">
        <v>1735411.47</v>
      </c>
      <c r="C196" s="189">
        <f>19688+27596.25</f>
        <v>47284.25</v>
      </c>
      <c r="D196" s="174">
        <v>0</v>
      </c>
      <c r="E196" s="297">
        <f t="shared" si="10"/>
        <v>1782695.72</v>
      </c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</row>
    <row r="197" spans="1:84" ht="12.65" customHeight="1" x14ac:dyDescent="0.35">
      <c r="A197" s="297" t="s">
        <v>334</v>
      </c>
      <c r="B197" s="174">
        <v>13441796.470000001</v>
      </c>
      <c r="C197" s="189">
        <f>82237.4+1000+134296.98</f>
        <v>217534.38</v>
      </c>
      <c r="D197" s="174">
        <v>0</v>
      </c>
      <c r="E197" s="297">
        <f t="shared" si="10"/>
        <v>13659330.850000001</v>
      </c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</row>
    <row r="198" spans="1:84" ht="12.65" customHeight="1" x14ac:dyDescent="0.35">
      <c r="A198" s="297" t="s">
        <v>335</v>
      </c>
      <c r="B198" s="174">
        <v>6685658.3399999999</v>
      </c>
      <c r="C198" s="189">
        <f>35000+103439.29</f>
        <v>138439.28999999998</v>
      </c>
      <c r="D198" s="174">
        <v>0</v>
      </c>
      <c r="E198" s="297">
        <f t="shared" si="10"/>
        <v>6824097.6299999999</v>
      </c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</row>
    <row r="199" spans="1:84" ht="12.65" customHeight="1" x14ac:dyDescent="0.35">
      <c r="A199" s="297" t="s">
        <v>336</v>
      </c>
      <c r="B199" s="174">
        <v>230742.95</v>
      </c>
      <c r="C199" s="189">
        <v>106405.02</v>
      </c>
      <c r="D199" s="174">
        <v>0</v>
      </c>
      <c r="E199" s="297">
        <f t="shared" si="10"/>
        <v>337147.97000000003</v>
      </c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</row>
    <row r="200" spans="1:84" ht="12.65" customHeight="1" x14ac:dyDescent="0.35">
      <c r="A200" s="297" t="s">
        <v>337</v>
      </c>
      <c r="B200" s="174">
        <v>6767507.3399999999</v>
      </c>
      <c r="C200" s="189">
        <v>371738.98</v>
      </c>
      <c r="D200" s="174">
        <v>0</v>
      </c>
      <c r="E200" s="297">
        <f t="shared" si="10"/>
        <v>7139246.3200000003</v>
      </c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</row>
    <row r="201" spans="1:84" ht="12.65" customHeight="1" x14ac:dyDescent="0.35">
      <c r="A201" s="297" t="s">
        <v>338</v>
      </c>
      <c r="B201" s="174"/>
      <c r="C201" s="189"/>
      <c r="D201" s="174"/>
      <c r="E201" s="297">
        <f t="shared" si="10"/>
        <v>0</v>
      </c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</row>
    <row r="202" spans="1:84" ht="12.65" customHeight="1" x14ac:dyDescent="0.35">
      <c r="A202" s="297" t="s">
        <v>339</v>
      </c>
      <c r="B202" s="174"/>
      <c r="C202" s="189"/>
      <c r="D202" s="174"/>
      <c r="E202" s="297">
        <f t="shared" si="10"/>
        <v>0</v>
      </c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</row>
    <row r="203" spans="1:84" ht="12.65" customHeight="1" x14ac:dyDescent="0.35">
      <c r="A203" s="297" t="s">
        <v>340</v>
      </c>
      <c r="B203" s="174">
        <v>176694</v>
      </c>
      <c r="C203" s="189">
        <v>534303</v>
      </c>
      <c r="D203" s="174">
        <v>499488</v>
      </c>
      <c r="E203" s="297">
        <f t="shared" si="10"/>
        <v>211509</v>
      </c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</row>
    <row r="204" spans="1:84" ht="12.65" customHeight="1" x14ac:dyDescent="0.35">
      <c r="A204" s="297" t="s">
        <v>203</v>
      </c>
      <c r="B204" s="297">
        <f>SUM(B195:B203)</f>
        <v>29241516.899999999</v>
      </c>
      <c r="C204" s="305">
        <f>SUM(C195:C203)</f>
        <v>1415704.92</v>
      </c>
      <c r="D204" s="297">
        <f>SUM(D195:D203)</f>
        <v>499488</v>
      </c>
      <c r="E204" s="297">
        <f>SUM(E195:E203)</f>
        <v>30157733.82</v>
      </c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</row>
    <row r="205" spans="1:84" ht="12.65" customHeight="1" x14ac:dyDescent="0.35">
      <c r="A205" s="297"/>
      <c r="B205" s="297"/>
      <c r="C205" s="305"/>
      <c r="D205" s="297"/>
      <c r="E205" s="297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</row>
    <row r="206" spans="1:84" ht="12.65" customHeight="1" x14ac:dyDescent="0.35">
      <c r="A206" s="320" t="s">
        <v>341</v>
      </c>
      <c r="B206" s="320"/>
      <c r="C206" s="320"/>
      <c r="D206" s="320"/>
      <c r="E206" s="320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</row>
    <row r="207" spans="1:84" ht="12.65" customHeight="1" x14ac:dyDescent="0.35">
      <c r="A207" s="304"/>
      <c r="B207" s="299" t="s">
        <v>328</v>
      </c>
      <c r="C207" s="298" t="s">
        <v>329</v>
      </c>
      <c r="D207" s="299" t="s">
        <v>330</v>
      </c>
      <c r="E207" s="299" t="s">
        <v>331</v>
      </c>
      <c r="F207" s="2"/>
      <c r="G207" s="2"/>
      <c r="H207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</row>
    <row r="208" spans="1:84" ht="12.65" customHeight="1" x14ac:dyDescent="0.35">
      <c r="A208" s="297" t="s">
        <v>332</v>
      </c>
      <c r="B208" s="326"/>
      <c r="C208" s="325"/>
      <c r="D208" s="326"/>
      <c r="E208" s="297"/>
      <c r="F208" s="2"/>
      <c r="G208" s="2"/>
      <c r="H208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</row>
    <row r="209" spans="1:84" ht="12.65" customHeight="1" x14ac:dyDescent="0.35">
      <c r="A209" s="297" t="s">
        <v>333</v>
      </c>
      <c r="B209" s="174">
        <v>1236578.29</v>
      </c>
      <c r="C209" s="189">
        <v>102918.52</v>
      </c>
      <c r="D209" s="174"/>
      <c r="E209" s="297">
        <f t="shared" ref="E209:E216" si="11">SUM(B209:C209)-D209</f>
        <v>1339496.81</v>
      </c>
      <c r="F209" s="2"/>
      <c r="G209" s="2"/>
      <c r="H209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</row>
    <row r="210" spans="1:84" ht="12.65" customHeight="1" x14ac:dyDescent="0.35">
      <c r="A210" s="297" t="s">
        <v>334</v>
      </c>
      <c r="B210" s="174">
        <v>7354969.2800000003</v>
      </c>
      <c r="C210" s="189">
        <v>376151.34</v>
      </c>
      <c r="D210" s="174"/>
      <c r="E210" s="297">
        <f t="shared" si="11"/>
        <v>7731120.6200000001</v>
      </c>
      <c r="F210" s="2"/>
      <c r="G210" s="2"/>
      <c r="H210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</row>
    <row r="211" spans="1:84" ht="12.65" customHeight="1" x14ac:dyDescent="0.35">
      <c r="A211" s="297" t="s">
        <v>335</v>
      </c>
      <c r="B211" s="174">
        <v>3964653.14</v>
      </c>
      <c r="C211" s="189">
        <v>398600.47</v>
      </c>
      <c r="D211" s="174"/>
      <c r="E211" s="297">
        <f t="shared" si="11"/>
        <v>4363253.6100000003</v>
      </c>
      <c r="F211" s="2"/>
      <c r="G211" s="2"/>
      <c r="H211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</row>
    <row r="212" spans="1:84" ht="12.65" customHeight="1" x14ac:dyDescent="0.35">
      <c r="A212" s="297" t="s">
        <v>336</v>
      </c>
      <c r="B212" s="174">
        <v>222486.39</v>
      </c>
      <c r="C212" s="189">
        <v>3430.93</v>
      </c>
      <c r="D212" s="174"/>
      <c r="E212" s="297">
        <f t="shared" si="11"/>
        <v>225917.32</v>
      </c>
      <c r="F212" s="2"/>
      <c r="G212" s="2"/>
      <c r="H21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</row>
    <row r="213" spans="1:84" ht="12.65" customHeight="1" x14ac:dyDescent="0.35">
      <c r="A213" s="297" t="s">
        <v>337</v>
      </c>
      <c r="B213" s="174">
        <v>5758824.6299999999</v>
      </c>
      <c r="C213" s="189">
        <v>365699.35</v>
      </c>
      <c r="D213" s="174"/>
      <c r="E213" s="297">
        <f t="shared" si="11"/>
        <v>6124523.9799999995</v>
      </c>
      <c r="F213" s="2"/>
      <c r="G213" s="2"/>
      <c r="H213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</row>
    <row r="214" spans="1:84" ht="12.65" customHeight="1" x14ac:dyDescent="0.35">
      <c r="A214" s="297" t="s">
        <v>338</v>
      </c>
      <c r="B214" s="174"/>
      <c r="C214" s="189"/>
      <c r="D214" s="174"/>
      <c r="E214" s="297">
        <f t="shared" si="11"/>
        <v>0</v>
      </c>
      <c r="F214" s="2"/>
      <c r="G214" s="2"/>
      <c r="H214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</row>
    <row r="215" spans="1:84" ht="12.65" customHeight="1" x14ac:dyDescent="0.35">
      <c r="A215" s="297" t="s">
        <v>339</v>
      </c>
      <c r="B215" s="174"/>
      <c r="C215" s="189"/>
      <c r="D215" s="174"/>
      <c r="E215" s="297">
        <f t="shared" si="11"/>
        <v>0</v>
      </c>
      <c r="F215" s="2"/>
      <c r="G215" s="2"/>
      <c r="H215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</row>
    <row r="216" spans="1:84" ht="12.65" customHeight="1" x14ac:dyDescent="0.35">
      <c r="A216" s="297" t="s">
        <v>340</v>
      </c>
      <c r="B216" s="174"/>
      <c r="C216" s="189"/>
      <c r="D216" s="174"/>
      <c r="E216" s="297">
        <f t="shared" si="11"/>
        <v>0</v>
      </c>
      <c r="F216" s="2"/>
      <c r="G216" s="2"/>
      <c r="H216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</row>
    <row r="217" spans="1:84" ht="12.65" customHeight="1" x14ac:dyDescent="0.35">
      <c r="A217" s="297" t="s">
        <v>203</v>
      </c>
      <c r="B217" s="297">
        <f>SUM(B208:B216)</f>
        <v>18537511.73</v>
      </c>
      <c r="C217" s="305">
        <f>SUM(C208:C216)</f>
        <v>1246800.6100000001</v>
      </c>
      <c r="D217" s="297">
        <f>SUM(D208:D216)</f>
        <v>0</v>
      </c>
      <c r="E217" s="297">
        <f>SUM(E208:E216)</f>
        <v>19784312.34</v>
      </c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</row>
    <row r="218" spans="1:84" ht="12.65" customHeight="1" x14ac:dyDescent="0.35">
      <c r="A218" s="297"/>
      <c r="B218" s="297"/>
      <c r="C218" s="305"/>
      <c r="D218" s="297"/>
      <c r="E218" s="297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</row>
    <row r="219" spans="1:84" ht="21.75" customHeight="1" x14ac:dyDescent="0.35">
      <c r="A219" s="313" t="s">
        <v>342</v>
      </c>
      <c r="B219" s="313"/>
      <c r="C219" s="313"/>
      <c r="D219" s="313"/>
      <c r="E219" s="313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</row>
    <row r="220" spans="1:84" ht="12.65" customHeight="1" x14ac:dyDescent="0.35">
      <c r="A220" s="313"/>
      <c r="B220" s="343" t="s">
        <v>1254</v>
      </c>
      <c r="C220" s="343"/>
      <c r="D220" s="313"/>
      <c r="E220" s="313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</row>
    <row r="221" spans="1:84" ht="12.65" customHeight="1" x14ac:dyDescent="0.35">
      <c r="A221" s="327" t="s">
        <v>1254</v>
      </c>
      <c r="B221" s="313"/>
      <c r="C221" s="189">
        <v>1487621.8</v>
      </c>
      <c r="D221" s="314">
        <f>C221</f>
        <v>1487621.8</v>
      </c>
      <c r="E221" s="313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</row>
    <row r="222" spans="1:84" ht="12.65" customHeight="1" x14ac:dyDescent="0.35">
      <c r="A222" s="318" t="s">
        <v>343</v>
      </c>
      <c r="B222" s="318"/>
      <c r="C222" s="318"/>
      <c r="D222" s="318"/>
      <c r="E222" s="318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</row>
    <row r="223" spans="1:84" ht="12.65" customHeight="1" x14ac:dyDescent="0.35">
      <c r="A223" s="297" t="s">
        <v>344</v>
      </c>
      <c r="B223" s="314" t="s">
        <v>256</v>
      </c>
      <c r="C223" s="189">
        <v>8656586.3800000008</v>
      </c>
      <c r="D223" s="297"/>
      <c r="E223" s="297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</row>
    <row r="224" spans="1:84" ht="12.65" customHeight="1" x14ac:dyDescent="0.35">
      <c r="A224" s="297" t="s">
        <v>345</v>
      </c>
      <c r="B224" s="314" t="s">
        <v>256</v>
      </c>
      <c r="C224" s="189">
        <v>6788944.3700000001</v>
      </c>
      <c r="D224" s="297"/>
      <c r="E224" s="297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</row>
    <row r="225" spans="1:84" ht="12.65" customHeight="1" x14ac:dyDescent="0.35">
      <c r="A225" s="297" t="s">
        <v>346</v>
      </c>
      <c r="B225" s="314" t="s">
        <v>256</v>
      </c>
      <c r="C225" s="189">
        <v>99215.75</v>
      </c>
      <c r="D225" s="297"/>
      <c r="E225" s="297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</row>
    <row r="226" spans="1:84" ht="12.65" customHeight="1" x14ac:dyDescent="0.35">
      <c r="A226" s="297" t="s">
        <v>347</v>
      </c>
      <c r="B226" s="314" t="s">
        <v>256</v>
      </c>
      <c r="C226" s="189"/>
      <c r="D226" s="297"/>
      <c r="E226" s="297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</row>
    <row r="227" spans="1:84" ht="12.65" customHeight="1" x14ac:dyDescent="0.35">
      <c r="A227" s="297" t="s">
        <v>348</v>
      </c>
      <c r="B227" s="314" t="s">
        <v>256</v>
      </c>
      <c r="C227" s="189"/>
      <c r="D227" s="297"/>
      <c r="E227" s="297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</row>
    <row r="228" spans="1:84" ht="12.65" customHeight="1" x14ac:dyDescent="0.35">
      <c r="A228" s="297" t="s">
        <v>349</v>
      </c>
      <c r="B228" s="314" t="s">
        <v>256</v>
      </c>
      <c r="C228" s="189">
        <v>2427690.98</v>
      </c>
      <c r="D228" s="297"/>
      <c r="E228" s="297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</row>
    <row r="229" spans="1:84" ht="12.65" customHeight="1" x14ac:dyDescent="0.35">
      <c r="A229" s="297" t="s">
        <v>350</v>
      </c>
      <c r="B229" s="297"/>
      <c r="C229" s="305"/>
      <c r="D229" s="297">
        <f>SUM(C223:C228)</f>
        <v>17972437.48</v>
      </c>
      <c r="E229" s="297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</row>
    <row r="230" spans="1:84" ht="12.65" customHeight="1" x14ac:dyDescent="0.35">
      <c r="A230" s="318" t="s">
        <v>351</v>
      </c>
      <c r="B230" s="318"/>
      <c r="C230" s="318"/>
      <c r="D230" s="318"/>
      <c r="E230" s="318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</row>
    <row r="231" spans="1:84" ht="12.65" customHeight="1" x14ac:dyDescent="0.35">
      <c r="A231" s="304" t="s">
        <v>352</v>
      </c>
      <c r="B231" s="314" t="s">
        <v>256</v>
      </c>
      <c r="C231" s="189"/>
      <c r="D231" s="297"/>
      <c r="E231" s="297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</row>
    <row r="232" spans="1:84" ht="12.65" customHeight="1" x14ac:dyDescent="0.35">
      <c r="A232" s="304"/>
      <c r="B232" s="314"/>
      <c r="C232" s="305"/>
      <c r="D232" s="297"/>
      <c r="E232" s="297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</row>
    <row r="233" spans="1:84" ht="12.65" customHeight="1" x14ac:dyDescent="0.35">
      <c r="A233" s="304" t="s">
        <v>353</v>
      </c>
      <c r="B233" s="314" t="s">
        <v>256</v>
      </c>
      <c r="C233" s="189"/>
      <c r="D233" s="297"/>
      <c r="E233" s="297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</row>
    <row r="234" spans="1:84" ht="12.65" customHeight="1" x14ac:dyDescent="0.35">
      <c r="A234" s="304" t="s">
        <v>354</v>
      </c>
      <c r="B234" s="314" t="s">
        <v>256</v>
      </c>
      <c r="C234" s="189">
        <v>583768.39</v>
      </c>
      <c r="D234" s="297"/>
      <c r="E234" s="297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</row>
    <row r="235" spans="1:84" ht="12.65" customHeight="1" x14ac:dyDescent="0.35">
      <c r="A235" s="297"/>
      <c r="B235" s="297"/>
      <c r="C235" s="305"/>
      <c r="D235" s="297"/>
      <c r="E235" s="297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</row>
    <row r="236" spans="1:84" ht="12.65" customHeight="1" x14ac:dyDescent="0.35">
      <c r="A236" s="304" t="s">
        <v>355</v>
      </c>
      <c r="B236" s="297"/>
      <c r="C236" s="305"/>
      <c r="D236" s="297">
        <f>SUM(C233:C235)</f>
        <v>583768.39</v>
      </c>
      <c r="E236" s="297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</row>
    <row r="237" spans="1:84" ht="12.65" customHeight="1" x14ac:dyDescent="0.35">
      <c r="A237" s="318" t="s">
        <v>356</v>
      </c>
      <c r="B237" s="318"/>
      <c r="C237" s="318"/>
      <c r="D237" s="318"/>
      <c r="E237" s="318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</row>
    <row r="238" spans="1:84" ht="12.65" customHeight="1" x14ac:dyDescent="0.35">
      <c r="A238" s="297" t="s">
        <v>357</v>
      </c>
      <c r="B238" s="314" t="s">
        <v>256</v>
      </c>
      <c r="C238" s="189">
        <v>100588.72</v>
      </c>
      <c r="D238" s="297"/>
      <c r="E238" s="297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</row>
    <row r="239" spans="1:84" ht="12.65" customHeight="1" x14ac:dyDescent="0.35">
      <c r="A239" s="297" t="s">
        <v>356</v>
      </c>
      <c r="B239" s="314" t="s">
        <v>256</v>
      </c>
      <c r="C239" s="189">
        <v>-24.8</v>
      </c>
      <c r="D239" s="297"/>
      <c r="E239" s="297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</row>
    <row r="240" spans="1:84" ht="12.65" customHeight="1" x14ac:dyDescent="0.35">
      <c r="A240" s="297" t="s">
        <v>358</v>
      </c>
      <c r="B240" s="297"/>
      <c r="C240" s="305"/>
      <c r="D240" s="297">
        <f>SUM(C238:C239)</f>
        <v>100563.92</v>
      </c>
      <c r="E240" s="297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</row>
    <row r="241" spans="1:84" ht="12.65" customHeight="1" x14ac:dyDescent="0.35">
      <c r="A241" s="297"/>
      <c r="B241" s="297"/>
      <c r="C241" s="305"/>
      <c r="D241" s="297"/>
      <c r="E241" s="297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</row>
    <row r="242" spans="1:84" ht="12.65" customHeight="1" x14ac:dyDescent="0.35">
      <c r="A242" s="297" t="s">
        <v>359</v>
      </c>
      <c r="B242" s="297"/>
      <c r="C242" s="305"/>
      <c r="D242" s="297">
        <f>D221+D229+D236+D240</f>
        <v>20144391.590000004</v>
      </c>
      <c r="E242" s="297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</row>
    <row r="243" spans="1:84" ht="12.65" customHeight="1" x14ac:dyDescent="0.35">
      <c r="A243" s="297"/>
      <c r="B243" s="297"/>
      <c r="C243" s="305"/>
      <c r="D243" s="297"/>
      <c r="E243" s="297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</row>
    <row r="244" spans="1:84" ht="12.65" customHeight="1" x14ac:dyDescent="0.35">
      <c r="A244" s="297"/>
      <c r="B244" s="297"/>
      <c r="C244" s="305"/>
      <c r="D244" s="297"/>
      <c r="E244" s="297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</row>
    <row r="245" spans="1:84" ht="12.65" customHeight="1" x14ac:dyDescent="0.35">
      <c r="A245" s="297"/>
      <c r="B245" s="297"/>
      <c r="C245" s="305"/>
      <c r="D245" s="297"/>
      <c r="E245" s="297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</row>
    <row r="246" spans="1:84" ht="21.75" customHeight="1" x14ac:dyDescent="0.35">
      <c r="A246" s="297"/>
      <c r="B246" s="297"/>
      <c r="C246" s="305"/>
      <c r="D246" s="297"/>
      <c r="E246" s="297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</row>
    <row r="247" spans="1:84" ht="12.65" customHeight="1" x14ac:dyDescent="0.35">
      <c r="A247" s="297"/>
      <c r="B247" s="297"/>
      <c r="C247" s="305"/>
      <c r="D247" s="297"/>
      <c r="E247" s="297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</row>
    <row r="248" spans="1:84" ht="11.25" customHeight="1" x14ac:dyDescent="0.35">
      <c r="A248" s="313" t="s">
        <v>360</v>
      </c>
      <c r="B248" s="313"/>
      <c r="C248" s="313"/>
      <c r="D248" s="313"/>
      <c r="E248" s="313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</row>
    <row r="249" spans="1:84" ht="12.65" customHeight="1" x14ac:dyDescent="0.35">
      <c r="A249" s="318" t="s">
        <v>361</v>
      </c>
      <c r="B249" s="318"/>
      <c r="C249" s="318"/>
      <c r="D249" s="318"/>
      <c r="E249" s="318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</row>
    <row r="250" spans="1:84" ht="12.65" customHeight="1" x14ac:dyDescent="0.35">
      <c r="A250" s="297" t="s">
        <v>362</v>
      </c>
      <c r="B250" s="314" t="s">
        <v>256</v>
      </c>
      <c r="C250" s="189">
        <v>2292544.06</v>
      </c>
      <c r="D250" s="297"/>
      <c r="E250" s="297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</row>
    <row r="251" spans="1:84" ht="12.65" customHeight="1" x14ac:dyDescent="0.35">
      <c r="A251" s="297" t="s">
        <v>363</v>
      </c>
      <c r="B251" s="314" t="s">
        <v>256</v>
      </c>
      <c r="C251" s="189"/>
      <c r="D251" s="297"/>
      <c r="E251" s="297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</row>
    <row r="252" spans="1:84" ht="12.65" customHeight="1" x14ac:dyDescent="0.35">
      <c r="A252" s="297" t="s">
        <v>364</v>
      </c>
      <c r="B252" s="314" t="s">
        <v>256</v>
      </c>
      <c r="C252" s="189">
        <v>8217652.0300000003</v>
      </c>
      <c r="D252" s="297"/>
      <c r="E252" s="297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</row>
    <row r="253" spans="1:84" ht="12.65" customHeight="1" x14ac:dyDescent="0.35">
      <c r="A253" s="297" t="s">
        <v>365</v>
      </c>
      <c r="B253" s="314" t="s">
        <v>256</v>
      </c>
      <c r="C253" s="189">
        <v>4244315.7300000004</v>
      </c>
      <c r="D253" s="297"/>
      <c r="E253" s="297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</row>
    <row r="254" spans="1:84" ht="12.65" customHeight="1" x14ac:dyDescent="0.35">
      <c r="A254" s="297" t="s">
        <v>1240</v>
      </c>
      <c r="B254" s="314" t="s">
        <v>256</v>
      </c>
      <c r="C254" s="189">
        <v>111411.92</v>
      </c>
      <c r="D254" s="297"/>
      <c r="E254" s="297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</row>
    <row r="255" spans="1:84" ht="12.65" customHeight="1" x14ac:dyDescent="0.35">
      <c r="A255" s="297" t="s">
        <v>366</v>
      </c>
      <c r="B255" s="314" t="s">
        <v>256</v>
      </c>
      <c r="C255" s="189">
        <f>206543.25+722051.79</f>
        <v>928595.04</v>
      </c>
      <c r="D255" s="297"/>
      <c r="E255" s="297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</row>
    <row r="256" spans="1:84" ht="12.65" customHeight="1" x14ac:dyDescent="0.35">
      <c r="A256" s="297" t="s">
        <v>367</v>
      </c>
      <c r="B256" s="314" t="s">
        <v>256</v>
      </c>
      <c r="C256" s="189"/>
      <c r="D256" s="297"/>
      <c r="E256" s="297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</row>
    <row r="257" spans="1:84" ht="12.65" customHeight="1" x14ac:dyDescent="0.35">
      <c r="A257" s="297" t="s">
        <v>368</v>
      </c>
      <c r="B257" s="314" t="s">
        <v>256</v>
      </c>
      <c r="C257" s="189">
        <v>166944.53</v>
      </c>
      <c r="D257" s="297"/>
      <c r="E257" s="297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</row>
    <row r="258" spans="1:84" ht="12.65" customHeight="1" x14ac:dyDescent="0.35">
      <c r="A258" s="297" t="s">
        <v>369</v>
      </c>
      <c r="B258" s="314" t="s">
        <v>256</v>
      </c>
      <c r="C258" s="189">
        <v>130525.31</v>
      </c>
      <c r="D258" s="297"/>
      <c r="E258" s="297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</row>
    <row r="259" spans="1:84" ht="12.65" customHeight="1" x14ac:dyDescent="0.35">
      <c r="A259" s="297" t="s">
        <v>370</v>
      </c>
      <c r="B259" s="314" t="s">
        <v>256</v>
      </c>
      <c r="C259" s="189"/>
      <c r="D259" s="297"/>
      <c r="E259" s="297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</row>
    <row r="260" spans="1:84" ht="11.25" customHeight="1" x14ac:dyDescent="0.35">
      <c r="A260" s="297" t="s">
        <v>371</v>
      </c>
      <c r="B260" s="297"/>
      <c r="C260" s="305"/>
      <c r="D260" s="297">
        <f>SUM(C250:C252)-C253+SUM(C254:C259)</f>
        <v>7603357.1599999992</v>
      </c>
      <c r="E260" s="297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</row>
    <row r="261" spans="1:84" ht="12.65" customHeight="1" x14ac:dyDescent="0.35">
      <c r="A261" s="318" t="s">
        <v>372</v>
      </c>
      <c r="B261" s="318"/>
      <c r="C261" s="318"/>
      <c r="D261" s="318"/>
      <c r="E261" s="318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</row>
    <row r="262" spans="1:84" ht="12.65" customHeight="1" x14ac:dyDescent="0.35">
      <c r="A262" s="297" t="s">
        <v>362</v>
      </c>
      <c r="B262" s="314" t="s">
        <v>256</v>
      </c>
      <c r="C262" s="189"/>
      <c r="D262" s="297"/>
      <c r="E262" s="297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</row>
    <row r="263" spans="1:84" ht="12.65" customHeight="1" x14ac:dyDescent="0.35">
      <c r="A263" s="297" t="s">
        <v>363</v>
      </c>
      <c r="B263" s="314" t="s">
        <v>256</v>
      </c>
      <c r="C263" s="189"/>
      <c r="D263" s="297"/>
      <c r="E263" s="297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</row>
    <row r="264" spans="1:84" ht="12.65" customHeight="1" x14ac:dyDescent="0.35">
      <c r="A264" s="297" t="s">
        <v>373</v>
      </c>
      <c r="B264" s="314" t="s">
        <v>256</v>
      </c>
      <c r="C264" s="189">
        <v>327197.09000000003</v>
      </c>
      <c r="D264" s="297"/>
      <c r="E264" s="297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</row>
    <row r="265" spans="1:84" ht="11.25" customHeight="1" x14ac:dyDescent="0.35">
      <c r="A265" s="297" t="s">
        <v>374</v>
      </c>
      <c r="B265" s="297"/>
      <c r="C265" s="305"/>
      <c r="D265" s="297">
        <f>SUM(C262:C264)</f>
        <v>327197.09000000003</v>
      </c>
      <c r="E265" s="297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</row>
    <row r="266" spans="1:84" ht="12.65" customHeight="1" x14ac:dyDescent="0.35">
      <c r="A266" s="318" t="s">
        <v>375</v>
      </c>
      <c r="B266" s="318"/>
      <c r="C266" s="318"/>
      <c r="D266" s="318"/>
      <c r="E266" s="318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</row>
    <row r="267" spans="1:84" ht="12.65" customHeight="1" x14ac:dyDescent="0.35">
      <c r="A267" s="297" t="s">
        <v>332</v>
      </c>
      <c r="B267" s="314" t="s">
        <v>256</v>
      </c>
      <c r="C267" s="189">
        <v>203706.33</v>
      </c>
      <c r="D267" s="297"/>
      <c r="E267" s="297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</row>
    <row r="268" spans="1:84" ht="12.65" customHeight="1" x14ac:dyDescent="0.35">
      <c r="A268" s="297" t="s">
        <v>333</v>
      </c>
      <c r="B268" s="314" t="s">
        <v>256</v>
      </c>
      <c r="C268" s="189">
        <v>1782695.72</v>
      </c>
      <c r="D268" s="297"/>
      <c r="E268" s="297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</row>
    <row r="269" spans="1:84" ht="12.65" customHeight="1" x14ac:dyDescent="0.35">
      <c r="A269" s="297" t="s">
        <v>334</v>
      </c>
      <c r="B269" s="314" t="s">
        <v>256</v>
      </c>
      <c r="C269" s="189">
        <v>13659330.85</v>
      </c>
      <c r="D269" s="297"/>
      <c r="E269" s="297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</row>
    <row r="270" spans="1:84" ht="12.65" customHeight="1" x14ac:dyDescent="0.35">
      <c r="A270" s="297" t="s">
        <v>376</v>
      </c>
      <c r="B270" s="314" t="s">
        <v>256</v>
      </c>
      <c r="C270" s="189">
        <v>6824097.6299999999</v>
      </c>
      <c r="D270" s="297"/>
      <c r="E270" s="297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</row>
    <row r="271" spans="1:84" ht="12.65" customHeight="1" x14ac:dyDescent="0.35">
      <c r="A271" s="297" t="s">
        <v>377</v>
      </c>
      <c r="B271" s="314" t="s">
        <v>256</v>
      </c>
      <c r="C271" s="189">
        <v>337147.97</v>
      </c>
      <c r="D271" s="297"/>
      <c r="E271" s="297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</row>
    <row r="272" spans="1:84" ht="12.65" customHeight="1" x14ac:dyDescent="0.35">
      <c r="A272" s="297" t="s">
        <v>378</v>
      </c>
      <c r="B272" s="314" t="s">
        <v>256</v>
      </c>
      <c r="C272" s="189">
        <v>7139246.3200000003</v>
      </c>
      <c r="D272" s="297"/>
      <c r="E272" s="297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</row>
    <row r="273" spans="1:84" ht="12.65" customHeight="1" x14ac:dyDescent="0.35">
      <c r="A273" s="297" t="s">
        <v>339</v>
      </c>
      <c r="B273" s="314" t="s">
        <v>256</v>
      </c>
      <c r="C273" s="189"/>
      <c r="D273" s="297"/>
      <c r="E273" s="297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</row>
    <row r="274" spans="1:84" ht="12.65" customHeight="1" x14ac:dyDescent="0.35">
      <c r="A274" s="297" t="s">
        <v>340</v>
      </c>
      <c r="B274" s="314" t="s">
        <v>256</v>
      </c>
      <c r="C274" s="189">
        <v>211509.94</v>
      </c>
      <c r="D274" s="297"/>
      <c r="E274" s="297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</row>
    <row r="275" spans="1:84" ht="12.65" customHeight="1" x14ac:dyDescent="0.35">
      <c r="A275" s="297" t="s">
        <v>379</v>
      </c>
      <c r="B275" s="297"/>
      <c r="C275" s="305"/>
      <c r="D275" s="297">
        <f>SUM(C267:C274)</f>
        <v>30157734.760000002</v>
      </c>
      <c r="E275" s="297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</row>
    <row r="276" spans="1:84" ht="12.65" customHeight="1" x14ac:dyDescent="0.35">
      <c r="A276" s="297" t="s">
        <v>380</v>
      </c>
      <c r="B276" s="314" t="s">
        <v>256</v>
      </c>
      <c r="C276" s="189">
        <v>19784312.309999999</v>
      </c>
      <c r="D276" s="297"/>
      <c r="E276" s="297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</row>
    <row r="277" spans="1:84" ht="12.65" customHeight="1" x14ac:dyDescent="0.35">
      <c r="A277" s="297" t="s">
        <v>381</v>
      </c>
      <c r="B277" s="297"/>
      <c r="C277" s="305"/>
      <c r="D277" s="297">
        <f>D275-C276</f>
        <v>10373422.450000003</v>
      </c>
      <c r="E277" s="297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</row>
    <row r="278" spans="1:84" ht="12.65" customHeight="1" x14ac:dyDescent="0.35">
      <c r="A278" s="318" t="s">
        <v>382</v>
      </c>
      <c r="B278" s="318"/>
      <c r="C278" s="318"/>
      <c r="D278" s="318"/>
      <c r="E278" s="318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</row>
    <row r="279" spans="1:84" ht="12.65" customHeight="1" x14ac:dyDescent="0.35">
      <c r="A279" s="297" t="s">
        <v>383</v>
      </c>
      <c r="B279" s="314" t="s">
        <v>256</v>
      </c>
      <c r="C279" s="189"/>
      <c r="D279" s="297"/>
      <c r="E279" s="297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</row>
    <row r="280" spans="1:84" ht="12.65" customHeight="1" x14ac:dyDescent="0.35">
      <c r="A280" s="297" t="s">
        <v>384</v>
      </c>
      <c r="B280" s="314" t="s">
        <v>256</v>
      </c>
      <c r="C280" s="189"/>
      <c r="D280" s="297"/>
      <c r="E280" s="297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</row>
    <row r="281" spans="1:84" ht="12.65" customHeight="1" x14ac:dyDescent="0.35">
      <c r="A281" s="297" t="s">
        <v>385</v>
      </c>
      <c r="B281" s="314" t="s">
        <v>256</v>
      </c>
      <c r="C281" s="189"/>
      <c r="D281" s="297"/>
      <c r="E281" s="297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</row>
    <row r="282" spans="1:84" ht="12.65" customHeight="1" x14ac:dyDescent="0.35">
      <c r="A282" s="297" t="s">
        <v>373</v>
      </c>
      <c r="B282" s="314" t="s">
        <v>256</v>
      </c>
      <c r="C282" s="189"/>
      <c r="D282" s="297"/>
      <c r="E282" s="297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</row>
    <row r="283" spans="1:84" ht="12.65" customHeight="1" x14ac:dyDescent="0.35">
      <c r="A283" s="297" t="s">
        <v>386</v>
      </c>
      <c r="B283" s="297"/>
      <c r="C283" s="305"/>
      <c r="D283" s="297">
        <f>C279-C280+C281+C282</f>
        <v>0</v>
      </c>
      <c r="E283" s="297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</row>
    <row r="284" spans="1:84" ht="12.65" customHeight="1" x14ac:dyDescent="0.35">
      <c r="A284" s="297"/>
      <c r="B284" s="297"/>
      <c r="C284" s="305"/>
      <c r="D284" s="297"/>
      <c r="E284" s="297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</row>
    <row r="285" spans="1:84" ht="12.65" customHeight="1" x14ac:dyDescent="0.35">
      <c r="A285" s="318" t="s">
        <v>387</v>
      </c>
      <c r="B285" s="318"/>
      <c r="C285" s="318"/>
      <c r="D285" s="318"/>
      <c r="E285" s="318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</row>
    <row r="286" spans="1:84" ht="12.65" customHeight="1" x14ac:dyDescent="0.35">
      <c r="A286" s="297" t="s">
        <v>388</v>
      </c>
      <c r="B286" s="314" t="s">
        <v>256</v>
      </c>
      <c r="C286" s="189"/>
      <c r="D286" s="297"/>
      <c r="E286" s="297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</row>
    <row r="287" spans="1:84" ht="12.65" customHeight="1" x14ac:dyDescent="0.35">
      <c r="A287" s="297" t="s">
        <v>389</v>
      </c>
      <c r="B287" s="314" t="s">
        <v>256</v>
      </c>
      <c r="C287" s="189"/>
      <c r="D287" s="297"/>
      <c r="E287" s="297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</row>
    <row r="288" spans="1:84" ht="12.65" customHeight="1" x14ac:dyDescent="0.35">
      <c r="A288" s="297" t="s">
        <v>390</v>
      </c>
      <c r="B288" s="314" t="s">
        <v>256</v>
      </c>
      <c r="C288" s="189"/>
      <c r="D288" s="297"/>
      <c r="E288" s="297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</row>
    <row r="289" spans="1:84" ht="12.65" customHeight="1" x14ac:dyDescent="0.35">
      <c r="A289" s="297" t="s">
        <v>391</v>
      </c>
      <c r="B289" s="314" t="s">
        <v>256</v>
      </c>
      <c r="C289" s="189"/>
      <c r="D289" s="297"/>
      <c r="E289" s="297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</row>
    <row r="290" spans="1:84" ht="12.65" customHeight="1" x14ac:dyDescent="0.35">
      <c r="A290" s="297" t="s">
        <v>392</v>
      </c>
      <c r="B290" s="297"/>
      <c r="C290" s="305"/>
      <c r="D290" s="297">
        <f>SUM(C286:C289)</f>
        <v>0</v>
      </c>
      <c r="E290" s="297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</row>
    <row r="291" spans="1:84" ht="12.65" customHeight="1" x14ac:dyDescent="0.35">
      <c r="A291" s="297"/>
      <c r="B291" s="297"/>
      <c r="C291" s="305"/>
      <c r="D291" s="297"/>
      <c r="E291" s="297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</row>
    <row r="292" spans="1:84" ht="12.65" customHeight="1" x14ac:dyDescent="0.35">
      <c r="A292" s="297" t="s">
        <v>393</v>
      </c>
      <c r="B292" s="297"/>
      <c r="C292" s="305"/>
      <c r="D292" s="297">
        <f>D260+D265+D277+D283+D290</f>
        <v>18303976.700000003</v>
      </c>
      <c r="E292" s="297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</row>
    <row r="293" spans="1:84" ht="12.65" customHeight="1" x14ac:dyDescent="0.35">
      <c r="A293" s="297"/>
      <c r="B293" s="297"/>
      <c r="C293" s="305"/>
      <c r="D293" s="297"/>
      <c r="E293" s="297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</row>
    <row r="294" spans="1:84" ht="12.65" customHeight="1" x14ac:dyDescent="0.35">
      <c r="A294" s="297"/>
      <c r="B294" s="297"/>
      <c r="C294" s="305"/>
      <c r="D294" s="297"/>
      <c r="E294" s="297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</row>
    <row r="295" spans="1:84" ht="12.65" customHeight="1" x14ac:dyDescent="0.35">
      <c r="A295" s="297"/>
      <c r="B295" s="297"/>
      <c r="C295" s="305"/>
      <c r="D295" s="297"/>
      <c r="E295" s="297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</row>
    <row r="296" spans="1:84" ht="12.65" customHeight="1" x14ac:dyDescent="0.35">
      <c r="A296" s="297"/>
      <c r="B296" s="297"/>
      <c r="C296" s="305"/>
      <c r="D296" s="297"/>
      <c r="E296" s="297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</row>
    <row r="297" spans="1:84" ht="12.65" customHeight="1" x14ac:dyDescent="0.35">
      <c r="A297" s="297"/>
      <c r="B297" s="297"/>
      <c r="C297" s="305"/>
      <c r="D297" s="297"/>
      <c r="E297" s="297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</row>
    <row r="298" spans="1:84" ht="12.65" customHeight="1" x14ac:dyDescent="0.35">
      <c r="A298" s="297"/>
      <c r="B298" s="297"/>
      <c r="C298" s="305"/>
      <c r="D298" s="297"/>
      <c r="E298" s="297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</row>
    <row r="299" spans="1:84" ht="12.65" customHeight="1" x14ac:dyDescent="0.35">
      <c r="A299" s="297"/>
      <c r="B299" s="297"/>
      <c r="C299" s="305"/>
      <c r="D299" s="297"/>
      <c r="E299" s="297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</row>
    <row r="300" spans="1:84" ht="20.25" customHeight="1" x14ac:dyDescent="0.35">
      <c r="A300" s="297"/>
      <c r="B300" s="297"/>
      <c r="C300" s="305"/>
      <c r="D300" s="297"/>
      <c r="E300" s="297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</row>
    <row r="301" spans="1:84" ht="12.65" customHeight="1" x14ac:dyDescent="0.35">
      <c r="A301" s="297"/>
      <c r="B301" s="297"/>
      <c r="C301" s="305"/>
      <c r="D301" s="297"/>
      <c r="E301" s="297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</row>
    <row r="302" spans="1:84" ht="14.25" customHeight="1" x14ac:dyDescent="0.35">
      <c r="A302" s="313" t="s">
        <v>394</v>
      </c>
      <c r="B302" s="313"/>
      <c r="C302" s="313"/>
      <c r="D302" s="313"/>
      <c r="E302" s="313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</row>
    <row r="303" spans="1:84" ht="12.65" customHeight="1" x14ac:dyDescent="0.35">
      <c r="A303" s="318" t="s">
        <v>395</v>
      </c>
      <c r="B303" s="318"/>
      <c r="C303" s="318"/>
      <c r="D303" s="318"/>
      <c r="E303" s="318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</row>
    <row r="304" spans="1:84" ht="12.65" customHeight="1" x14ac:dyDescent="0.35">
      <c r="A304" s="297" t="s">
        <v>396</v>
      </c>
      <c r="B304" s="314" t="s">
        <v>256</v>
      </c>
      <c r="C304" s="189">
        <v>206543.25</v>
      </c>
      <c r="D304" s="297"/>
      <c r="E304" s="297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</row>
    <row r="305" spans="1:84" ht="12.65" customHeight="1" x14ac:dyDescent="0.35">
      <c r="A305" s="297" t="s">
        <v>397</v>
      </c>
      <c r="B305" s="314" t="s">
        <v>256</v>
      </c>
      <c r="C305" s="189">
        <v>865313.73</v>
      </c>
      <c r="D305" s="297"/>
      <c r="E305" s="297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</row>
    <row r="306" spans="1:84" ht="12.65" customHeight="1" x14ac:dyDescent="0.35">
      <c r="A306" s="297" t="s">
        <v>398</v>
      </c>
      <c r="B306" s="314" t="s">
        <v>256</v>
      </c>
      <c r="C306" s="189">
        <f>266221.56+53122+848499.32</f>
        <v>1167842.8799999999</v>
      </c>
      <c r="D306" s="297"/>
      <c r="E306" s="297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</row>
    <row r="307" spans="1:84" ht="12.65" customHeight="1" x14ac:dyDescent="0.35">
      <c r="A307" s="297" t="s">
        <v>399</v>
      </c>
      <c r="B307" s="314" t="s">
        <v>256</v>
      </c>
      <c r="C307" s="189">
        <v>16878.47</v>
      </c>
      <c r="D307" s="297"/>
      <c r="E307" s="297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</row>
    <row r="308" spans="1:84" ht="12.65" customHeight="1" x14ac:dyDescent="0.35">
      <c r="A308" s="297" t="s">
        <v>400</v>
      </c>
      <c r="B308" s="314" t="s">
        <v>256</v>
      </c>
      <c r="C308" s="189"/>
      <c r="D308" s="297"/>
      <c r="E308" s="297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</row>
    <row r="309" spans="1:84" ht="12.65" customHeight="1" x14ac:dyDescent="0.35">
      <c r="A309" s="297" t="s">
        <v>1241</v>
      </c>
      <c r="B309" s="314" t="s">
        <v>256</v>
      </c>
      <c r="C309" s="189">
        <v>472000</v>
      </c>
      <c r="D309" s="297"/>
      <c r="E309" s="297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</row>
    <row r="310" spans="1:84" ht="12.65" customHeight="1" x14ac:dyDescent="0.35">
      <c r="A310" s="297" t="s">
        <v>401</v>
      </c>
      <c r="B310" s="314" t="s">
        <v>256</v>
      </c>
      <c r="C310" s="189"/>
      <c r="D310" s="297"/>
      <c r="E310" s="297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</row>
    <row r="311" spans="1:84" ht="12.65" customHeight="1" x14ac:dyDescent="0.35">
      <c r="A311" s="297" t="s">
        <v>402</v>
      </c>
      <c r="B311" s="314" t="s">
        <v>256</v>
      </c>
      <c r="C311" s="189">
        <v>82962.39</v>
      </c>
      <c r="D311" s="297"/>
      <c r="E311" s="297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</row>
    <row r="312" spans="1:84" ht="12.65" customHeight="1" x14ac:dyDescent="0.35">
      <c r="A312" s="297" t="s">
        <v>403</v>
      </c>
      <c r="B312" s="314" t="s">
        <v>256</v>
      </c>
      <c r="C312" s="189">
        <v>559792.68999999994</v>
      </c>
      <c r="D312" s="297"/>
      <c r="E312" s="297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</row>
    <row r="313" spans="1:84" ht="12.65" customHeight="1" x14ac:dyDescent="0.35">
      <c r="A313" s="297" t="s">
        <v>404</v>
      </c>
      <c r="B313" s="314" t="s">
        <v>256</v>
      </c>
      <c r="C313" s="189">
        <v>961783.09</v>
      </c>
      <c r="D313" s="297"/>
      <c r="E313" s="297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</row>
    <row r="314" spans="1:84" ht="12.65" customHeight="1" x14ac:dyDescent="0.35">
      <c r="A314" s="297" t="s">
        <v>405</v>
      </c>
      <c r="B314" s="297"/>
      <c r="C314" s="305"/>
      <c r="D314" s="297">
        <f>SUM(C304:C313)</f>
        <v>4333116.5</v>
      </c>
      <c r="E314" s="297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</row>
    <row r="315" spans="1:84" ht="12.65" customHeight="1" x14ac:dyDescent="0.35">
      <c r="A315" s="318" t="s">
        <v>406</v>
      </c>
      <c r="B315" s="318"/>
      <c r="C315" s="318"/>
      <c r="D315" s="318"/>
      <c r="E315" s="318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</row>
    <row r="316" spans="1:84" ht="12.65" customHeight="1" x14ac:dyDescent="0.35">
      <c r="A316" s="297" t="s">
        <v>407</v>
      </c>
      <c r="B316" s="314" t="s">
        <v>256</v>
      </c>
      <c r="C316" s="189"/>
      <c r="D316" s="297"/>
      <c r="E316" s="297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</row>
    <row r="317" spans="1:84" ht="12.65" customHeight="1" x14ac:dyDescent="0.35">
      <c r="A317" s="297" t="s">
        <v>408</v>
      </c>
      <c r="B317" s="314" t="s">
        <v>256</v>
      </c>
      <c r="C317" s="189"/>
      <c r="D317" s="297"/>
      <c r="E317" s="297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</row>
    <row r="318" spans="1:84" ht="12.65" customHeight="1" x14ac:dyDescent="0.35">
      <c r="A318" s="297" t="s">
        <v>409</v>
      </c>
      <c r="B318" s="314" t="s">
        <v>256</v>
      </c>
      <c r="C318" s="189"/>
      <c r="D318" s="297"/>
      <c r="E318" s="297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</row>
    <row r="319" spans="1:84" ht="12.65" customHeight="1" x14ac:dyDescent="0.35">
      <c r="A319" s="297" t="s">
        <v>410</v>
      </c>
      <c r="B319" s="297"/>
      <c r="C319" s="305"/>
      <c r="D319" s="297">
        <f>SUM(C316:C318)</f>
        <v>0</v>
      </c>
      <c r="E319" s="297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</row>
    <row r="320" spans="1:84" ht="12.65" customHeight="1" x14ac:dyDescent="0.35">
      <c r="A320" s="318" t="s">
        <v>411</v>
      </c>
      <c r="B320" s="318"/>
      <c r="C320" s="318"/>
      <c r="D320" s="318"/>
      <c r="E320" s="318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</row>
    <row r="321" spans="1:84" ht="12.65" customHeight="1" x14ac:dyDescent="0.35">
      <c r="A321" s="297" t="s">
        <v>412</v>
      </c>
      <c r="B321" s="314" t="s">
        <v>256</v>
      </c>
      <c r="C321" s="189"/>
      <c r="D321" s="297"/>
      <c r="E321" s="297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</row>
    <row r="322" spans="1:84" ht="12.65" customHeight="1" x14ac:dyDescent="0.35">
      <c r="A322" s="297" t="s">
        <v>413</v>
      </c>
      <c r="B322" s="314" t="s">
        <v>256</v>
      </c>
      <c r="C322" s="189"/>
      <c r="D322" s="297"/>
      <c r="E322" s="297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</row>
    <row r="323" spans="1:84" ht="12.65" customHeight="1" x14ac:dyDescent="0.35">
      <c r="A323" s="297" t="s">
        <v>414</v>
      </c>
      <c r="B323" s="314" t="s">
        <v>256</v>
      </c>
      <c r="C323" s="189"/>
      <c r="D323" s="297"/>
      <c r="E323" s="297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</row>
    <row r="324" spans="1:84" ht="12.65" customHeight="1" x14ac:dyDescent="0.35">
      <c r="A324" s="304" t="s">
        <v>415</v>
      </c>
      <c r="B324" s="314" t="s">
        <v>256</v>
      </c>
      <c r="C324" s="189"/>
      <c r="D324" s="297"/>
      <c r="E324" s="297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</row>
    <row r="325" spans="1:84" ht="12.65" customHeight="1" x14ac:dyDescent="0.35">
      <c r="A325" s="297" t="s">
        <v>416</v>
      </c>
      <c r="B325" s="314" t="s">
        <v>256</v>
      </c>
      <c r="C325" s="189">
        <v>5449096.0199999996</v>
      </c>
      <c r="D325" s="297"/>
      <c r="E325" s="297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</row>
    <row r="326" spans="1:84" ht="12.65" customHeight="1" x14ac:dyDescent="0.35">
      <c r="A326" s="304" t="s">
        <v>417</v>
      </c>
      <c r="B326" s="314" t="s">
        <v>256</v>
      </c>
      <c r="C326" s="189"/>
      <c r="D326" s="297"/>
      <c r="E326" s="297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</row>
    <row r="327" spans="1:84" ht="19.5" customHeight="1" x14ac:dyDescent="0.35">
      <c r="A327" s="297" t="s">
        <v>418</v>
      </c>
      <c r="B327" s="314" t="s">
        <v>256</v>
      </c>
      <c r="C327" s="189">
        <v>57057</v>
      </c>
      <c r="D327" s="297"/>
      <c r="E327" s="297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</row>
    <row r="328" spans="1:84" ht="12.65" customHeight="1" x14ac:dyDescent="0.35">
      <c r="A328" s="297" t="s">
        <v>203</v>
      </c>
      <c r="B328" s="297"/>
      <c r="C328" s="305"/>
      <c r="D328" s="297">
        <f>SUM(C321:C327)</f>
        <v>5506153.0199999996</v>
      </c>
      <c r="E328" s="297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  <c r="CF328" s="2"/>
    </row>
    <row r="329" spans="1:84" ht="12.65" customHeight="1" x14ac:dyDescent="0.35">
      <c r="A329" s="297" t="s">
        <v>419</v>
      </c>
      <c r="B329" s="297"/>
      <c r="C329" s="305"/>
      <c r="D329" s="297">
        <f>C313</f>
        <v>961783.09</v>
      </c>
      <c r="E329" s="297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2"/>
      <c r="CF329" s="2"/>
    </row>
    <row r="330" spans="1:84" ht="12.65" customHeight="1" x14ac:dyDescent="0.35">
      <c r="A330" s="297" t="s">
        <v>420</v>
      </c>
      <c r="B330" s="297"/>
      <c r="C330" s="305"/>
      <c r="D330" s="297">
        <f>D328-D329</f>
        <v>4544369.93</v>
      </c>
      <c r="E330" s="297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  <c r="CF330" s="2"/>
    </row>
    <row r="331" spans="1:84" ht="12.65" customHeight="1" x14ac:dyDescent="0.35">
      <c r="A331" s="297"/>
      <c r="B331" s="297"/>
      <c r="C331" s="305"/>
      <c r="D331" s="297"/>
      <c r="E331" s="297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</row>
    <row r="332" spans="1:84" ht="12.65" customHeight="1" x14ac:dyDescent="0.35">
      <c r="A332" s="297" t="s">
        <v>421</v>
      </c>
      <c r="B332" s="314" t="s">
        <v>256</v>
      </c>
      <c r="C332" s="222">
        <v>8189027.4100000001</v>
      </c>
      <c r="D332" s="297"/>
      <c r="E332" s="297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</row>
    <row r="333" spans="1:84" ht="12.65" customHeight="1" x14ac:dyDescent="0.35">
      <c r="A333" s="297"/>
      <c r="B333" s="314"/>
      <c r="C333" s="232"/>
      <c r="D333" s="297"/>
      <c r="E333" s="297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</row>
    <row r="334" spans="1:84" ht="12.65" customHeight="1" x14ac:dyDescent="0.35">
      <c r="A334" s="297" t="s">
        <v>1142</v>
      </c>
      <c r="B334" s="314" t="s">
        <v>256</v>
      </c>
      <c r="C334" s="222"/>
      <c r="D334" s="297"/>
      <c r="E334" s="297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</row>
    <row r="335" spans="1:84" ht="12.65" customHeight="1" x14ac:dyDescent="0.35">
      <c r="A335" s="297" t="s">
        <v>1143</v>
      </c>
      <c r="B335" s="314" t="s">
        <v>256</v>
      </c>
      <c r="C335" s="222"/>
      <c r="D335" s="297"/>
      <c r="E335" s="297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</row>
    <row r="336" spans="1:84" ht="12.65" customHeight="1" x14ac:dyDescent="0.35">
      <c r="A336" s="297" t="s">
        <v>423</v>
      </c>
      <c r="B336" s="314" t="s">
        <v>256</v>
      </c>
      <c r="C336" s="222"/>
      <c r="D336" s="297"/>
      <c r="E336" s="297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</row>
    <row r="337" spans="1:84" ht="12.65" customHeight="1" x14ac:dyDescent="0.35">
      <c r="A337" s="297" t="s">
        <v>422</v>
      </c>
      <c r="B337" s="314" t="s">
        <v>256</v>
      </c>
      <c r="C337" s="189">
        <v>1237462.8600000001</v>
      </c>
      <c r="D337" s="297"/>
      <c r="E337" s="297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</row>
    <row r="338" spans="1:84" ht="12.65" customHeight="1" x14ac:dyDescent="0.35">
      <c r="A338" s="297" t="s">
        <v>1252</v>
      </c>
      <c r="B338" s="314" t="s">
        <v>256</v>
      </c>
      <c r="C338" s="189"/>
      <c r="D338" s="297"/>
      <c r="E338" s="297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</row>
    <row r="339" spans="1:84" ht="12.65" customHeight="1" x14ac:dyDescent="0.35">
      <c r="A339" s="297" t="s">
        <v>424</v>
      </c>
      <c r="B339" s="297"/>
      <c r="C339" s="305"/>
      <c r="D339" s="297">
        <f>D314+D319+D330+C332+C336+C337</f>
        <v>18303976.699999999</v>
      </c>
      <c r="E339" s="297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</row>
    <row r="340" spans="1:84" ht="12.65" customHeight="1" x14ac:dyDescent="0.35">
      <c r="A340" s="297"/>
      <c r="B340" s="297"/>
      <c r="C340" s="305"/>
      <c r="D340" s="297"/>
      <c r="E340" s="297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</row>
    <row r="341" spans="1:84" ht="12.65" customHeight="1" x14ac:dyDescent="0.35">
      <c r="A341" s="297" t="s">
        <v>425</v>
      </c>
      <c r="B341" s="297"/>
      <c r="C341" s="305"/>
      <c r="D341" s="297">
        <f>D292</f>
        <v>18303976.700000003</v>
      </c>
      <c r="E341" s="297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</row>
    <row r="342" spans="1:84" ht="12.65" customHeight="1" x14ac:dyDescent="0.35">
      <c r="A342" s="297"/>
      <c r="B342" s="297"/>
      <c r="C342" s="305"/>
      <c r="D342" s="297"/>
      <c r="E342" s="297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</row>
    <row r="343" spans="1:84" ht="12.65" customHeight="1" x14ac:dyDescent="0.35">
      <c r="A343" s="297"/>
      <c r="B343" s="297"/>
      <c r="C343" s="305"/>
      <c r="D343" s="297"/>
      <c r="E343" s="297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  <c r="CF343" s="2"/>
    </row>
    <row r="344" spans="1:84" ht="12.65" customHeight="1" x14ac:dyDescent="0.35">
      <c r="A344" s="297"/>
      <c r="B344" s="297"/>
      <c r="C344" s="305"/>
      <c r="D344" s="297"/>
      <c r="E344" s="297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</row>
    <row r="345" spans="1:84" ht="12.65" customHeight="1" x14ac:dyDescent="0.35">
      <c r="A345" s="297"/>
      <c r="B345" s="297"/>
      <c r="C345" s="305"/>
      <c r="D345" s="297"/>
      <c r="E345" s="297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</row>
    <row r="346" spans="1:84" ht="12.65" customHeight="1" x14ac:dyDescent="0.35">
      <c r="A346" s="297"/>
      <c r="B346" s="297"/>
      <c r="C346" s="305"/>
      <c r="D346" s="297"/>
      <c r="E346" s="297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</row>
    <row r="347" spans="1:84" ht="12.65" customHeight="1" x14ac:dyDescent="0.35">
      <c r="A347" s="297"/>
      <c r="B347" s="297"/>
      <c r="C347" s="305"/>
      <c r="D347" s="297"/>
      <c r="E347" s="297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</row>
    <row r="348" spans="1:84" ht="12.65" customHeight="1" x14ac:dyDescent="0.35">
      <c r="A348" s="297"/>
      <c r="B348" s="297"/>
      <c r="C348" s="305"/>
      <c r="D348" s="297"/>
      <c r="E348" s="297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</row>
    <row r="349" spans="1:84" ht="12.65" customHeight="1" x14ac:dyDescent="0.35">
      <c r="A349" s="297"/>
      <c r="B349" s="297"/>
      <c r="C349" s="305"/>
      <c r="D349" s="297"/>
      <c r="E349" s="297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</row>
    <row r="350" spans="1:84" ht="12.65" customHeight="1" x14ac:dyDescent="0.35">
      <c r="A350" s="297"/>
      <c r="B350" s="297"/>
      <c r="C350" s="305"/>
      <c r="D350" s="297"/>
      <c r="E350" s="297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</row>
    <row r="351" spans="1:84" ht="12.65" customHeight="1" x14ac:dyDescent="0.35">
      <c r="A351" s="297"/>
      <c r="B351" s="297"/>
      <c r="C351" s="305"/>
      <c r="D351" s="297"/>
      <c r="E351" s="297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</row>
    <row r="352" spans="1:84" ht="12.65" customHeight="1" x14ac:dyDescent="0.35">
      <c r="A352" s="297"/>
      <c r="B352" s="297"/>
      <c r="C352" s="305"/>
      <c r="D352" s="297"/>
      <c r="E352" s="297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</row>
    <row r="353" spans="1:84" ht="12.65" customHeight="1" x14ac:dyDescent="0.35">
      <c r="A353" s="297"/>
      <c r="B353" s="297"/>
      <c r="C353" s="305"/>
      <c r="D353" s="297"/>
      <c r="E353" s="297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</row>
    <row r="354" spans="1:84" ht="12.65" customHeight="1" x14ac:dyDescent="0.35">
      <c r="A354" s="297"/>
      <c r="B354" s="297"/>
      <c r="C354" s="305"/>
      <c r="D354" s="297"/>
      <c r="E354" s="297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2"/>
      <c r="CF354" s="2"/>
    </row>
    <row r="355" spans="1:84" ht="20.25" customHeight="1" x14ac:dyDescent="0.35">
      <c r="A355" s="297"/>
      <c r="B355" s="297"/>
      <c r="C355" s="305"/>
      <c r="D355" s="297"/>
      <c r="E355" s="297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</row>
    <row r="356" spans="1:84" ht="12.65" customHeight="1" x14ac:dyDescent="0.35">
      <c r="A356" s="297"/>
      <c r="B356" s="297"/>
      <c r="C356" s="305"/>
      <c r="D356" s="297"/>
      <c r="E356" s="297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2"/>
      <c r="CF356" s="2"/>
    </row>
    <row r="357" spans="1:84" ht="12.65" customHeight="1" x14ac:dyDescent="0.35">
      <c r="A357" s="313" t="s">
        <v>426</v>
      </c>
      <c r="B357" s="313"/>
      <c r="C357" s="313"/>
      <c r="D357" s="313"/>
      <c r="E357" s="313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2"/>
      <c r="CF357" s="2"/>
    </row>
    <row r="358" spans="1:84" ht="12.65" customHeight="1" x14ac:dyDescent="0.35">
      <c r="A358" s="318" t="s">
        <v>427</v>
      </c>
      <c r="B358" s="318"/>
      <c r="C358" s="318"/>
      <c r="D358" s="318"/>
      <c r="E358" s="318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2"/>
      <c r="CF358" s="2"/>
    </row>
    <row r="359" spans="1:84" ht="12.65" customHeight="1" x14ac:dyDescent="0.35">
      <c r="A359" s="297" t="s">
        <v>428</v>
      </c>
      <c r="B359" s="314" t="s">
        <v>256</v>
      </c>
      <c r="C359" s="189">
        <f>3086238.49+331118</f>
        <v>3417356.49</v>
      </c>
      <c r="D359" s="297"/>
      <c r="E359" s="297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  <c r="CF359" s="2"/>
    </row>
    <row r="360" spans="1:84" ht="12.65" customHeight="1" x14ac:dyDescent="0.35">
      <c r="A360" s="297" t="s">
        <v>429</v>
      </c>
      <c r="B360" s="314" t="s">
        <v>256</v>
      </c>
      <c r="C360" s="189">
        <f>34090460+6083509+1203035.06</f>
        <v>41377004.060000002</v>
      </c>
      <c r="D360" s="297"/>
      <c r="E360" s="297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</row>
    <row r="361" spans="1:84" ht="12.65" customHeight="1" x14ac:dyDescent="0.35">
      <c r="A361" s="297" t="s">
        <v>430</v>
      </c>
      <c r="B361" s="297"/>
      <c r="C361" s="305"/>
      <c r="D361" s="297">
        <f>SUM(C359:C360)</f>
        <v>44794360.550000004</v>
      </c>
      <c r="E361" s="297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</row>
    <row r="362" spans="1:84" ht="12.65" customHeight="1" x14ac:dyDescent="0.35">
      <c r="A362" s="318" t="s">
        <v>431</v>
      </c>
      <c r="B362" s="318"/>
      <c r="C362" s="318"/>
      <c r="D362" s="318"/>
      <c r="E362" s="318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2"/>
      <c r="CF362" s="2"/>
    </row>
    <row r="363" spans="1:84" ht="12.65" customHeight="1" x14ac:dyDescent="0.35">
      <c r="A363" s="297" t="s">
        <v>1254</v>
      </c>
      <c r="B363" s="318"/>
      <c r="C363" s="189">
        <v>1487621.8</v>
      </c>
      <c r="D363" s="297"/>
      <c r="E363" s="318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2"/>
      <c r="CF363" s="2"/>
    </row>
    <row r="364" spans="1:84" ht="12.65" customHeight="1" x14ac:dyDescent="0.35">
      <c r="A364" s="297" t="s">
        <v>432</v>
      </c>
      <c r="B364" s="314" t="s">
        <v>256</v>
      </c>
      <c r="C364" s="189">
        <v>18073001.399999999</v>
      </c>
      <c r="D364" s="297"/>
      <c r="E364" s="297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2"/>
      <c r="CF364" s="2"/>
    </row>
    <row r="365" spans="1:84" ht="12.65" customHeight="1" x14ac:dyDescent="0.35">
      <c r="A365" s="297" t="s">
        <v>433</v>
      </c>
      <c r="B365" s="314" t="s">
        <v>256</v>
      </c>
      <c r="C365" s="189">
        <v>583768.39</v>
      </c>
      <c r="D365" s="297"/>
      <c r="E365" s="297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2"/>
      <c r="CF365" s="2"/>
    </row>
    <row r="366" spans="1:84" ht="12.65" customHeight="1" x14ac:dyDescent="0.35">
      <c r="A366" s="297" t="s">
        <v>434</v>
      </c>
      <c r="B366" s="314" t="s">
        <v>256</v>
      </c>
      <c r="C366" s="189"/>
      <c r="D366" s="297"/>
      <c r="E366" s="297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  <c r="CD366" s="2"/>
      <c r="CE366" s="2"/>
      <c r="CF366" s="2"/>
    </row>
    <row r="367" spans="1:84" ht="12.65" customHeight="1" x14ac:dyDescent="0.35">
      <c r="A367" s="297" t="s">
        <v>359</v>
      </c>
      <c r="B367" s="297"/>
      <c r="C367" s="305"/>
      <c r="D367" s="297">
        <f>SUM(C363:C366)</f>
        <v>20144391.59</v>
      </c>
      <c r="E367" s="297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  <c r="CC367" s="2"/>
      <c r="CD367" s="2"/>
      <c r="CE367" s="2"/>
      <c r="CF367" s="2"/>
    </row>
    <row r="368" spans="1:84" ht="12.65" customHeight="1" x14ac:dyDescent="0.35">
      <c r="A368" s="297" t="s">
        <v>435</v>
      </c>
      <c r="B368" s="297"/>
      <c r="C368" s="305"/>
      <c r="D368" s="297">
        <f>D361-D367</f>
        <v>24649968.960000005</v>
      </c>
      <c r="E368" s="297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  <c r="CD368" s="2"/>
      <c r="CE368" s="2"/>
      <c r="CF368" s="2"/>
    </row>
    <row r="369" spans="1:84" ht="12.65" customHeight="1" x14ac:dyDescent="0.35">
      <c r="A369" s="318" t="s">
        <v>436</v>
      </c>
      <c r="B369" s="318"/>
      <c r="C369" s="318"/>
      <c r="D369" s="318"/>
      <c r="E369" s="318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  <c r="CD369" s="2"/>
      <c r="CE369" s="2"/>
      <c r="CF369" s="2"/>
    </row>
    <row r="370" spans="1:84" ht="12.65" customHeight="1" x14ac:dyDescent="0.35">
      <c r="A370" s="297" t="s">
        <v>437</v>
      </c>
      <c r="B370" s="314" t="s">
        <v>256</v>
      </c>
      <c r="C370" s="189"/>
      <c r="D370" s="297"/>
      <c r="E370" s="297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  <c r="CC370" s="2"/>
      <c r="CD370" s="2"/>
      <c r="CE370" s="2"/>
      <c r="CF370" s="2"/>
    </row>
    <row r="371" spans="1:84" ht="12.65" customHeight="1" x14ac:dyDescent="0.35">
      <c r="A371" s="297" t="s">
        <v>438</v>
      </c>
      <c r="B371" s="314" t="s">
        <v>256</v>
      </c>
      <c r="C371" s="189"/>
      <c r="D371" s="297"/>
      <c r="E371" s="297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  <c r="CF371" s="2"/>
    </row>
    <row r="372" spans="1:84" ht="12.65" customHeight="1" x14ac:dyDescent="0.35">
      <c r="A372" s="297" t="s">
        <v>439</v>
      </c>
      <c r="B372" s="297"/>
      <c r="C372" s="305"/>
      <c r="D372" s="297">
        <f>SUM(C370:C371)</f>
        <v>0</v>
      </c>
      <c r="E372" s="297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  <c r="CF372" s="2"/>
    </row>
    <row r="373" spans="1:84" ht="12.65" customHeight="1" x14ac:dyDescent="0.35">
      <c r="A373" s="297" t="s">
        <v>440</v>
      </c>
      <c r="B373" s="297"/>
      <c r="C373" s="305"/>
      <c r="D373" s="297">
        <f>D368+D372</f>
        <v>24649968.960000005</v>
      </c>
      <c r="E373" s="297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  <c r="CD373" s="2"/>
      <c r="CE373" s="2"/>
      <c r="CF373" s="2"/>
    </row>
    <row r="374" spans="1:84" ht="12.65" customHeight="1" x14ac:dyDescent="0.35">
      <c r="A374" s="297"/>
      <c r="B374" s="297"/>
      <c r="C374" s="305"/>
      <c r="D374" s="297"/>
      <c r="E374" s="297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  <c r="CC374" s="2"/>
      <c r="CD374" s="2"/>
      <c r="CE374" s="2"/>
      <c r="CF374" s="2"/>
    </row>
    <row r="375" spans="1:84" ht="12.65" customHeight="1" x14ac:dyDescent="0.35">
      <c r="A375" s="297"/>
      <c r="B375" s="297"/>
      <c r="C375" s="305"/>
      <c r="D375" s="297"/>
      <c r="E375" s="297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  <c r="CC375" s="2"/>
      <c r="CD375" s="2"/>
      <c r="CE375" s="2"/>
      <c r="CF375" s="2"/>
    </row>
    <row r="376" spans="1:84" ht="12.65" customHeight="1" x14ac:dyDescent="0.35">
      <c r="A376" s="297"/>
      <c r="B376" s="297"/>
      <c r="C376" s="305"/>
      <c r="D376" s="297"/>
      <c r="E376" s="297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  <c r="BZ376" s="2"/>
      <c r="CA376" s="2"/>
      <c r="CB376" s="2"/>
      <c r="CC376" s="2"/>
      <c r="CD376" s="2"/>
      <c r="CE376" s="2"/>
      <c r="CF376" s="2"/>
    </row>
    <row r="377" spans="1:84" ht="12.65" customHeight="1" x14ac:dyDescent="0.35">
      <c r="A377" s="318" t="s">
        <v>441</v>
      </c>
      <c r="B377" s="318"/>
      <c r="C377" s="318"/>
      <c r="D377" s="318"/>
      <c r="E377" s="318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  <c r="BZ377" s="2"/>
      <c r="CA377" s="2"/>
      <c r="CB377" s="2"/>
      <c r="CC377" s="2"/>
      <c r="CD377" s="2"/>
      <c r="CE377" s="2"/>
      <c r="CF377" s="2"/>
    </row>
    <row r="378" spans="1:84" ht="12.65" customHeight="1" x14ac:dyDescent="0.35">
      <c r="A378" s="297" t="s">
        <v>442</v>
      </c>
      <c r="B378" s="314" t="s">
        <v>256</v>
      </c>
      <c r="C378" s="189">
        <v>13136786.27</v>
      </c>
      <c r="D378" s="297"/>
      <c r="E378" s="297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/>
      <c r="CA378" s="2"/>
      <c r="CB378" s="2"/>
      <c r="CC378" s="2"/>
      <c r="CD378" s="2"/>
      <c r="CE378" s="2"/>
      <c r="CF378" s="2"/>
    </row>
    <row r="379" spans="1:84" ht="12.65" customHeight="1" x14ac:dyDescent="0.35">
      <c r="A379" s="297" t="s">
        <v>3</v>
      </c>
      <c r="B379" s="314" t="s">
        <v>256</v>
      </c>
      <c r="C379" s="189">
        <v>3225722.44</v>
      </c>
      <c r="D379" s="297"/>
      <c r="E379" s="297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  <c r="BZ379" s="2"/>
      <c r="CA379" s="2"/>
      <c r="CB379" s="2"/>
      <c r="CC379" s="2"/>
      <c r="CD379" s="2"/>
      <c r="CE379" s="2"/>
      <c r="CF379" s="2"/>
    </row>
    <row r="380" spans="1:84" ht="12.65" customHeight="1" x14ac:dyDescent="0.35">
      <c r="A380" s="297" t="s">
        <v>236</v>
      </c>
      <c r="B380" s="314" t="s">
        <v>256</v>
      </c>
      <c r="C380" s="189">
        <f>2589066.88+517331.38</f>
        <v>3106398.26</v>
      </c>
      <c r="D380" s="297"/>
      <c r="E380" s="297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</row>
    <row r="381" spans="1:84" ht="12.65" customHeight="1" x14ac:dyDescent="0.35">
      <c r="A381" s="297" t="s">
        <v>443</v>
      </c>
      <c r="B381" s="314" t="s">
        <v>256</v>
      </c>
      <c r="C381" s="189">
        <v>1720315.01</v>
      </c>
      <c r="D381" s="297"/>
      <c r="E381" s="297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  <c r="CD381" s="2"/>
      <c r="CE381" s="2"/>
      <c r="CF381" s="2"/>
    </row>
    <row r="382" spans="1:84" ht="12.65" customHeight="1" x14ac:dyDescent="0.35">
      <c r="A382" s="297" t="s">
        <v>444</v>
      </c>
      <c r="B382" s="314" t="s">
        <v>256</v>
      </c>
      <c r="C382" s="189">
        <v>309685.61</v>
      </c>
      <c r="D382" s="297"/>
      <c r="E382" s="297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  <c r="CC382" s="2"/>
      <c r="CD382" s="2"/>
      <c r="CE382" s="2"/>
      <c r="CF382" s="2"/>
    </row>
    <row r="383" spans="1:84" ht="12.65" customHeight="1" x14ac:dyDescent="0.35">
      <c r="A383" s="297" t="s">
        <v>445</v>
      </c>
      <c r="B383" s="314" t="s">
        <v>256</v>
      </c>
      <c r="C383" s="189">
        <v>2060619.33</v>
      </c>
      <c r="D383" s="297"/>
      <c r="E383" s="297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  <c r="BZ383" s="2"/>
      <c r="CA383" s="2"/>
      <c r="CB383" s="2"/>
      <c r="CC383" s="2"/>
      <c r="CD383" s="2"/>
      <c r="CE383" s="2"/>
      <c r="CF383" s="2"/>
    </row>
    <row r="384" spans="1:84" ht="12.65" customHeight="1" x14ac:dyDescent="0.35">
      <c r="A384" s="297" t="s">
        <v>6</v>
      </c>
      <c r="B384" s="314" t="s">
        <v>256</v>
      </c>
      <c r="C384" s="189">
        <f>1246800.61-8862.12</f>
        <v>1237938.49</v>
      </c>
      <c r="D384" s="297"/>
      <c r="E384" s="297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</row>
    <row r="385" spans="1:84" ht="12.65" customHeight="1" x14ac:dyDescent="0.35">
      <c r="A385" s="297" t="s">
        <v>446</v>
      </c>
      <c r="B385" s="314" t="s">
        <v>256</v>
      </c>
      <c r="C385" s="189">
        <v>435410.59</v>
      </c>
      <c r="D385" s="297"/>
      <c r="E385" s="297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</row>
    <row r="386" spans="1:84" ht="12.65" customHeight="1" x14ac:dyDescent="0.35">
      <c r="A386" s="297" t="s">
        <v>447</v>
      </c>
      <c r="B386" s="314" t="s">
        <v>256</v>
      </c>
      <c r="C386" s="189">
        <v>172308.27</v>
      </c>
      <c r="D386" s="297"/>
      <c r="E386" s="297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  <c r="CF386" s="2"/>
    </row>
    <row r="387" spans="1:84" ht="12.65" customHeight="1" x14ac:dyDescent="0.35">
      <c r="A387" s="297" t="s">
        <v>448</v>
      </c>
      <c r="B387" s="314" t="s">
        <v>256</v>
      </c>
      <c r="C387" s="189">
        <v>28805.24</v>
      </c>
      <c r="D387" s="297"/>
      <c r="E387" s="297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"/>
      <c r="CC387" s="2"/>
      <c r="CD387" s="2"/>
      <c r="CE387" s="2"/>
      <c r="CF387" s="2"/>
    </row>
    <row r="388" spans="1:84" ht="12.65" customHeight="1" x14ac:dyDescent="0.35">
      <c r="A388" s="297" t="s">
        <v>449</v>
      </c>
      <c r="B388" s="314" t="s">
        <v>256</v>
      </c>
      <c r="C388" s="189">
        <v>242153.56</v>
      </c>
      <c r="D388" s="297"/>
      <c r="E388" s="297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  <c r="CC388" s="2"/>
      <c r="CD388" s="2"/>
      <c r="CE388" s="2"/>
      <c r="CF388" s="2"/>
    </row>
    <row r="389" spans="1:84" ht="12.65" customHeight="1" x14ac:dyDescent="0.35">
      <c r="A389" s="297" t="s">
        <v>451</v>
      </c>
      <c r="B389" s="314" t="s">
        <v>256</v>
      </c>
      <c r="C389" s="189">
        <f>694526.22+58885.85-28805.24</f>
        <v>724606.83</v>
      </c>
      <c r="D389" s="297"/>
      <c r="E389" s="297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  <c r="CD389" s="2"/>
      <c r="CE389" s="2"/>
      <c r="CF389" s="2"/>
    </row>
    <row r="390" spans="1:84" ht="12.65" customHeight="1" x14ac:dyDescent="0.35">
      <c r="A390" s="297" t="s">
        <v>452</v>
      </c>
      <c r="B390" s="297"/>
      <c r="C390" s="305"/>
      <c r="D390" s="297">
        <f>SUM(C378:C389)</f>
        <v>26400749.899999995</v>
      </c>
      <c r="E390" s="297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/>
      <c r="CA390" s="2"/>
      <c r="CB390" s="2"/>
      <c r="CC390" s="2"/>
      <c r="CD390" s="2"/>
      <c r="CE390" s="2"/>
      <c r="CF390" s="2"/>
    </row>
    <row r="391" spans="1:84" ht="12.65" customHeight="1" x14ac:dyDescent="0.35">
      <c r="A391" s="297" t="s">
        <v>453</v>
      </c>
      <c r="B391" s="297"/>
      <c r="C391" s="305"/>
      <c r="D391" s="297">
        <f>D373-D390</f>
        <v>-1750780.9399999902</v>
      </c>
      <c r="E391" s="297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/>
      <c r="CA391" s="2"/>
      <c r="CB391" s="2"/>
      <c r="CC391" s="2"/>
      <c r="CD391" s="2"/>
      <c r="CE391" s="2"/>
      <c r="CF391" s="2"/>
    </row>
    <row r="392" spans="1:84" ht="12.65" customHeight="1" x14ac:dyDescent="0.35">
      <c r="A392" s="297" t="s">
        <v>454</v>
      </c>
      <c r="B392" s="314" t="s">
        <v>256</v>
      </c>
      <c r="C392" s="189">
        <f>530+46260.36+886916.44-12259.52+603351.37+1463444.47</f>
        <v>2988243.12</v>
      </c>
      <c r="D392" s="297"/>
      <c r="E392" s="297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  <c r="CF392" s="2"/>
    </row>
    <row r="393" spans="1:84" ht="12.65" customHeight="1" x14ac:dyDescent="0.35">
      <c r="A393" s="297" t="s">
        <v>455</v>
      </c>
      <c r="B393" s="297"/>
      <c r="C393" s="305"/>
      <c r="D393" s="297">
        <f>D391+C392</f>
        <v>1237462.1800000099</v>
      </c>
      <c r="E393" s="297"/>
      <c r="F393" s="328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2"/>
      <c r="CF393" s="2"/>
    </row>
    <row r="394" spans="1:84" ht="12.65" customHeight="1" x14ac:dyDescent="0.35">
      <c r="A394" s="297" t="s">
        <v>456</v>
      </c>
      <c r="B394" s="314" t="s">
        <v>256</v>
      </c>
      <c r="C394" s="189"/>
      <c r="D394" s="297"/>
      <c r="E394" s="297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"/>
      <c r="CC394" s="2"/>
      <c r="CD394" s="2"/>
      <c r="CE394" s="2"/>
      <c r="CF394" s="2"/>
    </row>
    <row r="395" spans="1:84" ht="12.65" customHeight="1" x14ac:dyDescent="0.35">
      <c r="A395" s="297" t="s">
        <v>457</v>
      </c>
      <c r="B395" s="314" t="s">
        <v>256</v>
      </c>
      <c r="C395" s="189"/>
      <c r="D395" s="297"/>
      <c r="E395" s="297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"/>
      <c r="CC395" s="2"/>
      <c r="CD395" s="2"/>
      <c r="CE395" s="2"/>
      <c r="CF395" s="2"/>
    </row>
    <row r="396" spans="1:84" ht="13.5" customHeight="1" x14ac:dyDescent="0.35">
      <c r="A396" s="297" t="s">
        <v>458</v>
      </c>
      <c r="B396" s="297"/>
      <c r="C396" s="305"/>
      <c r="D396" s="297">
        <f>D393+C394-C395</f>
        <v>1237462.1800000099</v>
      </c>
      <c r="E396" s="297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  <c r="BZ396" s="2"/>
      <c r="CA396" s="2"/>
      <c r="CB396" s="2"/>
      <c r="CC396" s="2"/>
      <c r="CD396" s="2"/>
      <c r="CE396" s="2"/>
      <c r="CF396" s="2"/>
    </row>
    <row r="397" spans="1:84" ht="12.65" customHeight="1" x14ac:dyDescent="0.3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2"/>
      <c r="CF397" s="2"/>
    </row>
    <row r="398" spans="1:84" ht="12.65" customHeight="1" x14ac:dyDescent="0.3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2"/>
      <c r="CF398" s="2"/>
    </row>
    <row r="399" spans="1:84" ht="12" customHeight="1" x14ac:dyDescent="0.3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2"/>
      <c r="CF399" s="2"/>
    </row>
    <row r="400" spans="1:84" ht="12" customHeight="1" x14ac:dyDescent="0.3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  <c r="CF400" s="2"/>
    </row>
    <row r="401" spans="1:84" ht="12" customHeight="1" x14ac:dyDescent="0.3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"/>
      <c r="CC401" s="2"/>
      <c r="CD401" s="2"/>
      <c r="CE401" s="2"/>
      <c r="CF401" s="2"/>
    </row>
    <row r="402" spans="1:84" ht="12" customHeight="1" x14ac:dyDescent="0.3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"/>
      <c r="CC402" s="2"/>
      <c r="CD402" s="2"/>
      <c r="CE402" s="2"/>
      <c r="CF402" s="2"/>
    </row>
    <row r="403" spans="1:84" ht="12" customHeight="1" x14ac:dyDescent="0.3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  <c r="BZ403" s="2"/>
      <c r="CA403" s="2"/>
      <c r="CB403" s="2"/>
      <c r="CC403" s="2"/>
      <c r="CD403" s="2"/>
      <c r="CE403" s="2"/>
      <c r="CF403" s="2"/>
    </row>
    <row r="404" spans="1:84" ht="12.65" customHeight="1" x14ac:dyDescent="0.3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2"/>
      <c r="CF404" s="2"/>
    </row>
    <row r="405" spans="1:84" ht="12.65" customHeight="1" x14ac:dyDescent="0.3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  <c r="CC405" s="2"/>
      <c r="CD405" s="2"/>
      <c r="CE405" s="2"/>
      <c r="CF405" s="2"/>
    </row>
    <row r="406" spans="1:84" ht="12.65" customHeight="1" x14ac:dyDescent="0.3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  <c r="BZ406" s="2"/>
      <c r="CA406" s="2"/>
      <c r="CB406" s="2"/>
      <c r="CC406" s="2"/>
      <c r="CD406" s="2"/>
      <c r="CE406" s="2"/>
      <c r="CF406" s="2"/>
    </row>
    <row r="407" spans="1:84" ht="12.65" customHeight="1" x14ac:dyDescent="0.3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  <c r="BZ407" s="2"/>
      <c r="CA407" s="2"/>
      <c r="CB407" s="2"/>
      <c r="CC407" s="2"/>
      <c r="CD407" s="2"/>
      <c r="CE407" s="2"/>
      <c r="CF407" s="2"/>
    </row>
    <row r="408" spans="1:84" ht="12.65" customHeight="1" x14ac:dyDescent="0.3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  <c r="CC408" s="2"/>
      <c r="CD408" s="2"/>
      <c r="CE408" s="2"/>
      <c r="CF408" s="2"/>
    </row>
    <row r="409" spans="1:84" ht="12.65" customHeight="1" x14ac:dyDescent="0.3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"/>
      <c r="CC409" s="2"/>
      <c r="CD409" s="2"/>
      <c r="CE409" s="2"/>
      <c r="CF409" s="2"/>
    </row>
    <row r="410" spans="1:84" ht="12.65" customHeight="1" x14ac:dyDescent="0.3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  <c r="CF410" s="2"/>
    </row>
    <row r="411" spans="1:84" ht="12.65" customHeight="1" x14ac:dyDescent="0.35">
      <c r="A411" s="2"/>
      <c r="B411" s="2"/>
      <c r="C411" s="329" t="s">
        <v>459</v>
      </c>
      <c r="D411" s="2"/>
      <c r="E411" s="330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  <c r="CD411" s="2"/>
      <c r="CE411" s="2"/>
      <c r="CF411" s="2"/>
    </row>
    <row r="412" spans="1:84" ht="12.65" customHeight="1" x14ac:dyDescent="0.35">
      <c r="A412" s="2" t="str">
        <f>C84&amp;"   "&amp;"H-"&amp;FIXED(C83,0,TRUE)&amp;"     FYE "&amp;C82</f>
        <v>Klickitat County Public Hospital District #1   H-0     FYE 12/31/2019</v>
      </c>
      <c r="B412" s="2"/>
      <c r="C412" s="2"/>
      <c r="D412" s="2"/>
      <c r="E412" s="330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  <c r="CC412" s="2"/>
      <c r="CD412" s="2"/>
      <c r="CE412" s="2"/>
      <c r="CF412" s="2"/>
    </row>
    <row r="413" spans="1:84" ht="12.65" customHeight="1" x14ac:dyDescent="0.35">
      <c r="A413" s="2" t="s">
        <v>460</v>
      </c>
      <c r="B413" s="329" t="s">
        <v>461</v>
      </c>
      <c r="C413" s="329" t="s">
        <v>1242</v>
      </c>
      <c r="D413" s="329" t="s">
        <v>462</v>
      </c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"/>
      <c r="CC413" s="2"/>
      <c r="CD413" s="2"/>
      <c r="CE413" s="2"/>
      <c r="CF413" s="2"/>
    </row>
    <row r="414" spans="1:84" ht="12.65" customHeight="1" x14ac:dyDescent="0.35">
      <c r="A414" s="2" t="s">
        <v>463</v>
      </c>
      <c r="B414" s="2">
        <f>C111</f>
        <v>170</v>
      </c>
      <c r="C414" s="2">
        <f>E138</f>
        <v>170</v>
      </c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  <c r="CC414" s="2"/>
      <c r="CD414" s="2"/>
      <c r="CE414" s="2"/>
      <c r="CF414" s="2"/>
    </row>
    <row r="415" spans="1:84" ht="12.65" customHeight="1" x14ac:dyDescent="0.35">
      <c r="A415" s="2" t="s">
        <v>464</v>
      </c>
      <c r="B415" s="2">
        <f>D111</f>
        <v>515</v>
      </c>
      <c r="C415" s="2">
        <f>E139</f>
        <v>515</v>
      </c>
      <c r="D415" s="2">
        <f>SUM(C59:H59)+N59</f>
        <v>0</v>
      </c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"/>
      <c r="CC415" s="2"/>
      <c r="CD415" s="2"/>
      <c r="CE415" s="2"/>
      <c r="CF415" s="2"/>
    </row>
    <row r="416" spans="1:84" ht="12.65" customHeight="1" x14ac:dyDescent="0.3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"/>
      <c r="CC416" s="2"/>
      <c r="CD416" s="2"/>
      <c r="CE416" s="2"/>
      <c r="CF416" s="2"/>
    </row>
    <row r="417" spans="1:84" ht="12.65" customHeight="1" x14ac:dyDescent="0.35">
      <c r="A417" s="2" t="s">
        <v>465</v>
      </c>
      <c r="B417" s="2">
        <f>C112</f>
        <v>61</v>
      </c>
      <c r="C417" s="2">
        <f>E144</f>
        <v>61</v>
      </c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"/>
      <c r="CC417" s="2"/>
      <c r="CD417" s="2"/>
      <c r="CE417" s="2"/>
      <c r="CF417" s="2"/>
    </row>
    <row r="418" spans="1:84" ht="12.65" customHeight="1" x14ac:dyDescent="0.35">
      <c r="A418" s="2" t="s">
        <v>466</v>
      </c>
      <c r="B418" s="2">
        <f>D112</f>
        <v>808</v>
      </c>
      <c r="C418" s="2">
        <f>E145</f>
        <v>808</v>
      </c>
      <c r="D418" s="2">
        <f>K59+L59</f>
        <v>0</v>
      </c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"/>
      <c r="CC418" s="2"/>
      <c r="CD418" s="2"/>
      <c r="CE418" s="2"/>
      <c r="CF418" s="2"/>
    </row>
    <row r="419" spans="1:84" ht="12.65" customHeight="1" x14ac:dyDescent="0.3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"/>
      <c r="CC419" s="2"/>
      <c r="CD419" s="2"/>
      <c r="CE419" s="2"/>
      <c r="CF419" s="2"/>
    </row>
    <row r="420" spans="1:84" ht="12.65" customHeight="1" x14ac:dyDescent="0.35">
      <c r="A420" s="2" t="s">
        <v>467</v>
      </c>
      <c r="B420" s="2">
        <f>C113</f>
        <v>0</v>
      </c>
      <c r="C420" s="2">
        <f>E150</f>
        <v>0</v>
      </c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  <c r="BZ420" s="2"/>
      <c r="CA420" s="2"/>
      <c r="CB420" s="2"/>
      <c r="CC420" s="2"/>
      <c r="CD420" s="2"/>
      <c r="CE420" s="2"/>
      <c r="CF420" s="2"/>
    </row>
    <row r="421" spans="1:84" ht="12.65" customHeight="1" x14ac:dyDescent="0.35">
      <c r="A421" s="2" t="s">
        <v>468</v>
      </c>
      <c r="B421" s="2">
        <f>D113</f>
        <v>0</v>
      </c>
      <c r="C421" s="2">
        <f>E151</f>
        <v>0</v>
      </c>
      <c r="D421" s="2">
        <f>I59</f>
        <v>0</v>
      </c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  <c r="BZ421" s="2"/>
      <c r="CA421" s="2"/>
      <c r="CB421" s="2"/>
      <c r="CC421" s="2"/>
      <c r="CD421" s="2"/>
      <c r="CE421" s="2"/>
      <c r="CF421" s="2"/>
    </row>
    <row r="422" spans="1:84" ht="12.65" customHeight="1" x14ac:dyDescent="0.35">
      <c r="A422" s="331"/>
      <c r="B422" s="331"/>
      <c r="C422" s="329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  <c r="BZ422" s="2"/>
      <c r="CA422" s="2"/>
      <c r="CB422" s="2"/>
      <c r="CC422" s="2"/>
      <c r="CD422" s="2"/>
      <c r="CE422" s="2"/>
      <c r="CF422" s="2"/>
    </row>
    <row r="423" spans="1:84" ht="12.65" customHeight="1" x14ac:dyDescent="0.35">
      <c r="A423" s="2" t="s">
        <v>469</v>
      </c>
      <c r="B423" s="2">
        <f>C114</f>
        <v>0</v>
      </c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  <c r="BZ423" s="2"/>
      <c r="CA423" s="2"/>
      <c r="CB423" s="2"/>
      <c r="CC423" s="2"/>
      <c r="CD423" s="2"/>
      <c r="CE423" s="2"/>
      <c r="CF423" s="2"/>
    </row>
    <row r="424" spans="1:84" ht="12.65" customHeight="1" x14ac:dyDescent="0.35">
      <c r="A424" s="2" t="s">
        <v>1243</v>
      </c>
      <c r="B424" s="2">
        <f>D114</f>
        <v>0</v>
      </c>
      <c r="C424" s="2"/>
      <c r="D424" s="2">
        <f>J59</f>
        <v>0</v>
      </c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  <c r="BZ424" s="2"/>
      <c r="CA424" s="2"/>
      <c r="CB424" s="2"/>
      <c r="CC424" s="2"/>
      <c r="CD424" s="2"/>
      <c r="CE424" s="2"/>
      <c r="CF424" s="2"/>
    </row>
    <row r="425" spans="1:84" ht="12.65" customHeight="1" x14ac:dyDescent="0.35">
      <c r="A425" s="331"/>
      <c r="B425" s="331"/>
      <c r="C425" s="331"/>
      <c r="D425" s="331"/>
      <c r="E425" s="2"/>
      <c r="F425" s="331"/>
      <c r="G425" s="331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  <c r="BY425" s="2"/>
      <c r="BZ425" s="2"/>
      <c r="CA425" s="2"/>
      <c r="CB425" s="2"/>
      <c r="CC425" s="2"/>
      <c r="CD425" s="2"/>
      <c r="CE425" s="2"/>
      <c r="CF425" s="2"/>
    </row>
    <row r="426" spans="1:84" ht="12.65" customHeight="1" x14ac:dyDescent="0.35">
      <c r="A426" s="2" t="s">
        <v>470</v>
      </c>
      <c r="B426" s="329" t="s">
        <v>471</v>
      </c>
      <c r="C426" s="329" t="s">
        <v>462</v>
      </c>
      <c r="D426" s="329" t="s">
        <v>472</v>
      </c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  <c r="BY426" s="2"/>
      <c r="BZ426" s="2"/>
      <c r="CA426" s="2"/>
      <c r="CB426" s="2"/>
      <c r="CC426" s="2"/>
      <c r="CD426" s="2"/>
      <c r="CE426" s="2"/>
      <c r="CF426" s="2"/>
    </row>
    <row r="427" spans="1:84" ht="12.65" customHeight="1" x14ac:dyDescent="0.35">
      <c r="A427" s="2" t="s">
        <v>473</v>
      </c>
      <c r="B427" s="2">
        <f t="shared" ref="B427:B437" si="12">C378</f>
        <v>13136786.27</v>
      </c>
      <c r="C427" s="2">
        <f t="shared" ref="C427:C434" si="13">CE61</f>
        <v>13136786.169999998</v>
      </c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  <c r="BY427" s="2"/>
      <c r="BZ427" s="2"/>
      <c r="CA427" s="2"/>
      <c r="CB427" s="2"/>
      <c r="CC427" s="2"/>
      <c r="CD427" s="2"/>
      <c r="CE427" s="2"/>
      <c r="CF427" s="2"/>
    </row>
    <row r="428" spans="1:84" ht="12.65" customHeight="1" x14ac:dyDescent="0.35">
      <c r="A428" s="2" t="s">
        <v>3</v>
      </c>
      <c r="B428" s="2">
        <f>C379</f>
        <v>3225722.44</v>
      </c>
      <c r="C428" s="2">
        <f>CE62</f>
        <v>3225722</v>
      </c>
      <c r="D428" s="2">
        <f>D173</f>
        <v>3225722.44</v>
      </c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  <c r="BZ428" s="2"/>
      <c r="CA428" s="2"/>
      <c r="CB428" s="2"/>
      <c r="CC428" s="2"/>
      <c r="CD428" s="2"/>
      <c r="CE428" s="2"/>
      <c r="CF428" s="2"/>
    </row>
    <row r="429" spans="1:84" ht="12.65" customHeight="1" x14ac:dyDescent="0.35">
      <c r="A429" s="2" t="s">
        <v>236</v>
      </c>
      <c r="B429" s="2">
        <f t="shared" si="12"/>
        <v>3106398.26</v>
      </c>
      <c r="C429" s="2">
        <f t="shared" si="13"/>
        <v>3106398.2900000005</v>
      </c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  <c r="BY429" s="2"/>
      <c r="BZ429" s="2"/>
      <c r="CA429" s="2"/>
      <c r="CB429" s="2"/>
      <c r="CC429" s="2"/>
      <c r="CD429" s="2"/>
      <c r="CE429" s="2"/>
      <c r="CF429" s="2"/>
    </row>
    <row r="430" spans="1:84" ht="12.65" customHeight="1" x14ac:dyDescent="0.35">
      <c r="A430" s="2" t="s">
        <v>237</v>
      </c>
      <c r="B430" s="2">
        <f t="shared" si="12"/>
        <v>1720315.01</v>
      </c>
      <c r="C430" s="2">
        <f t="shared" si="13"/>
        <v>1720315.0099999993</v>
      </c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  <c r="BY430" s="2"/>
      <c r="BZ430" s="2"/>
      <c r="CA430" s="2"/>
      <c r="CB430" s="2"/>
      <c r="CC430" s="2"/>
      <c r="CD430" s="2"/>
      <c r="CE430" s="2"/>
      <c r="CF430" s="2"/>
    </row>
    <row r="431" spans="1:84" ht="12.65" customHeight="1" x14ac:dyDescent="0.35">
      <c r="A431" s="2" t="s">
        <v>444</v>
      </c>
      <c r="B431" s="2">
        <f t="shared" si="12"/>
        <v>309685.61</v>
      </c>
      <c r="C431" s="2">
        <f t="shared" si="13"/>
        <v>309685.92199999996</v>
      </c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  <c r="BY431" s="2"/>
      <c r="BZ431" s="2"/>
      <c r="CA431" s="2"/>
      <c r="CB431" s="2"/>
      <c r="CC431" s="2"/>
      <c r="CD431" s="2"/>
      <c r="CE431" s="2"/>
      <c r="CF431" s="2"/>
    </row>
    <row r="432" spans="1:84" ht="12.65" customHeight="1" x14ac:dyDescent="0.35">
      <c r="A432" s="2" t="s">
        <v>445</v>
      </c>
      <c r="B432" s="2">
        <f t="shared" si="12"/>
        <v>2060619.33</v>
      </c>
      <c r="C432" s="2">
        <f t="shared" si="13"/>
        <v>2060619.3299999998</v>
      </c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  <c r="BY432" s="2"/>
      <c r="BZ432" s="2"/>
      <c r="CA432" s="2"/>
      <c r="CB432" s="2"/>
      <c r="CC432" s="2"/>
      <c r="CD432" s="2"/>
      <c r="CE432" s="2"/>
      <c r="CF432" s="2"/>
    </row>
    <row r="433" spans="1:84" ht="12.65" customHeight="1" x14ac:dyDescent="0.35">
      <c r="A433" s="2" t="s">
        <v>6</v>
      </c>
      <c r="B433" s="2">
        <f t="shared" si="12"/>
        <v>1237938.49</v>
      </c>
      <c r="C433" s="2">
        <f t="shared" si="13"/>
        <v>1237939</v>
      </c>
      <c r="D433" s="2">
        <f>C217</f>
        <v>1246800.6100000001</v>
      </c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  <c r="BY433" s="2"/>
      <c r="BZ433" s="2"/>
      <c r="CA433" s="2"/>
      <c r="CB433" s="2"/>
      <c r="CC433" s="2"/>
      <c r="CD433" s="2"/>
      <c r="CE433" s="2"/>
      <c r="CF433" s="2"/>
    </row>
    <row r="434" spans="1:84" ht="12.65" customHeight="1" x14ac:dyDescent="0.35">
      <c r="A434" s="2" t="s">
        <v>474</v>
      </c>
      <c r="B434" s="2">
        <f t="shared" si="12"/>
        <v>435410.59</v>
      </c>
      <c r="C434" s="2">
        <f t="shared" si="13"/>
        <v>435410.58999999991</v>
      </c>
      <c r="D434" s="2">
        <f>D177</f>
        <v>435410.58999999997</v>
      </c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  <c r="BY434" s="2"/>
      <c r="BZ434" s="2"/>
      <c r="CA434" s="2"/>
      <c r="CB434" s="2"/>
      <c r="CC434" s="2"/>
      <c r="CD434" s="2"/>
      <c r="CE434" s="2"/>
      <c r="CF434" s="2"/>
    </row>
    <row r="435" spans="1:84" ht="12.65" customHeight="1" x14ac:dyDescent="0.35">
      <c r="A435" s="2" t="s">
        <v>447</v>
      </c>
      <c r="B435" s="2">
        <f t="shared" si="12"/>
        <v>172308.27</v>
      </c>
      <c r="C435" s="2"/>
      <c r="D435" s="2">
        <f>D181</f>
        <v>172308.27</v>
      </c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  <c r="BY435" s="2"/>
      <c r="BZ435" s="2"/>
      <c r="CA435" s="2"/>
      <c r="CB435" s="2"/>
      <c r="CC435" s="2"/>
      <c r="CD435" s="2"/>
      <c r="CE435" s="2"/>
      <c r="CF435" s="2"/>
    </row>
    <row r="436" spans="1:84" ht="12.65" customHeight="1" x14ac:dyDescent="0.35">
      <c r="A436" s="2" t="s">
        <v>475</v>
      </c>
      <c r="B436" s="2">
        <f t="shared" si="12"/>
        <v>28805.24</v>
      </c>
      <c r="C436" s="2"/>
      <c r="D436" s="2">
        <f>D186</f>
        <v>694526.46</v>
      </c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  <c r="BY436" s="2"/>
      <c r="BZ436" s="2"/>
      <c r="CA436" s="2"/>
      <c r="CB436" s="2"/>
      <c r="CC436" s="2"/>
      <c r="CD436" s="2"/>
      <c r="CE436" s="2"/>
      <c r="CF436" s="2"/>
    </row>
    <row r="437" spans="1:84" ht="12.65" customHeight="1" x14ac:dyDescent="0.35">
      <c r="A437" s="2" t="s">
        <v>449</v>
      </c>
      <c r="B437" s="2">
        <f t="shared" si="12"/>
        <v>242153.56</v>
      </c>
      <c r="C437" s="2"/>
      <c r="D437" s="2">
        <f>D190</f>
        <v>242153.56</v>
      </c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  <c r="BX437" s="2"/>
      <c r="BY437" s="2"/>
      <c r="BZ437" s="2"/>
      <c r="CA437" s="2"/>
      <c r="CB437" s="2"/>
      <c r="CC437" s="2"/>
      <c r="CD437" s="2"/>
      <c r="CE437" s="2"/>
      <c r="CF437" s="2"/>
    </row>
    <row r="438" spans="1:84" ht="12.65" customHeight="1" x14ac:dyDescent="0.35">
      <c r="A438" s="2" t="s">
        <v>476</v>
      </c>
      <c r="B438" s="2">
        <f>C386+C387+C388</f>
        <v>443267.06999999995</v>
      </c>
      <c r="C438" s="2">
        <f>CD69</f>
        <v>0</v>
      </c>
      <c r="D438" s="2">
        <f>D181+D186+D190</f>
        <v>1108988.29</v>
      </c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2"/>
      <c r="BY438" s="2"/>
      <c r="BZ438" s="2"/>
      <c r="CA438" s="2"/>
      <c r="CB438" s="2"/>
      <c r="CC438" s="2"/>
      <c r="CD438" s="2"/>
      <c r="CE438" s="2"/>
      <c r="CF438" s="2"/>
    </row>
    <row r="439" spans="1:84" ht="12.65" customHeight="1" x14ac:dyDescent="0.35">
      <c r="A439" s="2" t="s">
        <v>451</v>
      </c>
      <c r="B439" s="2">
        <f>C389</f>
        <v>724606.83</v>
      </c>
      <c r="C439" s="2">
        <f>SUM(C69:CC69)</f>
        <v>1167873.1100000001</v>
      </c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2"/>
      <c r="BY439" s="2"/>
      <c r="BZ439" s="2"/>
      <c r="CA439" s="2"/>
      <c r="CB439" s="2"/>
      <c r="CC439" s="2"/>
      <c r="CD439" s="2"/>
      <c r="CE439" s="2"/>
      <c r="CF439" s="2"/>
    </row>
    <row r="440" spans="1:84" ht="12.65" customHeight="1" x14ac:dyDescent="0.35">
      <c r="A440" s="2" t="s">
        <v>477</v>
      </c>
      <c r="B440" s="2">
        <f>B438+B439</f>
        <v>1167873.8999999999</v>
      </c>
      <c r="C440" s="2">
        <f>CE69</f>
        <v>1167873.1100000001</v>
      </c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  <c r="BV440" s="2"/>
      <c r="BW440" s="2"/>
      <c r="BX440" s="2"/>
      <c r="BY440" s="2"/>
      <c r="BZ440" s="2"/>
      <c r="CA440" s="2"/>
      <c r="CB440" s="2"/>
      <c r="CC440" s="2"/>
      <c r="CD440" s="2"/>
      <c r="CE440" s="2"/>
      <c r="CF440" s="2"/>
    </row>
    <row r="441" spans="1:84" ht="12.65" customHeight="1" x14ac:dyDescent="0.35">
      <c r="A441" s="2" t="s">
        <v>478</v>
      </c>
      <c r="B441" s="2">
        <f>D390</f>
        <v>26400749.899999995</v>
      </c>
      <c r="C441" s="2">
        <f>SUM(C427:C437)+C440</f>
        <v>26400749.421999991</v>
      </c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2"/>
      <c r="BY441" s="2"/>
      <c r="BZ441" s="2"/>
      <c r="CA441" s="2"/>
      <c r="CB441" s="2"/>
      <c r="CC441" s="2"/>
      <c r="CD441" s="2"/>
      <c r="CE441" s="2"/>
      <c r="CF441" s="2"/>
    </row>
    <row r="442" spans="1:84" ht="12.65" customHeight="1" x14ac:dyDescent="0.35">
      <c r="A442" s="331"/>
      <c r="B442" s="331"/>
      <c r="C442" s="331"/>
      <c r="D442" s="331"/>
      <c r="E442" s="2"/>
      <c r="F442" s="331"/>
      <c r="G442" s="331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  <c r="BY442" s="2"/>
      <c r="BZ442" s="2"/>
      <c r="CA442" s="2"/>
      <c r="CB442" s="2"/>
      <c r="CC442" s="2"/>
      <c r="CD442" s="2"/>
      <c r="CE442" s="2"/>
      <c r="CF442" s="2"/>
    </row>
    <row r="443" spans="1:84" ht="12.65" customHeight="1" x14ac:dyDescent="0.35">
      <c r="A443" s="2" t="s">
        <v>479</v>
      </c>
      <c r="B443" s="329" t="s">
        <v>480</v>
      </c>
      <c r="C443" s="329" t="s">
        <v>471</v>
      </c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  <c r="BY443" s="2"/>
      <c r="BZ443" s="2"/>
      <c r="CA443" s="2"/>
      <c r="CB443" s="2"/>
      <c r="CC443" s="2"/>
      <c r="CD443" s="2"/>
      <c r="CE443" s="2"/>
      <c r="CF443" s="2"/>
    </row>
    <row r="444" spans="1:84" ht="12.65" customHeight="1" x14ac:dyDescent="0.35">
      <c r="A444" s="2" t="s">
        <v>1256</v>
      </c>
      <c r="B444" s="2">
        <f>D221</f>
        <v>1487621.8</v>
      </c>
      <c r="C444" s="2">
        <f>C363</f>
        <v>1487621.8</v>
      </c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2"/>
      <c r="BY444" s="2"/>
      <c r="BZ444" s="2"/>
      <c r="CA444" s="2"/>
      <c r="CB444" s="2"/>
      <c r="CC444" s="2"/>
      <c r="CD444" s="2"/>
      <c r="CE444" s="2"/>
      <c r="CF444" s="2"/>
    </row>
    <row r="445" spans="1:84" ht="12.65" customHeight="1" x14ac:dyDescent="0.35">
      <c r="A445" s="2" t="s">
        <v>343</v>
      </c>
      <c r="B445" s="2">
        <f>D229</f>
        <v>17972437.48</v>
      </c>
      <c r="C445" s="2">
        <f>C364</f>
        <v>18073001.399999999</v>
      </c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2"/>
      <c r="BY445" s="2"/>
      <c r="BZ445" s="2"/>
      <c r="CA445" s="2"/>
      <c r="CB445" s="2"/>
      <c r="CC445" s="2"/>
      <c r="CD445" s="2"/>
      <c r="CE445" s="2"/>
      <c r="CF445" s="2"/>
    </row>
    <row r="446" spans="1:84" ht="12.65" customHeight="1" x14ac:dyDescent="0.35">
      <c r="A446" s="2" t="s">
        <v>351</v>
      </c>
      <c r="B446" s="2">
        <f>D236</f>
        <v>583768.39</v>
      </c>
      <c r="C446" s="2">
        <f>C365</f>
        <v>583768.39</v>
      </c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  <c r="BY446" s="2"/>
      <c r="BZ446" s="2"/>
      <c r="CA446" s="2"/>
      <c r="CB446" s="2"/>
      <c r="CC446" s="2"/>
      <c r="CD446" s="2"/>
      <c r="CE446" s="2"/>
      <c r="CF446" s="2"/>
    </row>
    <row r="447" spans="1:84" ht="12.65" customHeight="1" x14ac:dyDescent="0.35">
      <c r="A447" s="2" t="s">
        <v>356</v>
      </c>
      <c r="B447" s="2">
        <f>D240</f>
        <v>100563.92</v>
      </c>
      <c r="C447" s="2">
        <f>C366</f>
        <v>0</v>
      </c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  <c r="BX447" s="2"/>
      <c r="BY447" s="2"/>
      <c r="BZ447" s="2"/>
      <c r="CA447" s="2"/>
      <c r="CB447" s="2"/>
      <c r="CC447" s="2"/>
      <c r="CD447" s="2"/>
      <c r="CE447" s="2"/>
      <c r="CF447" s="2"/>
    </row>
    <row r="448" spans="1:84" ht="12.65" customHeight="1" x14ac:dyDescent="0.35">
      <c r="A448" s="2" t="s">
        <v>358</v>
      </c>
      <c r="B448" s="2">
        <f>D242</f>
        <v>20144391.590000004</v>
      </c>
      <c r="C448" s="2">
        <f>D367</f>
        <v>20144391.59</v>
      </c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  <c r="BY448" s="2"/>
      <c r="BZ448" s="2"/>
      <c r="CA448" s="2"/>
      <c r="CB448" s="2"/>
      <c r="CC448" s="2"/>
      <c r="CD448" s="2"/>
      <c r="CE448" s="2"/>
      <c r="CF448" s="2"/>
    </row>
    <row r="449" spans="1:84" ht="12.65" customHeight="1" x14ac:dyDescent="0.35">
      <c r="A449" s="331"/>
      <c r="B449" s="331"/>
      <c r="C449" s="331"/>
      <c r="D449" s="331"/>
      <c r="E449" s="2"/>
      <c r="F449" s="331"/>
      <c r="G449" s="331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2"/>
      <c r="BY449" s="2"/>
      <c r="BZ449" s="2"/>
      <c r="CA449" s="2"/>
      <c r="CB449" s="2"/>
      <c r="CC449" s="2"/>
      <c r="CD449" s="2"/>
      <c r="CE449" s="2"/>
      <c r="CF449" s="2"/>
    </row>
    <row r="450" spans="1:84" ht="12.65" customHeight="1" x14ac:dyDescent="0.35">
      <c r="A450" s="2" t="s">
        <v>481</v>
      </c>
      <c r="B450" s="329" t="s">
        <v>482</v>
      </c>
      <c r="C450" s="331"/>
      <c r="D450" s="331"/>
      <c r="E450" s="2"/>
      <c r="F450" s="331"/>
      <c r="G450" s="331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  <c r="BV450" s="2"/>
      <c r="BW450" s="2"/>
      <c r="BX450" s="2"/>
      <c r="BY450" s="2"/>
      <c r="BZ450" s="2"/>
      <c r="CA450" s="2"/>
      <c r="CB450" s="2"/>
      <c r="CC450" s="2"/>
      <c r="CD450" s="2"/>
      <c r="CE450" s="2"/>
      <c r="CF450" s="2"/>
    </row>
    <row r="451" spans="1:84" ht="12.65" customHeight="1" x14ac:dyDescent="0.35">
      <c r="A451" s="2"/>
      <c r="B451" s="329" t="s">
        <v>483</v>
      </c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/>
      <c r="BV451" s="2"/>
      <c r="BW451" s="2"/>
      <c r="BX451" s="2"/>
      <c r="BY451" s="2"/>
      <c r="BZ451" s="2"/>
      <c r="CA451" s="2"/>
      <c r="CB451" s="2"/>
      <c r="CC451" s="2"/>
      <c r="CD451" s="2"/>
      <c r="CE451" s="2"/>
      <c r="CF451" s="2"/>
    </row>
    <row r="452" spans="1:84" ht="12.65" customHeight="1" x14ac:dyDescent="0.35">
      <c r="A452" s="2"/>
      <c r="B452" s="329" t="s">
        <v>472</v>
      </c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  <c r="BY452" s="2"/>
      <c r="BZ452" s="2"/>
      <c r="CA452" s="2"/>
      <c r="CB452" s="2"/>
      <c r="CC452" s="2"/>
      <c r="CD452" s="2"/>
      <c r="CE452" s="2"/>
      <c r="CF452" s="2"/>
    </row>
    <row r="453" spans="1:84" ht="12.65" customHeight="1" x14ac:dyDescent="0.35">
      <c r="A453" s="324" t="s">
        <v>484</v>
      </c>
      <c r="B453" s="2">
        <f>C231</f>
        <v>0</v>
      </c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  <c r="BU453" s="2"/>
      <c r="BV453" s="2"/>
      <c r="BW453" s="2"/>
      <c r="BX453" s="2"/>
      <c r="BY453" s="2"/>
      <c r="BZ453" s="2"/>
      <c r="CA453" s="2"/>
      <c r="CB453" s="2"/>
      <c r="CC453" s="2"/>
      <c r="CD453" s="2"/>
      <c r="CE453" s="2"/>
      <c r="CF453" s="2"/>
    </row>
    <row r="454" spans="1:84" ht="12.65" customHeight="1" x14ac:dyDescent="0.35">
      <c r="A454" s="2" t="s">
        <v>168</v>
      </c>
      <c r="B454" s="2">
        <f>C233</f>
        <v>0</v>
      </c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/>
      <c r="BV454" s="2"/>
      <c r="BW454" s="2"/>
      <c r="BX454" s="2"/>
      <c r="BY454" s="2"/>
      <c r="BZ454" s="2"/>
      <c r="CA454" s="2"/>
      <c r="CB454" s="2"/>
      <c r="CC454" s="2"/>
      <c r="CD454" s="2"/>
      <c r="CE454" s="2"/>
      <c r="CF454" s="2"/>
    </row>
    <row r="455" spans="1:84" ht="12.65" customHeight="1" x14ac:dyDescent="0.35">
      <c r="A455" s="2" t="s">
        <v>131</v>
      </c>
      <c r="B455" s="2">
        <f>C234</f>
        <v>583768.39</v>
      </c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  <c r="BV455" s="2"/>
      <c r="BW455" s="2"/>
      <c r="BX455" s="2"/>
      <c r="BY455" s="2"/>
      <c r="BZ455" s="2"/>
      <c r="CA455" s="2"/>
      <c r="CB455" s="2"/>
      <c r="CC455" s="2"/>
      <c r="CD455" s="2"/>
      <c r="CE455" s="2"/>
      <c r="CF455" s="2"/>
    </row>
    <row r="456" spans="1:84" ht="12.65" customHeight="1" x14ac:dyDescent="0.35">
      <c r="A456" s="331"/>
      <c r="B456" s="331"/>
      <c r="C456" s="331"/>
      <c r="D456" s="331"/>
      <c r="E456" s="2"/>
      <c r="F456" s="331"/>
      <c r="G456" s="331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  <c r="BX456" s="2"/>
      <c r="BY456" s="2"/>
      <c r="BZ456" s="2"/>
      <c r="CA456" s="2"/>
      <c r="CB456" s="2"/>
      <c r="CC456" s="2"/>
      <c r="CD456" s="2"/>
      <c r="CE456" s="2"/>
      <c r="CF456" s="2"/>
    </row>
    <row r="457" spans="1:84" ht="12.65" customHeight="1" x14ac:dyDescent="0.35">
      <c r="A457" s="2" t="s">
        <v>485</v>
      </c>
      <c r="B457" s="329" t="s">
        <v>471</v>
      </c>
      <c r="C457" s="329" t="s">
        <v>486</v>
      </c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  <c r="BV457" s="2"/>
      <c r="BW457" s="2"/>
      <c r="BX457" s="2"/>
      <c r="BY457" s="2"/>
      <c r="BZ457" s="2"/>
      <c r="CA457" s="2"/>
      <c r="CB457" s="2"/>
      <c r="CC457" s="2"/>
      <c r="CD457" s="2"/>
      <c r="CE457" s="2"/>
      <c r="CF457" s="2"/>
    </row>
    <row r="458" spans="1:84" ht="12.65" customHeight="1" x14ac:dyDescent="0.35">
      <c r="A458" s="2" t="s">
        <v>487</v>
      </c>
      <c r="B458" s="2">
        <f>C370</f>
        <v>0</v>
      </c>
      <c r="C458" s="2">
        <f>CE70</f>
        <v>0</v>
      </c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  <c r="BU458" s="2"/>
      <c r="BV458" s="2"/>
      <c r="BW458" s="2"/>
      <c r="BX458" s="2"/>
      <c r="BY458" s="2"/>
      <c r="BZ458" s="2"/>
      <c r="CA458" s="2"/>
      <c r="CB458" s="2"/>
      <c r="CC458" s="2"/>
      <c r="CD458" s="2"/>
      <c r="CE458" s="2"/>
      <c r="CF458" s="2"/>
    </row>
    <row r="459" spans="1:84" ht="12.65" customHeight="1" x14ac:dyDescent="0.35">
      <c r="A459" s="2" t="s">
        <v>244</v>
      </c>
      <c r="B459" s="2">
        <f>C371</f>
        <v>0</v>
      </c>
      <c r="C459" s="2">
        <f>CE72</f>
        <v>0</v>
      </c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  <c r="BU459" s="2"/>
      <c r="BV459" s="2"/>
      <c r="BW459" s="2"/>
      <c r="BX459" s="2"/>
      <c r="BY459" s="2"/>
      <c r="BZ459" s="2"/>
      <c r="CA459" s="2"/>
      <c r="CB459" s="2"/>
      <c r="CC459" s="2"/>
      <c r="CD459" s="2"/>
      <c r="CE459" s="2"/>
      <c r="CF459" s="2"/>
    </row>
    <row r="460" spans="1:84" ht="12.65" customHeight="1" x14ac:dyDescent="0.35">
      <c r="A460" s="331"/>
      <c r="B460" s="331"/>
      <c r="C460" s="331"/>
      <c r="D460" s="331"/>
      <c r="E460" s="2"/>
      <c r="F460" s="331"/>
      <c r="G460" s="331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  <c r="BU460" s="2"/>
      <c r="BV460" s="2"/>
      <c r="BW460" s="2"/>
      <c r="BX460" s="2"/>
      <c r="BY460" s="2"/>
      <c r="BZ460" s="2"/>
      <c r="CA460" s="2"/>
      <c r="CB460" s="2"/>
      <c r="CC460" s="2"/>
      <c r="CD460" s="2"/>
      <c r="CE460" s="2"/>
      <c r="CF460" s="2"/>
    </row>
    <row r="461" spans="1:84" ht="12.65" customHeight="1" x14ac:dyDescent="0.35">
      <c r="A461" s="2" t="s">
        <v>488</v>
      </c>
      <c r="B461" s="329"/>
      <c r="C461" s="329"/>
      <c r="D461" s="329" t="s">
        <v>1244</v>
      </c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  <c r="BV461" s="2"/>
      <c r="BW461" s="2"/>
      <c r="BX461" s="2"/>
      <c r="BY461" s="2"/>
      <c r="BZ461" s="2"/>
      <c r="CA461" s="2"/>
      <c r="CB461" s="2"/>
      <c r="CC461" s="2"/>
      <c r="CD461" s="2"/>
      <c r="CE461" s="2"/>
      <c r="CF461" s="2"/>
    </row>
    <row r="462" spans="1:84" ht="12.65" customHeight="1" x14ac:dyDescent="0.35">
      <c r="A462" s="2"/>
      <c r="B462" s="329" t="s">
        <v>471</v>
      </c>
      <c r="C462" s="329" t="s">
        <v>486</v>
      </c>
      <c r="D462" s="329" t="s">
        <v>490</v>
      </c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  <c r="BX462" s="2"/>
      <c r="BY462" s="2"/>
      <c r="BZ462" s="2"/>
      <c r="CA462" s="2"/>
      <c r="CB462" s="2"/>
      <c r="CC462" s="2"/>
      <c r="CD462" s="2"/>
      <c r="CE462" s="2"/>
      <c r="CF462" s="2"/>
    </row>
    <row r="463" spans="1:84" ht="12.65" customHeight="1" x14ac:dyDescent="0.35">
      <c r="A463" s="2" t="s">
        <v>245</v>
      </c>
      <c r="B463" s="2">
        <f>C359</f>
        <v>3417356.49</v>
      </c>
      <c r="C463" s="2">
        <f>CE73</f>
        <v>3417356.49</v>
      </c>
      <c r="D463" s="2">
        <f>E141+E147+E153</f>
        <v>3238323.34</v>
      </c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  <c r="BU463" s="2"/>
      <c r="BV463" s="2"/>
      <c r="BW463" s="2"/>
      <c r="BX463" s="2"/>
      <c r="BY463" s="2"/>
      <c r="BZ463" s="2"/>
      <c r="CA463" s="2"/>
      <c r="CB463" s="2"/>
      <c r="CC463" s="2"/>
      <c r="CD463" s="2"/>
      <c r="CE463" s="2"/>
      <c r="CF463" s="2"/>
    </row>
    <row r="464" spans="1:84" ht="12.65" customHeight="1" x14ac:dyDescent="0.35">
      <c r="A464" s="2" t="s">
        <v>246</v>
      </c>
      <c r="B464" s="2">
        <f>C360</f>
        <v>41377004.060000002</v>
      </c>
      <c r="C464" s="2">
        <f>CE74</f>
        <v>41377004.74000001</v>
      </c>
      <c r="D464" s="2">
        <f>E142+E148+E154</f>
        <v>40833663</v>
      </c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/>
      <c r="BV464" s="2"/>
      <c r="BW464" s="2"/>
      <c r="BX464" s="2"/>
      <c r="BY464" s="2"/>
      <c r="BZ464" s="2"/>
      <c r="CA464" s="2"/>
      <c r="CB464" s="2"/>
      <c r="CC464" s="2"/>
      <c r="CD464" s="2"/>
      <c r="CE464" s="2"/>
      <c r="CF464" s="2"/>
    </row>
    <row r="465" spans="1:84" ht="12.65" customHeight="1" x14ac:dyDescent="0.35">
      <c r="A465" s="2" t="s">
        <v>247</v>
      </c>
      <c r="B465" s="2">
        <f>D361</f>
        <v>44794360.550000004</v>
      </c>
      <c r="C465" s="2">
        <f>CE75</f>
        <v>44794361.230000004</v>
      </c>
      <c r="D465" s="2">
        <f>D463+D464</f>
        <v>44071986.340000004</v>
      </c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  <c r="BX465" s="2"/>
      <c r="BY465" s="2"/>
      <c r="BZ465" s="2"/>
      <c r="CA465" s="2"/>
      <c r="CB465" s="2"/>
      <c r="CC465" s="2"/>
      <c r="CD465" s="2"/>
      <c r="CE465" s="2"/>
      <c r="CF465" s="2"/>
    </row>
    <row r="466" spans="1:84" ht="12.65" customHeight="1" x14ac:dyDescent="0.35">
      <c r="A466" s="331"/>
      <c r="B466" s="331"/>
      <c r="C466" s="331"/>
      <c r="D466" s="331"/>
      <c r="E466" s="2"/>
      <c r="F466" s="331"/>
      <c r="G466" s="331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  <c r="BU466" s="2"/>
      <c r="BV466" s="2"/>
      <c r="BW466" s="2"/>
      <c r="BX466" s="2"/>
      <c r="BY466" s="2"/>
      <c r="BZ466" s="2"/>
      <c r="CA466" s="2"/>
      <c r="CB466" s="2"/>
      <c r="CC466" s="2"/>
      <c r="CD466" s="2"/>
      <c r="CE466" s="2"/>
      <c r="CF466" s="2"/>
    </row>
    <row r="467" spans="1:84" ht="12.65" customHeight="1" x14ac:dyDescent="0.35">
      <c r="A467" s="2" t="s">
        <v>491</v>
      </c>
      <c r="B467" s="329" t="s">
        <v>492</v>
      </c>
      <c r="C467" s="329" t="s">
        <v>493</v>
      </c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  <c r="BU467" s="2"/>
      <c r="BV467" s="2"/>
      <c r="BW467" s="2"/>
      <c r="BX467" s="2"/>
      <c r="BY467" s="2"/>
      <c r="BZ467" s="2"/>
      <c r="CA467" s="2"/>
      <c r="CB467" s="2"/>
      <c r="CC467" s="2"/>
      <c r="CD467" s="2"/>
      <c r="CE467" s="2"/>
      <c r="CF467" s="2"/>
    </row>
    <row r="468" spans="1:84" ht="12.65" customHeight="1" x14ac:dyDescent="0.35">
      <c r="A468" s="2" t="s">
        <v>332</v>
      </c>
      <c r="B468" s="2">
        <f t="shared" ref="B468:B475" si="14">C267</f>
        <v>203706.33</v>
      </c>
      <c r="C468" s="2">
        <f>E195</f>
        <v>203706.33</v>
      </c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  <c r="BV468" s="2"/>
      <c r="BW468" s="2"/>
      <c r="BX468" s="2"/>
      <c r="BY468" s="2"/>
      <c r="BZ468" s="2"/>
      <c r="CA468" s="2"/>
      <c r="CB468" s="2"/>
      <c r="CC468" s="2"/>
      <c r="CD468" s="2"/>
      <c r="CE468" s="2"/>
      <c r="CF468" s="2"/>
    </row>
    <row r="469" spans="1:84" ht="12.65" customHeight="1" x14ac:dyDescent="0.35">
      <c r="A469" s="2" t="s">
        <v>333</v>
      </c>
      <c r="B469" s="2">
        <f t="shared" si="14"/>
        <v>1782695.72</v>
      </c>
      <c r="C469" s="2">
        <f>E196</f>
        <v>1782695.72</v>
      </c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  <c r="BU469" s="2"/>
      <c r="BV469" s="2"/>
      <c r="BW469" s="2"/>
      <c r="BX469" s="2"/>
      <c r="BY469" s="2"/>
      <c r="BZ469" s="2"/>
      <c r="CA469" s="2"/>
      <c r="CB469" s="2"/>
      <c r="CC469" s="2"/>
      <c r="CD469" s="2"/>
      <c r="CE469" s="2"/>
      <c r="CF469" s="2"/>
    </row>
    <row r="470" spans="1:84" ht="12.65" customHeight="1" x14ac:dyDescent="0.35">
      <c r="A470" s="2" t="s">
        <v>334</v>
      </c>
      <c r="B470" s="2">
        <f t="shared" si="14"/>
        <v>13659330.85</v>
      </c>
      <c r="C470" s="2">
        <f>E197</f>
        <v>13659330.850000001</v>
      </c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  <c r="BX470" s="2"/>
      <c r="BY470" s="2"/>
      <c r="BZ470" s="2"/>
      <c r="CA470" s="2"/>
      <c r="CB470" s="2"/>
      <c r="CC470" s="2"/>
      <c r="CD470" s="2"/>
      <c r="CE470" s="2"/>
      <c r="CF470" s="2"/>
    </row>
    <row r="471" spans="1:84" ht="12.65" customHeight="1" x14ac:dyDescent="0.35">
      <c r="A471" s="2" t="s">
        <v>494</v>
      </c>
      <c r="B471" s="2">
        <f t="shared" si="14"/>
        <v>6824097.6299999999</v>
      </c>
      <c r="C471" s="2">
        <f>E198</f>
        <v>6824097.6299999999</v>
      </c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  <c r="BU471" s="2"/>
      <c r="BV471" s="2"/>
      <c r="BW471" s="2"/>
      <c r="BX471" s="2"/>
      <c r="BY471" s="2"/>
      <c r="BZ471" s="2"/>
      <c r="CA471" s="2"/>
      <c r="CB471" s="2"/>
      <c r="CC471" s="2"/>
      <c r="CD471" s="2"/>
      <c r="CE471" s="2"/>
      <c r="CF471" s="2"/>
    </row>
    <row r="472" spans="1:84" ht="12.65" customHeight="1" x14ac:dyDescent="0.35">
      <c r="A472" s="2" t="s">
        <v>377</v>
      </c>
      <c r="B472" s="2">
        <f t="shared" si="14"/>
        <v>337147.97</v>
      </c>
      <c r="C472" s="2">
        <f>E199</f>
        <v>337147.97000000003</v>
      </c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  <c r="BU472" s="2"/>
      <c r="BV472" s="2"/>
      <c r="BW472" s="2"/>
      <c r="BX472" s="2"/>
      <c r="BY472" s="2"/>
      <c r="BZ472" s="2"/>
      <c r="CA472" s="2"/>
      <c r="CB472" s="2"/>
      <c r="CC472" s="2"/>
      <c r="CD472" s="2"/>
      <c r="CE472" s="2"/>
      <c r="CF472" s="2"/>
    </row>
    <row r="473" spans="1:84" ht="12.65" customHeight="1" x14ac:dyDescent="0.35">
      <c r="A473" s="2" t="s">
        <v>495</v>
      </c>
      <c r="B473" s="2">
        <f t="shared" si="14"/>
        <v>7139246.3200000003</v>
      </c>
      <c r="C473" s="2">
        <f>SUM(E200:E201)</f>
        <v>7139246.3200000003</v>
      </c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  <c r="BU473" s="2"/>
      <c r="BV473" s="2"/>
      <c r="BW473" s="2"/>
      <c r="BX473" s="2"/>
      <c r="BY473" s="2"/>
      <c r="BZ473" s="2"/>
      <c r="CA473" s="2"/>
      <c r="CB473" s="2"/>
      <c r="CC473" s="2"/>
      <c r="CD473" s="2"/>
      <c r="CE473" s="2"/>
      <c r="CF473" s="2"/>
    </row>
    <row r="474" spans="1:84" ht="12.65" customHeight="1" x14ac:dyDescent="0.35">
      <c r="A474" s="2" t="s">
        <v>339</v>
      </c>
      <c r="B474" s="2">
        <f t="shared" si="14"/>
        <v>0</v>
      </c>
      <c r="C474" s="2">
        <f>E202</f>
        <v>0</v>
      </c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/>
      <c r="BV474" s="2"/>
      <c r="BW474" s="2"/>
      <c r="BX474" s="2"/>
      <c r="BY474" s="2"/>
      <c r="BZ474" s="2"/>
      <c r="CA474" s="2"/>
      <c r="CB474" s="2"/>
      <c r="CC474" s="2"/>
      <c r="CD474" s="2"/>
      <c r="CE474" s="2"/>
      <c r="CF474" s="2"/>
    </row>
    <row r="475" spans="1:84" ht="12.65" customHeight="1" x14ac:dyDescent="0.35">
      <c r="A475" s="2" t="s">
        <v>340</v>
      </c>
      <c r="B475" s="2">
        <f t="shared" si="14"/>
        <v>211509.94</v>
      </c>
      <c r="C475" s="2">
        <f>E203</f>
        <v>211509</v>
      </c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  <c r="BU475" s="2"/>
      <c r="BV475" s="2"/>
      <c r="BW475" s="2"/>
      <c r="BX475" s="2"/>
      <c r="BY475" s="2"/>
      <c r="BZ475" s="2"/>
      <c r="CA475" s="2"/>
      <c r="CB475" s="2"/>
      <c r="CC475" s="2"/>
      <c r="CD475" s="2"/>
      <c r="CE475" s="2"/>
      <c r="CF475" s="2"/>
    </row>
    <row r="476" spans="1:84" ht="12.65" customHeight="1" x14ac:dyDescent="0.35">
      <c r="A476" s="2" t="s">
        <v>203</v>
      </c>
      <c r="B476" s="2">
        <f>D275</f>
        <v>30157734.760000002</v>
      </c>
      <c r="C476" s="2">
        <f>E204</f>
        <v>30157733.82</v>
      </c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  <c r="BV476" s="2"/>
      <c r="BW476" s="2"/>
      <c r="BX476" s="2"/>
      <c r="BY476" s="2"/>
      <c r="BZ476" s="2"/>
      <c r="CA476" s="2"/>
      <c r="CB476" s="2"/>
      <c r="CC476" s="2"/>
      <c r="CD476" s="2"/>
      <c r="CE476" s="2"/>
      <c r="CF476" s="2"/>
    </row>
    <row r="477" spans="1:84" ht="12.65" customHeight="1" x14ac:dyDescent="0.3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/>
      <c r="BV477" s="2"/>
      <c r="BW477" s="2"/>
      <c r="BX477" s="2"/>
      <c r="BY477" s="2"/>
      <c r="BZ477" s="2"/>
      <c r="CA477" s="2"/>
      <c r="CB477" s="2"/>
      <c r="CC477" s="2"/>
      <c r="CD477" s="2"/>
      <c r="CE477" s="2"/>
      <c r="CF477" s="2"/>
    </row>
    <row r="478" spans="1:84" ht="12.65" customHeight="1" x14ac:dyDescent="0.35">
      <c r="A478" s="2" t="s">
        <v>496</v>
      </c>
      <c r="B478" s="2">
        <f>C276</f>
        <v>19784312.309999999</v>
      </c>
      <c r="C478" s="2">
        <f>E217</f>
        <v>19784312.34</v>
      </c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  <c r="BU478" s="2"/>
      <c r="BV478" s="2"/>
      <c r="BW478" s="2"/>
      <c r="BX478" s="2"/>
      <c r="BY478" s="2"/>
      <c r="BZ478" s="2"/>
      <c r="CA478" s="2"/>
      <c r="CB478" s="2"/>
      <c r="CC478" s="2"/>
      <c r="CD478" s="2"/>
      <c r="CE478" s="2"/>
      <c r="CF478" s="2"/>
    </row>
    <row r="479" spans="1:84" ht="12.65" customHeight="1" x14ac:dyDescent="0.3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  <c r="BU479" s="2"/>
      <c r="BV479" s="2"/>
      <c r="BW479" s="2"/>
      <c r="BX479" s="2"/>
      <c r="BY479" s="2"/>
      <c r="BZ479" s="2"/>
      <c r="CA479" s="2"/>
      <c r="CB479" s="2"/>
      <c r="CC479" s="2"/>
      <c r="CD479" s="2"/>
      <c r="CE479" s="2"/>
      <c r="CF479" s="2"/>
    </row>
    <row r="480" spans="1:84" ht="12.65" customHeight="1" x14ac:dyDescent="0.35">
      <c r="A480" s="2" t="s">
        <v>497</v>
      </c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  <c r="BU480" s="2"/>
      <c r="BV480" s="2"/>
      <c r="BW480" s="2"/>
      <c r="BX480" s="2"/>
      <c r="BY480" s="2"/>
      <c r="BZ480" s="2"/>
      <c r="CA480" s="2"/>
      <c r="CB480" s="2"/>
      <c r="CC480" s="2"/>
      <c r="CD480" s="2"/>
      <c r="CE480" s="2"/>
      <c r="CF480" s="2"/>
    </row>
    <row r="481" spans="1:84" ht="12.65" customHeight="1" x14ac:dyDescent="0.35">
      <c r="A481" s="2" t="s">
        <v>498</v>
      </c>
      <c r="B481" s="2"/>
      <c r="C481" s="2">
        <f>D341</f>
        <v>18303976.700000003</v>
      </c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  <c r="BU481" s="2"/>
      <c r="BV481" s="2"/>
      <c r="BW481" s="2"/>
      <c r="BX481" s="2"/>
      <c r="BY481" s="2"/>
      <c r="BZ481" s="2"/>
      <c r="CA481" s="2"/>
      <c r="CB481" s="2"/>
      <c r="CC481" s="2"/>
      <c r="CD481" s="2"/>
      <c r="CE481" s="2"/>
      <c r="CF481" s="2"/>
    </row>
    <row r="482" spans="1:84" ht="12.65" customHeight="1" x14ac:dyDescent="0.35">
      <c r="A482" s="2" t="s">
        <v>499</v>
      </c>
      <c r="B482" s="2"/>
      <c r="C482" s="2">
        <f>D339</f>
        <v>18303976.699999999</v>
      </c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/>
      <c r="BU482" s="2"/>
      <c r="BV482" s="2"/>
      <c r="BW482" s="2"/>
      <c r="BX482" s="2"/>
      <c r="BY482" s="2"/>
      <c r="BZ482" s="2"/>
      <c r="CA482" s="2"/>
      <c r="CB482" s="2"/>
      <c r="CC482" s="2"/>
      <c r="CD482" s="2"/>
      <c r="CE482" s="2"/>
      <c r="CF482" s="2"/>
    </row>
    <row r="483" spans="1:84" ht="12.65" customHeight="1" x14ac:dyDescent="0.3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  <c r="BU483" s="2"/>
      <c r="BV483" s="2"/>
      <c r="BW483" s="2"/>
      <c r="BX483" s="2"/>
      <c r="BY483" s="2"/>
      <c r="BZ483" s="2"/>
      <c r="CA483" s="2"/>
      <c r="CB483" s="2"/>
      <c r="CC483" s="2"/>
      <c r="CD483" s="2"/>
      <c r="CE483" s="2"/>
      <c r="CF483" s="2"/>
    </row>
    <row r="484" spans="1:84" ht="12.65" customHeight="1" x14ac:dyDescent="0.3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  <c r="BU484" s="2"/>
      <c r="BV484" s="2"/>
      <c r="BW484" s="2"/>
      <c r="BX484" s="2"/>
      <c r="BY484" s="2"/>
      <c r="BZ484" s="2"/>
      <c r="CA484" s="2"/>
      <c r="CB484" s="2"/>
      <c r="CC484" s="2"/>
      <c r="CD484" s="2"/>
      <c r="CE484" s="2"/>
      <c r="CF484" s="2"/>
    </row>
    <row r="485" spans="1:84" ht="12.65" customHeight="1" x14ac:dyDescent="0.35">
      <c r="A485" s="324" t="s">
        <v>500</v>
      </c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  <c r="BU485" s="2"/>
      <c r="BV485" s="2"/>
      <c r="BW485" s="2"/>
      <c r="BX485" s="2"/>
      <c r="BY485" s="2"/>
      <c r="BZ485" s="2"/>
      <c r="CA485" s="2"/>
      <c r="CB485" s="2"/>
      <c r="CC485" s="2"/>
      <c r="CD485" s="2"/>
      <c r="CE485" s="2"/>
      <c r="CF485" s="2"/>
    </row>
    <row r="486" spans="1:84" ht="12.65" customHeight="1" x14ac:dyDescent="0.35">
      <c r="A486" s="324" t="s">
        <v>501</v>
      </c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  <c r="BU486" s="2"/>
      <c r="BV486" s="2"/>
      <c r="BW486" s="2"/>
      <c r="BX486" s="2"/>
      <c r="BY486" s="2"/>
      <c r="BZ486" s="2"/>
      <c r="CA486" s="2"/>
      <c r="CB486" s="2"/>
      <c r="CC486" s="2"/>
      <c r="CD486" s="2"/>
      <c r="CE486" s="2"/>
      <c r="CF486" s="2"/>
    </row>
    <row r="487" spans="1:84" ht="12.65" customHeight="1" x14ac:dyDescent="0.35">
      <c r="A487" s="324" t="s">
        <v>502</v>
      </c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  <c r="BU487" s="2"/>
      <c r="BV487" s="2"/>
      <c r="BW487" s="2"/>
      <c r="BX487" s="2"/>
      <c r="BY487" s="2"/>
      <c r="BZ487" s="2"/>
      <c r="CA487" s="2"/>
      <c r="CB487" s="2"/>
      <c r="CC487" s="2"/>
      <c r="CD487" s="2"/>
      <c r="CE487" s="2"/>
      <c r="CF487" s="2"/>
    </row>
    <row r="488" spans="1:84" ht="12.65" customHeight="1" x14ac:dyDescent="0.35">
      <c r="A488" s="324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/>
      <c r="BV488" s="2"/>
      <c r="BW488" s="2"/>
      <c r="BX488" s="2"/>
      <c r="BY488" s="2"/>
      <c r="BZ488" s="2"/>
      <c r="CA488" s="2"/>
      <c r="CB488" s="2"/>
      <c r="CC488" s="2"/>
      <c r="CD488" s="2"/>
      <c r="CE488" s="2"/>
      <c r="CF488" s="2"/>
    </row>
    <row r="489" spans="1:84" ht="12.65" customHeight="1" x14ac:dyDescent="0.35">
      <c r="A489" s="332" t="s">
        <v>503</v>
      </c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/>
      <c r="BV489" s="2"/>
      <c r="BW489" s="2"/>
      <c r="BX489" s="2"/>
      <c r="BY489" s="2"/>
      <c r="BZ489" s="2"/>
      <c r="CA489" s="2"/>
      <c r="CB489" s="2"/>
      <c r="CC489" s="2"/>
      <c r="CD489" s="2"/>
      <c r="CE489" s="2"/>
      <c r="CF489" s="2"/>
    </row>
    <row r="490" spans="1:84" ht="12.65" customHeight="1" x14ac:dyDescent="0.35">
      <c r="A490" s="324" t="s">
        <v>504</v>
      </c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  <c r="BZ490" s="2"/>
      <c r="CA490" s="2"/>
      <c r="CB490" s="2"/>
      <c r="CC490" s="2"/>
      <c r="CD490" s="2"/>
      <c r="CE490" s="2"/>
      <c r="CF490" s="2"/>
    </row>
    <row r="491" spans="1:84" ht="12.65" customHeight="1" x14ac:dyDescent="0.35">
      <c r="A491" s="324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  <c r="BZ491" s="2"/>
      <c r="CA491" s="2"/>
      <c r="CB491" s="2"/>
      <c r="CC491" s="2"/>
      <c r="CD491" s="2"/>
      <c r="CE491" s="2"/>
      <c r="CF491" s="2"/>
    </row>
    <row r="492" spans="1:84" ht="12.65" customHeight="1" x14ac:dyDescent="0.3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  <c r="BU492" s="2"/>
      <c r="BV492" s="2"/>
      <c r="BW492" s="2"/>
      <c r="BX492" s="2"/>
      <c r="BY492" s="2"/>
      <c r="BZ492" s="2"/>
      <c r="CA492" s="2"/>
      <c r="CB492" s="2"/>
      <c r="CC492" s="2"/>
      <c r="CD492" s="2"/>
      <c r="CE492" s="2"/>
      <c r="CF492" s="2"/>
    </row>
    <row r="493" spans="1:84" ht="12.65" customHeight="1" x14ac:dyDescent="0.35">
      <c r="A493" s="2" t="str">
        <f>C83</f>
        <v>008</v>
      </c>
      <c r="B493" s="333" t="str">
        <f>RIGHT('[1]Prior Year'!C82,4)</f>
        <v>2018</v>
      </c>
      <c r="C493" s="333" t="str">
        <f>RIGHT(C82,4)</f>
        <v>2019</v>
      </c>
      <c r="D493" s="333" t="str">
        <f>RIGHT('[1]Prior Year'!C82,4)</f>
        <v>2018</v>
      </c>
      <c r="E493" s="333" t="str">
        <f>RIGHT(C82,4)</f>
        <v>2019</v>
      </c>
      <c r="F493" s="333" t="str">
        <f>RIGHT('[1]Prior Year'!C82,4)</f>
        <v>2018</v>
      </c>
      <c r="G493" s="333" t="str">
        <f>RIGHT(C82,4)</f>
        <v>2019</v>
      </c>
      <c r="H493" s="333"/>
      <c r="I493" s="2"/>
      <c r="J493" s="2"/>
      <c r="K493" s="333"/>
      <c r="L493" s="333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/>
      <c r="BU493" s="2"/>
      <c r="BV493" s="2"/>
      <c r="BW493" s="2"/>
      <c r="BX493" s="2"/>
      <c r="BY493" s="2"/>
      <c r="BZ493" s="2"/>
      <c r="CA493" s="2"/>
      <c r="CB493" s="2"/>
      <c r="CC493" s="2"/>
      <c r="CD493" s="2"/>
      <c r="CE493" s="2"/>
      <c r="CF493" s="2"/>
    </row>
    <row r="494" spans="1:84" ht="12.65" customHeight="1" x14ac:dyDescent="0.35">
      <c r="A494" s="332"/>
      <c r="B494" s="329" t="s">
        <v>505</v>
      </c>
      <c r="C494" s="329" t="s">
        <v>505</v>
      </c>
      <c r="D494" s="334" t="s">
        <v>506</v>
      </c>
      <c r="E494" s="334" t="s">
        <v>506</v>
      </c>
      <c r="F494" s="333" t="s">
        <v>507</v>
      </c>
      <c r="G494" s="333" t="s">
        <v>507</v>
      </c>
      <c r="H494" s="333" t="s">
        <v>508</v>
      </c>
      <c r="I494" s="2"/>
      <c r="J494" s="2"/>
      <c r="K494" s="333"/>
      <c r="L494" s="333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  <c r="BT494" s="2"/>
      <c r="BU494" s="2"/>
      <c r="BV494" s="2"/>
      <c r="BW494" s="2"/>
      <c r="BX494" s="2"/>
      <c r="BY494" s="2"/>
      <c r="BZ494" s="2"/>
      <c r="CA494" s="2"/>
      <c r="CB494" s="2"/>
      <c r="CC494" s="2"/>
      <c r="CD494" s="2"/>
      <c r="CE494" s="2"/>
      <c r="CF494" s="2"/>
    </row>
    <row r="495" spans="1:84" ht="12.65" customHeight="1" x14ac:dyDescent="0.35">
      <c r="A495" s="2"/>
      <c r="B495" s="329" t="s">
        <v>303</v>
      </c>
      <c r="C495" s="329" t="s">
        <v>303</v>
      </c>
      <c r="D495" s="329" t="s">
        <v>509</v>
      </c>
      <c r="E495" s="329" t="s">
        <v>509</v>
      </c>
      <c r="F495" s="333" t="s">
        <v>510</v>
      </c>
      <c r="G495" s="333" t="s">
        <v>510</v>
      </c>
      <c r="H495" s="333" t="s">
        <v>511</v>
      </c>
      <c r="I495" s="2"/>
      <c r="J495" s="2"/>
      <c r="K495" s="333"/>
      <c r="L495" s="333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  <c r="BP495" s="2"/>
      <c r="BQ495" s="2"/>
      <c r="BR495" s="2"/>
      <c r="BS495" s="2"/>
      <c r="BT495" s="2"/>
      <c r="BU495" s="2"/>
      <c r="BV495" s="2"/>
      <c r="BW495" s="2"/>
      <c r="BX495" s="2"/>
      <c r="BY495" s="2"/>
      <c r="BZ495" s="2"/>
      <c r="CA495" s="2"/>
      <c r="CB495" s="2"/>
      <c r="CC495" s="2"/>
      <c r="CD495" s="2"/>
      <c r="CE495" s="2"/>
      <c r="CF495" s="2"/>
    </row>
    <row r="496" spans="1:84" ht="12.65" customHeight="1" x14ac:dyDescent="0.35">
      <c r="A496" s="2" t="s">
        <v>512</v>
      </c>
      <c r="B496" s="335">
        <f>'[1]Prior Year'!C71</f>
        <v>0</v>
      </c>
      <c r="C496" s="335">
        <f>C71</f>
        <v>0</v>
      </c>
      <c r="D496" s="335">
        <f>'[1]Prior Year'!C59</f>
        <v>0</v>
      </c>
      <c r="E496" s="2">
        <f>C59</f>
        <v>0</v>
      </c>
      <c r="F496" s="336" t="str">
        <f t="shared" ref="F496:G511" si="15">IF(B496=0,"",IF(D496=0,"",B496/D496))</f>
        <v/>
      </c>
      <c r="G496" s="336" t="str">
        <f t="shared" si="15"/>
        <v/>
      </c>
      <c r="H496" s="337" t="str">
        <f>IF(B496=0,"",IF(C496=0,"",IF(D496=0,"",IF(E496=0,"",IF(G496/F496-1&lt;-0.25,G496/F496-1,IF(G496/F496-1&gt;0.25,G496/F496-1,""))))))</f>
        <v/>
      </c>
      <c r="I496" s="268"/>
      <c r="J496" s="2"/>
      <c r="K496" s="333"/>
      <c r="L496" s="333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  <c r="BP496" s="2"/>
      <c r="BQ496" s="2"/>
      <c r="BR496" s="2"/>
      <c r="BS496" s="2"/>
      <c r="BT496" s="2"/>
      <c r="BU496" s="2"/>
      <c r="BV496" s="2"/>
      <c r="BW496" s="2"/>
      <c r="BX496" s="2"/>
      <c r="BY496" s="2"/>
      <c r="BZ496" s="2"/>
      <c r="CA496" s="2"/>
      <c r="CB496" s="2"/>
      <c r="CC496" s="2"/>
      <c r="CD496" s="2"/>
      <c r="CE496" s="2"/>
      <c r="CF496" s="2"/>
    </row>
    <row r="497" spans="1:84" ht="12.65" customHeight="1" x14ac:dyDescent="0.35">
      <c r="A497" s="2" t="s">
        <v>513</v>
      </c>
      <c r="B497" s="335">
        <f>'[1]Prior Year'!D71</f>
        <v>0</v>
      </c>
      <c r="C497" s="335">
        <f>D71</f>
        <v>0</v>
      </c>
      <c r="D497" s="335">
        <f>'[1]Prior Year'!D59</f>
        <v>0</v>
      </c>
      <c r="E497" s="2">
        <f>D59</f>
        <v>0</v>
      </c>
      <c r="F497" s="336" t="str">
        <f t="shared" si="15"/>
        <v/>
      </c>
      <c r="G497" s="336" t="str">
        <f t="shared" si="15"/>
        <v/>
      </c>
      <c r="H497" s="337" t="str">
        <f t="shared" ref="H497:H550" si="16">IF(B497=0,"",IF(C497=0,"",IF(D497=0,"",IF(E497=0,"",IF(G497/F497-1&lt;-0.25,G497/F497-1,IF(G497/F497-1&gt;0.25,G497/F497-1,""))))))</f>
        <v/>
      </c>
      <c r="I497" s="268"/>
      <c r="J497" s="2"/>
      <c r="K497" s="333"/>
      <c r="L497" s="333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  <c r="BP497" s="2"/>
      <c r="BQ497" s="2"/>
      <c r="BR497" s="2"/>
      <c r="BS497" s="2"/>
      <c r="BT497" s="2"/>
      <c r="BU497" s="2"/>
      <c r="BV497" s="2"/>
      <c r="BW497" s="2"/>
      <c r="BX497" s="2"/>
      <c r="BY497" s="2"/>
      <c r="BZ497" s="2"/>
      <c r="CA497" s="2"/>
      <c r="CB497" s="2"/>
      <c r="CC497" s="2"/>
      <c r="CD497" s="2"/>
      <c r="CE497" s="2"/>
      <c r="CF497" s="2"/>
    </row>
    <row r="498" spans="1:84" ht="12.65" customHeight="1" x14ac:dyDescent="0.35">
      <c r="A498" s="2" t="s">
        <v>514</v>
      </c>
      <c r="B498" s="335">
        <f>'[1]Prior Year'!E71</f>
        <v>3165876.1799999997</v>
      </c>
      <c r="C498" s="335">
        <f>E71</f>
        <v>2870973</v>
      </c>
      <c r="D498" s="335">
        <f>'[1]Prior Year'!E59</f>
        <v>397</v>
      </c>
      <c r="E498" s="2">
        <f>E59</f>
        <v>0</v>
      </c>
      <c r="F498" s="336">
        <f t="shared" si="15"/>
        <v>7974.4991939546589</v>
      </c>
      <c r="G498" s="336" t="str">
        <f t="shared" si="15"/>
        <v/>
      </c>
      <c r="H498" s="337" t="str">
        <f t="shared" si="16"/>
        <v/>
      </c>
      <c r="I498" s="268"/>
      <c r="J498" s="2"/>
      <c r="K498" s="333"/>
      <c r="L498" s="333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/>
      <c r="BU498" s="2"/>
      <c r="BV498" s="2"/>
      <c r="BW498" s="2"/>
      <c r="BX498" s="2"/>
      <c r="BY498" s="2"/>
      <c r="BZ498" s="2"/>
      <c r="CA498" s="2"/>
      <c r="CB498" s="2"/>
      <c r="CC498" s="2"/>
      <c r="CD498" s="2"/>
      <c r="CE498" s="2"/>
      <c r="CF498" s="2"/>
    </row>
    <row r="499" spans="1:84" ht="12.65" customHeight="1" x14ac:dyDescent="0.35">
      <c r="A499" s="2" t="s">
        <v>515</v>
      </c>
      <c r="B499" s="335">
        <f>'[1]Prior Year'!F71</f>
        <v>0</v>
      </c>
      <c r="C499" s="335">
        <f>F71</f>
        <v>0</v>
      </c>
      <c r="D499" s="335">
        <f>'[1]Prior Year'!F59</f>
        <v>0</v>
      </c>
      <c r="E499" s="2">
        <f>F59</f>
        <v>0</v>
      </c>
      <c r="F499" s="336" t="str">
        <f t="shared" si="15"/>
        <v/>
      </c>
      <c r="G499" s="336" t="str">
        <f t="shared" si="15"/>
        <v/>
      </c>
      <c r="H499" s="337" t="str">
        <f t="shared" si="16"/>
        <v/>
      </c>
      <c r="I499" s="268"/>
      <c r="J499" s="2"/>
      <c r="K499" s="333"/>
      <c r="L499" s="333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  <c r="BU499" s="2"/>
      <c r="BV499" s="2"/>
      <c r="BW499" s="2"/>
      <c r="BX499" s="2"/>
      <c r="BY499" s="2"/>
      <c r="BZ499" s="2"/>
      <c r="CA499" s="2"/>
      <c r="CB499" s="2"/>
      <c r="CC499" s="2"/>
      <c r="CD499" s="2"/>
      <c r="CE499" s="2"/>
      <c r="CF499" s="2"/>
    </row>
    <row r="500" spans="1:84" ht="12.65" customHeight="1" x14ac:dyDescent="0.35">
      <c r="A500" s="2" t="s">
        <v>516</v>
      </c>
      <c r="B500" s="335">
        <f>'[1]Prior Year'!G71</f>
        <v>0</v>
      </c>
      <c r="C500" s="335">
        <f>G71</f>
        <v>0</v>
      </c>
      <c r="D500" s="335">
        <f>'[1]Prior Year'!G59</f>
        <v>0</v>
      </c>
      <c r="E500" s="2">
        <f>G59</f>
        <v>0</v>
      </c>
      <c r="F500" s="336" t="str">
        <f t="shared" si="15"/>
        <v/>
      </c>
      <c r="G500" s="336" t="str">
        <f t="shared" si="15"/>
        <v/>
      </c>
      <c r="H500" s="337" t="str">
        <f t="shared" si="16"/>
        <v/>
      </c>
      <c r="I500" s="268"/>
      <c r="J500" s="2"/>
      <c r="K500" s="333"/>
      <c r="L500" s="333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  <c r="BT500" s="2"/>
      <c r="BU500" s="2"/>
      <c r="BV500" s="2"/>
      <c r="BW500" s="2"/>
      <c r="BX500" s="2"/>
      <c r="BY500" s="2"/>
      <c r="BZ500" s="2"/>
      <c r="CA500" s="2"/>
      <c r="CB500" s="2"/>
      <c r="CC500" s="2"/>
      <c r="CD500" s="2"/>
      <c r="CE500" s="2"/>
      <c r="CF500" s="2"/>
    </row>
    <row r="501" spans="1:84" ht="12.65" customHeight="1" x14ac:dyDescent="0.35">
      <c r="A501" s="2" t="s">
        <v>517</v>
      </c>
      <c r="B501" s="335">
        <f>'[1]Prior Year'!H71</f>
        <v>0</v>
      </c>
      <c r="C501" s="335">
        <f>H71</f>
        <v>0</v>
      </c>
      <c r="D501" s="335">
        <f>'[1]Prior Year'!H59</f>
        <v>0</v>
      </c>
      <c r="E501" s="2">
        <f>H59</f>
        <v>0</v>
      </c>
      <c r="F501" s="336" t="str">
        <f t="shared" si="15"/>
        <v/>
      </c>
      <c r="G501" s="336" t="str">
        <f t="shared" si="15"/>
        <v/>
      </c>
      <c r="H501" s="337" t="str">
        <f t="shared" si="16"/>
        <v/>
      </c>
      <c r="I501" s="268"/>
      <c r="J501" s="2"/>
      <c r="K501" s="333"/>
      <c r="L501" s="333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  <c r="BS501" s="2"/>
      <c r="BT501" s="2"/>
      <c r="BU501" s="2"/>
      <c r="BV501" s="2"/>
      <c r="BW501" s="2"/>
      <c r="BX501" s="2"/>
      <c r="BY501" s="2"/>
      <c r="BZ501" s="2"/>
      <c r="CA501" s="2"/>
      <c r="CB501" s="2"/>
      <c r="CC501" s="2"/>
      <c r="CD501" s="2"/>
      <c r="CE501" s="2"/>
      <c r="CF501" s="2"/>
    </row>
    <row r="502" spans="1:84" ht="12.65" customHeight="1" x14ac:dyDescent="0.35">
      <c r="A502" s="2" t="s">
        <v>518</v>
      </c>
      <c r="B502" s="335">
        <f>'[1]Prior Year'!I71</f>
        <v>0</v>
      </c>
      <c r="C502" s="335">
        <f>I71</f>
        <v>0</v>
      </c>
      <c r="D502" s="335">
        <f>'[1]Prior Year'!I59</f>
        <v>0</v>
      </c>
      <c r="E502" s="2">
        <f>I59</f>
        <v>0</v>
      </c>
      <c r="F502" s="336" t="str">
        <f t="shared" si="15"/>
        <v/>
      </c>
      <c r="G502" s="336" t="str">
        <f t="shared" si="15"/>
        <v/>
      </c>
      <c r="H502" s="337" t="str">
        <f t="shared" si="16"/>
        <v/>
      </c>
      <c r="I502" s="268"/>
      <c r="J502" s="2"/>
      <c r="K502" s="333"/>
      <c r="L502" s="333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  <c r="BP502" s="2"/>
      <c r="BQ502" s="2"/>
      <c r="BR502" s="2"/>
      <c r="BS502" s="2"/>
      <c r="BT502" s="2"/>
      <c r="BU502" s="2"/>
      <c r="BV502" s="2"/>
      <c r="BW502" s="2"/>
      <c r="BX502" s="2"/>
      <c r="BY502" s="2"/>
      <c r="BZ502" s="2"/>
      <c r="CA502" s="2"/>
      <c r="CB502" s="2"/>
      <c r="CC502" s="2"/>
      <c r="CD502" s="2"/>
      <c r="CE502" s="2"/>
      <c r="CF502" s="2"/>
    </row>
    <row r="503" spans="1:84" ht="12.65" customHeight="1" x14ac:dyDescent="0.35">
      <c r="A503" s="2" t="s">
        <v>519</v>
      </c>
      <c r="B503" s="335">
        <f>'[1]Prior Year'!J71</f>
        <v>0</v>
      </c>
      <c r="C503" s="335">
        <f>J71</f>
        <v>0</v>
      </c>
      <c r="D503" s="335">
        <f>'[1]Prior Year'!J59</f>
        <v>0</v>
      </c>
      <c r="E503" s="2">
        <f>J59</f>
        <v>0</v>
      </c>
      <c r="F503" s="336" t="str">
        <f t="shared" si="15"/>
        <v/>
      </c>
      <c r="G503" s="336" t="str">
        <f t="shared" si="15"/>
        <v/>
      </c>
      <c r="H503" s="337" t="str">
        <f t="shared" si="16"/>
        <v/>
      </c>
      <c r="I503" s="268"/>
      <c r="J503" s="2"/>
      <c r="K503" s="333"/>
      <c r="L503" s="333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  <c r="BS503" s="2"/>
      <c r="BT503" s="2"/>
      <c r="BU503" s="2"/>
      <c r="BV503" s="2"/>
      <c r="BW503" s="2"/>
      <c r="BX503" s="2"/>
      <c r="BY503" s="2"/>
      <c r="BZ503" s="2"/>
      <c r="CA503" s="2"/>
      <c r="CB503" s="2"/>
      <c r="CC503" s="2"/>
      <c r="CD503" s="2"/>
      <c r="CE503" s="2"/>
      <c r="CF503" s="2"/>
    </row>
    <row r="504" spans="1:84" ht="12.65" customHeight="1" x14ac:dyDescent="0.35">
      <c r="A504" s="2" t="s">
        <v>520</v>
      </c>
      <c r="B504" s="335">
        <f>'[1]Prior Year'!K71</f>
        <v>0</v>
      </c>
      <c r="C504" s="335">
        <f>K71</f>
        <v>0</v>
      </c>
      <c r="D504" s="335">
        <f>'[1]Prior Year'!K59</f>
        <v>0</v>
      </c>
      <c r="E504" s="2">
        <f>K59</f>
        <v>0</v>
      </c>
      <c r="F504" s="336" t="str">
        <f t="shared" si="15"/>
        <v/>
      </c>
      <c r="G504" s="336" t="str">
        <f t="shared" si="15"/>
        <v/>
      </c>
      <c r="H504" s="337" t="str">
        <f t="shared" si="16"/>
        <v/>
      </c>
      <c r="I504" s="268"/>
      <c r="J504" s="2"/>
      <c r="K504" s="333"/>
      <c r="L504" s="333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  <c r="BP504" s="2"/>
      <c r="BQ504" s="2"/>
      <c r="BR504" s="2"/>
      <c r="BS504" s="2"/>
      <c r="BT504" s="2"/>
      <c r="BU504" s="2"/>
      <c r="BV504" s="2"/>
      <c r="BW504" s="2"/>
      <c r="BX504" s="2"/>
      <c r="BY504" s="2"/>
      <c r="BZ504" s="2"/>
      <c r="CA504" s="2"/>
      <c r="CB504" s="2"/>
      <c r="CC504" s="2"/>
      <c r="CD504" s="2"/>
      <c r="CE504" s="2"/>
      <c r="CF504" s="2"/>
    </row>
    <row r="505" spans="1:84" ht="12.65" customHeight="1" x14ac:dyDescent="0.35">
      <c r="A505" s="2" t="s">
        <v>521</v>
      </c>
      <c r="B505" s="335">
        <f>'[1]Prior Year'!L71</f>
        <v>0</v>
      </c>
      <c r="C505" s="335">
        <f>L71</f>
        <v>0</v>
      </c>
      <c r="D505" s="335">
        <f>'[1]Prior Year'!L59</f>
        <v>0</v>
      </c>
      <c r="E505" s="2">
        <f>L59</f>
        <v>0</v>
      </c>
      <c r="F505" s="336" t="str">
        <f t="shared" si="15"/>
        <v/>
      </c>
      <c r="G505" s="336" t="str">
        <f t="shared" si="15"/>
        <v/>
      </c>
      <c r="H505" s="337" t="str">
        <f t="shared" si="16"/>
        <v/>
      </c>
      <c r="I505" s="268"/>
      <c r="J505" s="2"/>
      <c r="K505" s="333"/>
      <c r="L505" s="333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  <c r="BR505" s="2"/>
      <c r="BS505" s="2"/>
      <c r="BT505" s="2"/>
      <c r="BU505" s="2"/>
      <c r="BV505" s="2"/>
      <c r="BW505" s="2"/>
      <c r="BX505" s="2"/>
      <c r="BY505" s="2"/>
      <c r="BZ505" s="2"/>
      <c r="CA505" s="2"/>
      <c r="CB505" s="2"/>
      <c r="CC505" s="2"/>
      <c r="CD505" s="2"/>
      <c r="CE505" s="2"/>
      <c r="CF505" s="2"/>
    </row>
    <row r="506" spans="1:84" ht="12.65" customHeight="1" x14ac:dyDescent="0.35">
      <c r="A506" s="2" t="s">
        <v>522</v>
      </c>
      <c r="B506" s="335">
        <f>'[1]Prior Year'!M71</f>
        <v>444706.59</v>
      </c>
      <c r="C506" s="335">
        <f>M71</f>
        <v>397165.72200000007</v>
      </c>
      <c r="D506" s="335">
        <f>'[1]Prior Year'!M59</f>
        <v>850</v>
      </c>
      <c r="E506" s="2">
        <f>M59</f>
        <v>0</v>
      </c>
      <c r="F506" s="336">
        <f t="shared" si="15"/>
        <v>523.18422352941184</v>
      </c>
      <c r="G506" s="336" t="str">
        <f t="shared" si="15"/>
        <v/>
      </c>
      <c r="H506" s="337" t="str">
        <f t="shared" si="16"/>
        <v/>
      </c>
      <c r="I506" s="268"/>
      <c r="J506" s="2"/>
      <c r="K506" s="333"/>
      <c r="L506" s="333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  <c r="BP506" s="2"/>
      <c r="BQ506" s="2"/>
      <c r="BR506" s="2"/>
      <c r="BS506" s="2"/>
      <c r="BT506" s="2"/>
      <c r="BU506" s="2"/>
      <c r="BV506" s="2"/>
      <c r="BW506" s="2"/>
      <c r="BX506" s="2"/>
      <c r="BY506" s="2"/>
      <c r="BZ506" s="2"/>
      <c r="CA506" s="2"/>
      <c r="CB506" s="2"/>
      <c r="CC506" s="2"/>
      <c r="CD506" s="2"/>
      <c r="CE506" s="2"/>
      <c r="CF506" s="2"/>
    </row>
    <row r="507" spans="1:84" ht="12.65" customHeight="1" x14ac:dyDescent="0.35">
      <c r="A507" s="2" t="s">
        <v>523</v>
      </c>
      <c r="B507" s="335">
        <f>'[1]Prior Year'!N71</f>
        <v>190231.18</v>
      </c>
      <c r="C507" s="335">
        <f>N71</f>
        <v>295126.48</v>
      </c>
      <c r="D507" s="335">
        <f>'[1]Prior Year'!N59</f>
        <v>898</v>
      </c>
      <c r="E507" s="2">
        <f>N59</f>
        <v>0</v>
      </c>
      <c r="F507" s="336">
        <f t="shared" si="15"/>
        <v>211.83873051224944</v>
      </c>
      <c r="G507" s="336" t="str">
        <f t="shared" si="15"/>
        <v/>
      </c>
      <c r="H507" s="337" t="str">
        <f t="shared" si="16"/>
        <v/>
      </c>
      <c r="I507" s="268"/>
      <c r="J507" s="2"/>
      <c r="K507" s="333"/>
      <c r="L507" s="333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  <c r="BP507" s="2"/>
      <c r="BQ507" s="2"/>
      <c r="BR507" s="2"/>
      <c r="BS507" s="2"/>
      <c r="BT507" s="2"/>
      <c r="BU507" s="2"/>
      <c r="BV507" s="2"/>
      <c r="BW507" s="2"/>
      <c r="BX507" s="2"/>
      <c r="BY507" s="2"/>
      <c r="BZ507" s="2"/>
      <c r="CA507" s="2"/>
      <c r="CB507" s="2"/>
      <c r="CC507" s="2"/>
      <c r="CD507" s="2"/>
      <c r="CE507" s="2"/>
      <c r="CF507" s="2"/>
    </row>
    <row r="508" spans="1:84" ht="12.65" customHeight="1" x14ac:dyDescent="0.35">
      <c r="A508" s="2" t="s">
        <v>524</v>
      </c>
      <c r="B508" s="335">
        <f>'[1]Prior Year'!O71</f>
        <v>0</v>
      </c>
      <c r="C508" s="335">
        <f>O71</f>
        <v>0</v>
      </c>
      <c r="D508" s="335">
        <f>'[1]Prior Year'!O59</f>
        <v>0</v>
      </c>
      <c r="E508" s="2">
        <f>O59</f>
        <v>0</v>
      </c>
      <c r="F508" s="336" t="str">
        <f t="shared" si="15"/>
        <v/>
      </c>
      <c r="G508" s="336" t="str">
        <f t="shared" si="15"/>
        <v/>
      </c>
      <c r="H508" s="337" t="str">
        <f t="shared" si="16"/>
        <v/>
      </c>
      <c r="I508" s="268"/>
      <c r="J508" s="2"/>
      <c r="K508" s="333"/>
      <c r="L508" s="333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  <c r="BR508" s="2"/>
      <c r="BS508" s="2"/>
      <c r="BT508" s="2"/>
      <c r="BU508" s="2"/>
      <c r="BV508" s="2"/>
      <c r="BW508" s="2"/>
      <c r="BX508" s="2"/>
      <c r="BY508" s="2"/>
      <c r="BZ508" s="2"/>
      <c r="CA508" s="2"/>
      <c r="CB508" s="2"/>
      <c r="CC508" s="2"/>
      <c r="CD508" s="2"/>
      <c r="CE508" s="2"/>
      <c r="CF508" s="2"/>
    </row>
    <row r="509" spans="1:84" ht="12.65" customHeight="1" x14ac:dyDescent="0.35">
      <c r="A509" s="2" t="s">
        <v>525</v>
      </c>
      <c r="B509" s="335">
        <f>'[1]Prior Year'!P71</f>
        <v>1856864.65</v>
      </c>
      <c r="C509" s="335">
        <f>P71</f>
        <v>1583058.94</v>
      </c>
      <c r="D509" s="335">
        <f>'[1]Prior Year'!P59</f>
        <v>2609</v>
      </c>
      <c r="E509" s="2">
        <f>P59</f>
        <v>0</v>
      </c>
      <c r="F509" s="336">
        <f t="shared" si="15"/>
        <v>711.71508240705248</v>
      </c>
      <c r="G509" s="336" t="str">
        <f t="shared" si="15"/>
        <v/>
      </c>
      <c r="H509" s="337" t="str">
        <f t="shared" si="16"/>
        <v/>
      </c>
      <c r="I509" s="268"/>
      <c r="J509" s="2"/>
      <c r="K509" s="333"/>
      <c r="L509" s="333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  <c r="BR509" s="2"/>
      <c r="BS509" s="2"/>
      <c r="BT509" s="2"/>
      <c r="BU509" s="2"/>
      <c r="BV509" s="2"/>
      <c r="BW509" s="2"/>
      <c r="BX509" s="2"/>
      <c r="BY509" s="2"/>
      <c r="BZ509" s="2"/>
      <c r="CA509" s="2"/>
      <c r="CB509" s="2"/>
      <c r="CC509" s="2"/>
      <c r="CD509" s="2"/>
      <c r="CE509" s="2"/>
      <c r="CF509" s="2"/>
    </row>
    <row r="510" spans="1:84" ht="12.65" customHeight="1" x14ac:dyDescent="0.35">
      <c r="A510" s="2" t="s">
        <v>526</v>
      </c>
      <c r="B510" s="335">
        <f>'[1]Prior Year'!Q71</f>
        <v>0</v>
      </c>
      <c r="C510" s="335">
        <f>Q71</f>
        <v>0</v>
      </c>
      <c r="D510" s="335">
        <f>'[1]Prior Year'!Q59</f>
        <v>0</v>
      </c>
      <c r="E510" s="2">
        <f>Q59</f>
        <v>0</v>
      </c>
      <c r="F510" s="336" t="str">
        <f t="shared" si="15"/>
        <v/>
      </c>
      <c r="G510" s="336" t="str">
        <f t="shared" si="15"/>
        <v/>
      </c>
      <c r="H510" s="337" t="str">
        <f t="shared" si="16"/>
        <v/>
      </c>
      <c r="I510" s="268"/>
      <c r="J510" s="2"/>
      <c r="K510" s="333"/>
      <c r="L510" s="333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  <c r="BR510" s="2"/>
      <c r="BS510" s="2"/>
      <c r="BT510" s="2"/>
      <c r="BU510" s="2"/>
      <c r="BV510" s="2"/>
      <c r="BW510" s="2"/>
      <c r="BX510" s="2"/>
      <c r="BY510" s="2"/>
      <c r="BZ510" s="2"/>
      <c r="CA510" s="2"/>
      <c r="CB510" s="2"/>
      <c r="CC510" s="2"/>
      <c r="CD510" s="2"/>
      <c r="CE510" s="2"/>
      <c r="CF510" s="2"/>
    </row>
    <row r="511" spans="1:84" ht="12.65" customHeight="1" x14ac:dyDescent="0.35">
      <c r="A511" s="2" t="s">
        <v>527</v>
      </c>
      <c r="B511" s="335">
        <f>'[1]Prior Year'!R71</f>
        <v>330323.83000000007</v>
      </c>
      <c r="C511" s="335">
        <f>R71</f>
        <v>373615.72</v>
      </c>
      <c r="D511" s="335">
        <f>'[1]Prior Year'!R59</f>
        <v>0</v>
      </c>
      <c r="E511" s="2">
        <f>R59</f>
        <v>0</v>
      </c>
      <c r="F511" s="336" t="str">
        <f t="shared" si="15"/>
        <v/>
      </c>
      <c r="G511" s="336" t="str">
        <f t="shared" si="15"/>
        <v/>
      </c>
      <c r="H511" s="337" t="str">
        <f t="shared" si="16"/>
        <v/>
      </c>
      <c r="I511" s="268"/>
      <c r="J511" s="2"/>
      <c r="K511" s="333"/>
      <c r="L511" s="333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  <c r="BT511" s="2"/>
      <c r="BU511" s="2"/>
      <c r="BV511" s="2"/>
      <c r="BW511" s="2"/>
      <c r="BX511" s="2"/>
      <c r="BY511" s="2"/>
      <c r="BZ511" s="2"/>
      <c r="CA511" s="2"/>
      <c r="CB511" s="2"/>
      <c r="CC511" s="2"/>
      <c r="CD511" s="2"/>
      <c r="CE511" s="2"/>
      <c r="CF511" s="2"/>
    </row>
    <row r="512" spans="1:84" ht="12.65" customHeight="1" x14ac:dyDescent="0.35">
      <c r="A512" s="2" t="s">
        <v>528</v>
      </c>
      <c r="B512" s="335">
        <f>'[1]Prior Year'!S71</f>
        <v>0</v>
      </c>
      <c r="C512" s="335">
        <f>S71</f>
        <v>0</v>
      </c>
      <c r="D512" s="329" t="s">
        <v>529</v>
      </c>
      <c r="E512" s="329" t="s">
        <v>529</v>
      </c>
      <c r="F512" s="336" t="str">
        <f t="shared" ref="F512:G527" si="17">IF(B512=0,"",IF(D512=0,"",B512/D512))</f>
        <v/>
      </c>
      <c r="G512" s="336" t="str">
        <f t="shared" si="17"/>
        <v/>
      </c>
      <c r="H512" s="337" t="str">
        <f t="shared" si="16"/>
        <v/>
      </c>
      <c r="I512" s="268"/>
      <c r="J512" s="2"/>
      <c r="K512" s="333"/>
      <c r="L512" s="333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  <c r="BR512" s="2"/>
      <c r="BS512" s="2"/>
      <c r="BT512" s="2"/>
      <c r="BU512" s="2"/>
      <c r="BV512" s="2"/>
      <c r="BW512" s="2"/>
      <c r="BX512" s="2"/>
      <c r="BY512" s="2"/>
      <c r="BZ512" s="2"/>
      <c r="CA512" s="2"/>
      <c r="CB512" s="2"/>
      <c r="CC512" s="2"/>
      <c r="CD512" s="2"/>
      <c r="CE512" s="2"/>
      <c r="CF512" s="2"/>
    </row>
    <row r="513" spans="1:84" ht="12.65" customHeight="1" x14ac:dyDescent="0.35">
      <c r="A513" s="2" t="s">
        <v>1245</v>
      </c>
      <c r="B513" s="335">
        <f>'[1]Prior Year'!T71</f>
        <v>0</v>
      </c>
      <c r="C513" s="335">
        <f>T71</f>
        <v>0</v>
      </c>
      <c r="D513" s="329" t="s">
        <v>529</v>
      </c>
      <c r="E513" s="329" t="s">
        <v>529</v>
      </c>
      <c r="F513" s="336" t="str">
        <f t="shared" si="17"/>
        <v/>
      </c>
      <c r="G513" s="336" t="str">
        <f t="shared" si="17"/>
        <v/>
      </c>
      <c r="H513" s="337" t="str">
        <f t="shared" si="16"/>
        <v/>
      </c>
      <c r="I513" s="268"/>
      <c r="J513" s="2"/>
      <c r="K513" s="333"/>
      <c r="L513" s="333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  <c r="BP513" s="2"/>
      <c r="BQ513" s="2"/>
      <c r="BR513" s="2"/>
      <c r="BS513" s="2"/>
      <c r="BT513" s="2"/>
      <c r="BU513" s="2"/>
      <c r="BV513" s="2"/>
      <c r="BW513" s="2"/>
      <c r="BX513" s="2"/>
      <c r="BY513" s="2"/>
      <c r="BZ513" s="2"/>
      <c r="CA513" s="2"/>
      <c r="CB513" s="2"/>
      <c r="CC513" s="2"/>
      <c r="CD513" s="2"/>
      <c r="CE513" s="2"/>
      <c r="CF513" s="2"/>
    </row>
    <row r="514" spans="1:84" ht="12.65" customHeight="1" x14ac:dyDescent="0.35">
      <c r="A514" s="2" t="s">
        <v>530</v>
      </c>
      <c r="B514" s="335">
        <f>'[1]Prior Year'!U71</f>
        <v>1446825.3</v>
      </c>
      <c r="C514" s="335">
        <f>U71</f>
        <v>1302113.7300000002</v>
      </c>
      <c r="D514" s="335">
        <f>'[1]Prior Year'!U59</f>
        <v>55930</v>
      </c>
      <c r="E514" s="2">
        <f>U59</f>
        <v>0</v>
      </c>
      <c r="F514" s="336">
        <f t="shared" si="17"/>
        <v>25.868501698551761</v>
      </c>
      <c r="G514" s="336" t="str">
        <f t="shared" si="17"/>
        <v/>
      </c>
      <c r="H514" s="337" t="str">
        <f t="shared" si="16"/>
        <v/>
      </c>
      <c r="I514" s="268"/>
      <c r="J514" s="2"/>
      <c r="K514" s="333"/>
      <c r="L514" s="333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  <c r="BR514" s="2"/>
      <c r="BS514" s="2"/>
      <c r="BT514" s="2"/>
      <c r="BU514" s="2"/>
      <c r="BV514" s="2"/>
      <c r="BW514" s="2"/>
      <c r="BX514" s="2"/>
      <c r="BY514" s="2"/>
      <c r="BZ514" s="2"/>
      <c r="CA514" s="2"/>
      <c r="CB514" s="2"/>
      <c r="CC514" s="2"/>
      <c r="CD514" s="2"/>
      <c r="CE514" s="2"/>
      <c r="CF514" s="2"/>
    </row>
    <row r="515" spans="1:84" ht="12.65" customHeight="1" x14ac:dyDescent="0.35">
      <c r="A515" s="2" t="s">
        <v>531</v>
      </c>
      <c r="B515" s="335">
        <f>'[1]Prior Year'!V71</f>
        <v>0</v>
      </c>
      <c r="C515" s="335">
        <f>V71</f>
        <v>0</v>
      </c>
      <c r="D515" s="335">
        <f>'[1]Prior Year'!V59</f>
        <v>0</v>
      </c>
      <c r="E515" s="2">
        <f>V59</f>
        <v>0</v>
      </c>
      <c r="F515" s="336" t="str">
        <f t="shared" si="17"/>
        <v/>
      </c>
      <c r="G515" s="336" t="str">
        <f t="shared" si="17"/>
        <v/>
      </c>
      <c r="H515" s="337" t="str">
        <f t="shared" si="16"/>
        <v/>
      </c>
      <c r="I515" s="268"/>
      <c r="J515" s="2"/>
      <c r="K515" s="333"/>
      <c r="L515" s="333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  <c r="BR515" s="2"/>
      <c r="BS515" s="2"/>
      <c r="BT515" s="2"/>
      <c r="BU515" s="2"/>
      <c r="BV515" s="2"/>
      <c r="BW515" s="2"/>
      <c r="BX515" s="2"/>
      <c r="BY515" s="2"/>
      <c r="BZ515" s="2"/>
      <c r="CA515" s="2"/>
      <c r="CB515" s="2"/>
      <c r="CC515" s="2"/>
      <c r="CD515" s="2"/>
      <c r="CE515" s="2"/>
      <c r="CF515" s="2"/>
    </row>
    <row r="516" spans="1:84" ht="12.65" customHeight="1" x14ac:dyDescent="0.35">
      <c r="A516" s="2" t="s">
        <v>532</v>
      </c>
      <c r="B516" s="335">
        <f>'[1]Prior Year'!W71</f>
        <v>296925.83</v>
      </c>
      <c r="C516" s="335">
        <f>W71</f>
        <v>302186.56</v>
      </c>
      <c r="D516" s="335">
        <f>'[1]Prior Year'!W59</f>
        <v>464</v>
      </c>
      <c r="E516" s="2">
        <f>W59</f>
        <v>0</v>
      </c>
      <c r="F516" s="336">
        <f t="shared" si="17"/>
        <v>639.92635775862072</v>
      </c>
      <c r="G516" s="336" t="str">
        <f t="shared" si="17"/>
        <v/>
      </c>
      <c r="H516" s="337" t="str">
        <f t="shared" si="16"/>
        <v/>
      </c>
      <c r="I516" s="268"/>
      <c r="J516" s="2"/>
      <c r="K516" s="333"/>
      <c r="L516" s="333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  <c r="BS516" s="2"/>
      <c r="BT516" s="2"/>
      <c r="BU516" s="2"/>
      <c r="BV516" s="2"/>
      <c r="BW516" s="2"/>
      <c r="BX516" s="2"/>
      <c r="BY516" s="2"/>
      <c r="BZ516" s="2"/>
      <c r="CA516" s="2"/>
      <c r="CB516" s="2"/>
      <c r="CC516" s="2"/>
      <c r="CD516" s="2"/>
      <c r="CE516" s="2"/>
      <c r="CF516" s="2"/>
    </row>
    <row r="517" spans="1:84" ht="12.65" customHeight="1" x14ac:dyDescent="0.35">
      <c r="A517" s="2" t="s">
        <v>533</v>
      </c>
      <c r="B517" s="335">
        <f>'[1]Prior Year'!X71</f>
        <v>272720.7</v>
      </c>
      <c r="C517" s="335">
        <f>X71</f>
        <v>370106.49</v>
      </c>
      <c r="D517" s="335">
        <f>'[1]Prior Year'!X59</f>
        <v>1524</v>
      </c>
      <c r="E517" s="2">
        <f>X59</f>
        <v>0</v>
      </c>
      <c r="F517" s="336">
        <f t="shared" si="17"/>
        <v>178.95059055118111</v>
      </c>
      <c r="G517" s="336" t="str">
        <f t="shared" si="17"/>
        <v/>
      </c>
      <c r="H517" s="337" t="str">
        <f t="shared" si="16"/>
        <v/>
      </c>
      <c r="I517" s="268"/>
      <c r="J517" s="2"/>
      <c r="K517" s="333"/>
      <c r="L517" s="333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  <c r="BU517" s="2"/>
      <c r="BV517" s="2"/>
      <c r="BW517" s="2"/>
      <c r="BX517" s="2"/>
      <c r="BY517" s="2"/>
      <c r="BZ517" s="2"/>
      <c r="CA517" s="2"/>
      <c r="CB517" s="2"/>
      <c r="CC517" s="2"/>
      <c r="CD517" s="2"/>
      <c r="CE517" s="2"/>
      <c r="CF517" s="2"/>
    </row>
    <row r="518" spans="1:84" ht="12.65" customHeight="1" x14ac:dyDescent="0.35">
      <c r="A518" s="2" t="s">
        <v>534</v>
      </c>
      <c r="B518" s="335">
        <f>'[1]Prior Year'!Y71</f>
        <v>1164612.3700000001</v>
      </c>
      <c r="C518" s="335">
        <f>Y71</f>
        <v>1216779.8999999999</v>
      </c>
      <c r="D518" s="335">
        <f>'[1]Prior Year'!Y59</f>
        <v>6564</v>
      </c>
      <c r="E518" s="2">
        <f>Y59</f>
        <v>0</v>
      </c>
      <c r="F518" s="336">
        <f t="shared" si="17"/>
        <v>177.42418799512495</v>
      </c>
      <c r="G518" s="336" t="str">
        <f t="shared" si="17"/>
        <v/>
      </c>
      <c r="H518" s="337" t="str">
        <f t="shared" si="16"/>
        <v/>
      </c>
      <c r="I518" s="268"/>
      <c r="J518" s="2"/>
      <c r="K518" s="333"/>
      <c r="L518" s="333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  <c r="BU518" s="2"/>
      <c r="BV518" s="2"/>
      <c r="BW518" s="2"/>
      <c r="BX518" s="2"/>
      <c r="BY518" s="2"/>
      <c r="BZ518" s="2"/>
      <c r="CA518" s="2"/>
      <c r="CB518" s="2"/>
      <c r="CC518" s="2"/>
      <c r="CD518" s="2"/>
      <c r="CE518" s="2"/>
      <c r="CF518" s="2"/>
    </row>
    <row r="519" spans="1:84" ht="12.65" customHeight="1" x14ac:dyDescent="0.35">
      <c r="A519" s="2" t="s">
        <v>535</v>
      </c>
      <c r="B519" s="335">
        <f>'[1]Prior Year'!Z71</f>
        <v>0</v>
      </c>
      <c r="C519" s="335">
        <f>Z71</f>
        <v>0</v>
      </c>
      <c r="D519" s="335">
        <f>'[1]Prior Year'!Z59</f>
        <v>0</v>
      </c>
      <c r="E519" s="2">
        <f>Z59</f>
        <v>0</v>
      </c>
      <c r="F519" s="336" t="str">
        <f t="shared" si="17"/>
        <v/>
      </c>
      <c r="G519" s="336" t="str">
        <f t="shared" si="17"/>
        <v/>
      </c>
      <c r="H519" s="337" t="str">
        <f t="shared" si="16"/>
        <v/>
      </c>
      <c r="I519" s="268"/>
      <c r="J519" s="2"/>
      <c r="K519" s="333"/>
      <c r="L519" s="333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  <c r="BP519" s="2"/>
      <c r="BQ519" s="2"/>
      <c r="BR519" s="2"/>
      <c r="BS519" s="2"/>
      <c r="BT519" s="2"/>
      <c r="BU519" s="2"/>
      <c r="BV519" s="2"/>
      <c r="BW519" s="2"/>
      <c r="BX519" s="2"/>
      <c r="BY519" s="2"/>
      <c r="BZ519" s="2"/>
      <c r="CA519" s="2"/>
      <c r="CB519" s="2"/>
      <c r="CC519" s="2"/>
      <c r="CD519" s="2"/>
      <c r="CE519" s="2"/>
      <c r="CF519" s="2"/>
    </row>
    <row r="520" spans="1:84" ht="12.65" customHeight="1" x14ac:dyDescent="0.35">
      <c r="A520" s="2" t="s">
        <v>536</v>
      </c>
      <c r="B520" s="335">
        <f>'[1]Prior Year'!AA71</f>
        <v>0</v>
      </c>
      <c r="C520" s="335">
        <f>AA71</f>
        <v>0</v>
      </c>
      <c r="D520" s="335">
        <f>'[1]Prior Year'!AA59</f>
        <v>0</v>
      </c>
      <c r="E520" s="2">
        <f>AA59</f>
        <v>0</v>
      </c>
      <c r="F520" s="336" t="str">
        <f t="shared" si="17"/>
        <v/>
      </c>
      <c r="G520" s="336" t="str">
        <f t="shared" si="17"/>
        <v/>
      </c>
      <c r="H520" s="337" t="str">
        <f t="shared" si="16"/>
        <v/>
      </c>
      <c r="I520" s="268"/>
      <c r="J520" s="2"/>
      <c r="K520" s="333"/>
      <c r="L520" s="333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  <c r="BP520" s="2"/>
      <c r="BQ520" s="2"/>
      <c r="BR520" s="2"/>
      <c r="BS520" s="2"/>
      <c r="BT520" s="2"/>
      <c r="BU520" s="2"/>
      <c r="BV520" s="2"/>
      <c r="BW520" s="2"/>
      <c r="BX520" s="2"/>
      <c r="BY520" s="2"/>
      <c r="BZ520" s="2"/>
      <c r="CA520" s="2"/>
      <c r="CB520" s="2"/>
      <c r="CC520" s="2"/>
      <c r="CD520" s="2"/>
      <c r="CE520" s="2"/>
      <c r="CF520" s="2"/>
    </row>
    <row r="521" spans="1:84" ht="12.65" customHeight="1" x14ac:dyDescent="0.35">
      <c r="A521" s="2" t="s">
        <v>537</v>
      </c>
      <c r="B521" s="335">
        <f>'[1]Prior Year'!AB71</f>
        <v>340013.29999999993</v>
      </c>
      <c r="C521" s="335">
        <f>AB71</f>
        <v>561211.72</v>
      </c>
      <c r="D521" s="329" t="s">
        <v>529</v>
      </c>
      <c r="E521" s="329" t="s">
        <v>529</v>
      </c>
      <c r="F521" s="336" t="str">
        <f t="shared" si="17"/>
        <v/>
      </c>
      <c r="G521" s="336" t="str">
        <f t="shared" si="17"/>
        <v/>
      </c>
      <c r="H521" s="337" t="str">
        <f t="shared" si="16"/>
        <v/>
      </c>
      <c r="I521" s="268"/>
      <c r="J521" s="2"/>
      <c r="K521" s="333"/>
      <c r="L521" s="333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  <c r="BP521" s="2"/>
      <c r="BQ521" s="2"/>
      <c r="BR521" s="2"/>
      <c r="BS521" s="2"/>
      <c r="BT521" s="2"/>
      <c r="BU521" s="2"/>
      <c r="BV521" s="2"/>
      <c r="BW521" s="2"/>
      <c r="BX521" s="2"/>
      <c r="BY521" s="2"/>
      <c r="BZ521" s="2"/>
      <c r="CA521" s="2"/>
      <c r="CB521" s="2"/>
      <c r="CC521" s="2"/>
      <c r="CD521" s="2"/>
      <c r="CE521" s="2"/>
      <c r="CF521" s="2"/>
    </row>
    <row r="522" spans="1:84" ht="12.65" customHeight="1" x14ac:dyDescent="0.35">
      <c r="A522" s="2" t="s">
        <v>538</v>
      </c>
      <c r="B522" s="335">
        <f>'[1]Prior Year'!AC71</f>
        <v>82223.47</v>
      </c>
      <c r="C522" s="335">
        <f>AC71</f>
        <v>63584.81</v>
      </c>
      <c r="D522" s="335">
        <f>'[1]Prior Year'!AC59</f>
        <v>581</v>
      </c>
      <c r="E522" s="2">
        <f>AC59</f>
        <v>0</v>
      </c>
      <c r="F522" s="336">
        <f t="shared" si="17"/>
        <v>141.52060240963857</v>
      </c>
      <c r="G522" s="336" t="str">
        <f t="shared" si="17"/>
        <v/>
      </c>
      <c r="H522" s="337" t="str">
        <f t="shared" si="16"/>
        <v/>
      </c>
      <c r="I522" s="268"/>
      <c r="J522" s="2"/>
      <c r="K522" s="333"/>
      <c r="L522" s="333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  <c r="BP522" s="2"/>
      <c r="BQ522" s="2"/>
      <c r="BR522" s="2"/>
      <c r="BS522" s="2"/>
      <c r="BT522" s="2"/>
      <c r="BU522" s="2"/>
      <c r="BV522" s="2"/>
      <c r="BW522" s="2"/>
      <c r="BX522" s="2"/>
      <c r="BY522" s="2"/>
      <c r="BZ522" s="2"/>
      <c r="CA522" s="2"/>
      <c r="CB522" s="2"/>
      <c r="CC522" s="2"/>
      <c r="CD522" s="2"/>
      <c r="CE522" s="2"/>
      <c r="CF522" s="2"/>
    </row>
    <row r="523" spans="1:84" ht="12.65" customHeight="1" x14ac:dyDescent="0.35">
      <c r="A523" s="2" t="s">
        <v>539</v>
      </c>
      <c r="B523" s="335">
        <f>'[1]Prior Year'!AD71</f>
        <v>0</v>
      </c>
      <c r="C523" s="335">
        <f>AD71</f>
        <v>0</v>
      </c>
      <c r="D523" s="335">
        <f>'[1]Prior Year'!AD59</f>
        <v>0</v>
      </c>
      <c r="E523" s="2">
        <f>AD59</f>
        <v>0</v>
      </c>
      <c r="F523" s="336" t="str">
        <f t="shared" si="17"/>
        <v/>
      </c>
      <c r="G523" s="336" t="str">
        <f t="shared" si="17"/>
        <v/>
      </c>
      <c r="H523" s="337" t="str">
        <f t="shared" si="16"/>
        <v/>
      </c>
      <c r="I523" s="268"/>
      <c r="J523" s="2"/>
      <c r="K523" s="333"/>
      <c r="L523" s="333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  <c r="BP523" s="2"/>
      <c r="BQ523" s="2"/>
      <c r="BR523" s="2"/>
      <c r="BS523" s="2"/>
      <c r="BT523" s="2"/>
      <c r="BU523" s="2"/>
      <c r="BV523" s="2"/>
      <c r="BW523" s="2"/>
      <c r="BX523" s="2"/>
      <c r="BY523" s="2"/>
      <c r="BZ523" s="2"/>
      <c r="CA523" s="2"/>
      <c r="CB523" s="2"/>
      <c r="CC523" s="2"/>
      <c r="CD523" s="2"/>
      <c r="CE523" s="2"/>
      <c r="CF523" s="2"/>
    </row>
    <row r="524" spans="1:84" ht="12.65" customHeight="1" x14ac:dyDescent="0.35">
      <c r="A524" s="2" t="s">
        <v>540</v>
      </c>
      <c r="B524" s="335">
        <f>'[1]Prior Year'!AE71</f>
        <v>615792.84000000008</v>
      </c>
      <c r="C524" s="335">
        <f>AE71</f>
        <v>923406.32</v>
      </c>
      <c r="D524" s="335">
        <f>'[1]Prior Year'!AE59</f>
        <v>11209</v>
      </c>
      <c r="E524" s="2">
        <f>AE59</f>
        <v>0</v>
      </c>
      <c r="F524" s="336">
        <f t="shared" si="17"/>
        <v>54.937357480595956</v>
      </c>
      <c r="G524" s="336" t="str">
        <f t="shared" si="17"/>
        <v/>
      </c>
      <c r="H524" s="337" t="str">
        <f t="shared" si="16"/>
        <v/>
      </c>
      <c r="I524" s="268"/>
      <c r="J524" s="2"/>
      <c r="K524" s="333"/>
      <c r="L524" s="333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  <c r="BO524" s="2"/>
      <c r="BP524" s="2"/>
      <c r="BQ524" s="2"/>
      <c r="BR524" s="2"/>
      <c r="BS524" s="2"/>
      <c r="BT524" s="2"/>
      <c r="BU524" s="2"/>
      <c r="BV524" s="2"/>
      <c r="BW524" s="2"/>
      <c r="BX524" s="2"/>
      <c r="BY524" s="2"/>
      <c r="BZ524" s="2"/>
      <c r="CA524" s="2"/>
      <c r="CB524" s="2"/>
      <c r="CC524" s="2"/>
      <c r="CD524" s="2"/>
      <c r="CE524" s="2"/>
      <c r="CF524" s="2"/>
    </row>
    <row r="525" spans="1:84" ht="12.65" customHeight="1" x14ac:dyDescent="0.35">
      <c r="A525" s="2" t="s">
        <v>541</v>
      </c>
      <c r="B525" s="335">
        <f>'[1]Prior Year'!AF71</f>
        <v>0</v>
      </c>
      <c r="C525" s="335">
        <f>AF71</f>
        <v>0</v>
      </c>
      <c r="D525" s="335">
        <f>'[1]Prior Year'!AF59</f>
        <v>0</v>
      </c>
      <c r="E525" s="2">
        <f>AF59</f>
        <v>0</v>
      </c>
      <c r="F525" s="336" t="str">
        <f t="shared" si="17"/>
        <v/>
      </c>
      <c r="G525" s="336" t="str">
        <f t="shared" si="17"/>
        <v/>
      </c>
      <c r="H525" s="337" t="str">
        <f t="shared" si="16"/>
        <v/>
      </c>
      <c r="I525" s="268"/>
      <c r="J525" s="2"/>
      <c r="K525" s="333"/>
      <c r="L525" s="333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  <c r="BP525" s="2"/>
      <c r="BQ525" s="2"/>
      <c r="BR525" s="2"/>
      <c r="BS525" s="2"/>
      <c r="BT525" s="2"/>
      <c r="BU525" s="2"/>
      <c r="BV525" s="2"/>
      <c r="BW525" s="2"/>
      <c r="BX525" s="2"/>
      <c r="BY525" s="2"/>
      <c r="BZ525" s="2"/>
      <c r="CA525" s="2"/>
      <c r="CB525" s="2"/>
      <c r="CC525" s="2"/>
      <c r="CD525" s="2"/>
      <c r="CE525" s="2"/>
      <c r="CF525" s="2"/>
    </row>
    <row r="526" spans="1:84" ht="12.65" customHeight="1" x14ac:dyDescent="0.35">
      <c r="A526" s="2" t="s">
        <v>542</v>
      </c>
      <c r="B526" s="335">
        <f>'[1]Prior Year'!AG71</f>
        <v>2216759.4700000002</v>
      </c>
      <c r="C526" s="335">
        <f>AG71</f>
        <v>2585212.2200000002</v>
      </c>
      <c r="D526" s="335">
        <f>'[1]Prior Year'!AG59</f>
        <v>5441</v>
      </c>
      <c r="E526" s="2">
        <f>AG59</f>
        <v>0</v>
      </c>
      <c r="F526" s="336">
        <f t="shared" si="17"/>
        <v>407.41765668075726</v>
      </c>
      <c r="G526" s="336" t="str">
        <f t="shared" si="17"/>
        <v/>
      </c>
      <c r="H526" s="337" t="str">
        <f t="shared" si="16"/>
        <v/>
      </c>
      <c r="I526" s="268"/>
      <c r="J526" s="2"/>
      <c r="K526" s="333"/>
      <c r="L526" s="333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  <c r="BO526" s="2"/>
      <c r="BP526" s="2"/>
      <c r="BQ526" s="2"/>
      <c r="BR526" s="2"/>
      <c r="BS526" s="2"/>
      <c r="BT526" s="2"/>
      <c r="BU526" s="2"/>
      <c r="BV526" s="2"/>
      <c r="BW526" s="2"/>
      <c r="BX526" s="2"/>
      <c r="BY526" s="2"/>
      <c r="BZ526" s="2"/>
      <c r="CA526" s="2"/>
      <c r="CB526" s="2"/>
      <c r="CC526" s="2"/>
      <c r="CD526" s="2"/>
      <c r="CE526" s="2"/>
      <c r="CF526" s="2"/>
    </row>
    <row r="527" spans="1:84" ht="12.65" customHeight="1" x14ac:dyDescent="0.35">
      <c r="A527" s="2" t="s">
        <v>543</v>
      </c>
      <c r="B527" s="335">
        <f>'[1]Prior Year'!AH71</f>
        <v>0</v>
      </c>
      <c r="C527" s="335">
        <f>AH71</f>
        <v>0</v>
      </c>
      <c r="D527" s="335">
        <f>'[1]Prior Year'!AH59</f>
        <v>0</v>
      </c>
      <c r="E527" s="2">
        <f>AH59</f>
        <v>0</v>
      </c>
      <c r="F527" s="336" t="str">
        <f t="shared" si="17"/>
        <v/>
      </c>
      <c r="G527" s="336" t="str">
        <f t="shared" si="17"/>
        <v/>
      </c>
      <c r="H527" s="337" t="str">
        <f t="shared" si="16"/>
        <v/>
      </c>
      <c r="I527" s="268"/>
      <c r="J527" s="2"/>
      <c r="K527" s="333"/>
      <c r="L527" s="333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  <c r="BO527" s="2"/>
      <c r="BP527" s="2"/>
      <c r="BQ527" s="2"/>
      <c r="BR527" s="2"/>
      <c r="BS527" s="2"/>
      <c r="BT527" s="2"/>
      <c r="BU527" s="2"/>
      <c r="BV527" s="2"/>
      <c r="BW527" s="2"/>
      <c r="BX527" s="2"/>
      <c r="BY527" s="2"/>
      <c r="BZ527" s="2"/>
      <c r="CA527" s="2"/>
      <c r="CB527" s="2"/>
      <c r="CC527" s="2"/>
      <c r="CD527" s="2"/>
      <c r="CE527" s="2"/>
      <c r="CF527" s="2"/>
    </row>
    <row r="528" spans="1:84" ht="12.65" customHeight="1" x14ac:dyDescent="0.35">
      <c r="A528" s="2" t="s">
        <v>544</v>
      </c>
      <c r="B528" s="335">
        <f>'[1]Prior Year'!AI71</f>
        <v>0</v>
      </c>
      <c r="C528" s="335">
        <f>AI71</f>
        <v>0</v>
      </c>
      <c r="D528" s="335">
        <f>'[1]Prior Year'!AI59</f>
        <v>0</v>
      </c>
      <c r="E528" s="2">
        <f>AI59</f>
        <v>0</v>
      </c>
      <c r="F528" s="336" t="str">
        <f t="shared" ref="F528:G540" si="18">IF(B528=0,"",IF(D528=0,"",B528/D528))</f>
        <v/>
      </c>
      <c r="G528" s="336" t="str">
        <f t="shared" si="18"/>
        <v/>
      </c>
      <c r="H528" s="337" t="str">
        <f t="shared" si="16"/>
        <v/>
      </c>
      <c r="I528" s="268"/>
      <c r="J528" s="2"/>
      <c r="K528" s="333"/>
      <c r="L528" s="333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  <c r="BO528" s="2"/>
      <c r="BP528" s="2"/>
      <c r="BQ528" s="2"/>
      <c r="BR528" s="2"/>
      <c r="BS528" s="2"/>
      <c r="BT528" s="2"/>
      <c r="BU528" s="2"/>
      <c r="BV528" s="2"/>
      <c r="BW528" s="2"/>
      <c r="BX528" s="2"/>
      <c r="BY528" s="2"/>
      <c r="BZ528" s="2"/>
      <c r="CA528" s="2"/>
      <c r="CB528" s="2"/>
      <c r="CC528" s="2"/>
      <c r="CD528" s="2"/>
      <c r="CE528" s="2"/>
      <c r="CF528" s="2"/>
    </row>
    <row r="529" spans="1:84" ht="12.65" customHeight="1" x14ac:dyDescent="0.35">
      <c r="A529" s="2" t="s">
        <v>545</v>
      </c>
      <c r="B529" s="335">
        <f>'[1]Prior Year'!AJ71</f>
        <v>3687797.81</v>
      </c>
      <c r="C529" s="335">
        <f>AJ71</f>
        <v>4120269.63</v>
      </c>
      <c r="D529" s="335">
        <f>'[1]Prior Year'!AJ59</f>
        <v>20821</v>
      </c>
      <c r="E529" s="2">
        <f>AJ59</f>
        <v>0</v>
      </c>
      <c r="F529" s="336">
        <f t="shared" si="18"/>
        <v>177.11914941645455</v>
      </c>
      <c r="G529" s="336" t="str">
        <f t="shared" si="18"/>
        <v/>
      </c>
      <c r="H529" s="337" t="str">
        <f t="shared" si="16"/>
        <v/>
      </c>
      <c r="I529" s="268"/>
      <c r="J529" s="2"/>
      <c r="K529" s="333"/>
      <c r="L529" s="333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  <c r="BP529" s="2"/>
      <c r="BQ529" s="2"/>
      <c r="BR529" s="2"/>
      <c r="BS529" s="2"/>
      <c r="BT529" s="2"/>
      <c r="BU529" s="2"/>
      <c r="BV529" s="2"/>
      <c r="BW529" s="2"/>
      <c r="BX529" s="2"/>
      <c r="BY529" s="2"/>
      <c r="BZ529" s="2"/>
      <c r="CA529" s="2"/>
      <c r="CB529" s="2"/>
      <c r="CC529" s="2"/>
      <c r="CD529" s="2"/>
      <c r="CE529" s="2"/>
      <c r="CF529" s="2"/>
    </row>
    <row r="530" spans="1:84" ht="12.65" customHeight="1" x14ac:dyDescent="0.35">
      <c r="A530" s="2" t="s">
        <v>546</v>
      </c>
      <c r="B530" s="335">
        <f>'[1]Prior Year'!AK71</f>
        <v>0</v>
      </c>
      <c r="C530" s="335">
        <f>AK71</f>
        <v>0</v>
      </c>
      <c r="D530" s="335">
        <f>'[1]Prior Year'!AK59</f>
        <v>1044</v>
      </c>
      <c r="E530" s="2">
        <f>AK59</f>
        <v>0</v>
      </c>
      <c r="F530" s="336" t="str">
        <f t="shared" si="18"/>
        <v/>
      </c>
      <c r="G530" s="336" t="str">
        <f t="shared" si="18"/>
        <v/>
      </c>
      <c r="H530" s="337" t="str">
        <f t="shared" si="16"/>
        <v/>
      </c>
      <c r="I530" s="268"/>
      <c r="J530" s="2"/>
      <c r="K530" s="333"/>
      <c r="L530" s="333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/>
      <c r="BP530" s="2"/>
      <c r="BQ530" s="2"/>
      <c r="BR530" s="2"/>
      <c r="BS530" s="2"/>
      <c r="BT530" s="2"/>
      <c r="BU530" s="2"/>
      <c r="BV530" s="2"/>
      <c r="BW530" s="2"/>
      <c r="BX530" s="2"/>
      <c r="BY530" s="2"/>
      <c r="BZ530" s="2"/>
      <c r="CA530" s="2"/>
      <c r="CB530" s="2"/>
      <c r="CC530" s="2"/>
      <c r="CD530" s="2"/>
      <c r="CE530" s="2"/>
      <c r="CF530" s="2"/>
    </row>
    <row r="531" spans="1:84" ht="12.65" customHeight="1" x14ac:dyDescent="0.35">
      <c r="A531" s="2" t="s">
        <v>547</v>
      </c>
      <c r="B531" s="335">
        <f>'[1]Prior Year'!AL71</f>
        <v>0</v>
      </c>
      <c r="C531" s="335">
        <f>AL71</f>
        <v>0</v>
      </c>
      <c r="D531" s="335">
        <f>'[1]Prior Year'!AL59</f>
        <v>0</v>
      </c>
      <c r="E531" s="2">
        <f>AL59</f>
        <v>0</v>
      </c>
      <c r="F531" s="336" t="str">
        <f t="shared" si="18"/>
        <v/>
      </c>
      <c r="G531" s="336" t="str">
        <f t="shared" si="18"/>
        <v/>
      </c>
      <c r="H531" s="337" t="str">
        <f t="shared" si="16"/>
        <v/>
      </c>
      <c r="I531" s="268"/>
      <c r="J531" s="2"/>
      <c r="K531" s="333"/>
      <c r="L531" s="333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  <c r="BP531" s="2"/>
      <c r="BQ531" s="2"/>
      <c r="BR531" s="2"/>
      <c r="BS531" s="2"/>
      <c r="BT531" s="2"/>
      <c r="BU531" s="2"/>
      <c r="BV531" s="2"/>
      <c r="BW531" s="2"/>
      <c r="BX531" s="2"/>
      <c r="BY531" s="2"/>
      <c r="BZ531" s="2"/>
      <c r="CA531" s="2"/>
      <c r="CB531" s="2"/>
      <c r="CC531" s="2"/>
      <c r="CD531" s="2"/>
      <c r="CE531" s="2"/>
      <c r="CF531" s="2"/>
    </row>
    <row r="532" spans="1:84" ht="12.65" customHeight="1" x14ac:dyDescent="0.35">
      <c r="A532" s="2" t="s">
        <v>548</v>
      </c>
      <c r="B532" s="335">
        <f>'[1]Prior Year'!AM71</f>
        <v>0</v>
      </c>
      <c r="C532" s="335">
        <f>AM71</f>
        <v>0</v>
      </c>
      <c r="D532" s="335">
        <f>'[1]Prior Year'!AM59</f>
        <v>0</v>
      </c>
      <c r="E532" s="2">
        <f>AM59</f>
        <v>0</v>
      </c>
      <c r="F532" s="336" t="str">
        <f t="shared" si="18"/>
        <v/>
      </c>
      <c r="G532" s="336" t="str">
        <f t="shared" si="18"/>
        <v/>
      </c>
      <c r="H532" s="337" t="str">
        <f t="shared" si="16"/>
        <v/>
      </c>
      <c r="I532" s="268"/>
      <c r="J532" s="2"/>
      <c r="K532" s="333"/>
      <c r="L532" s="333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  <c r="BO532" s="2"/>
      <c r="BP532" s="2"/>
      <c r="BQ532" s="2"/>
      <c r="BR532" s="2"/>
      <c r="BS532" s="2"/>
      <c r="BT532" s="2"/>
      <c r="BU532" s="2"/>
      <c r="BV532" s="2"/>
      <c r="BW532" s="2"/>
      <c r="BX532" s="2"/>
      <c r="BY532" s="2"/>
      <c r="BZ532" s="2"/>
      <c r="CA532" s="2"/>
      <c r="CB532" s="2"/>
      <c r="CC532" s="2"/>
      <c r="CD532" s="2"/>
      <c r="CE532" s="2"/>
      <c r="CF532" s="2"/>
    </row>
    <row r="533" spans="1:84" ht="12.65" customHeight="1" x14ac:dyDescent="0.35">
      <c r="A533" s="2" t="s">
        <v>1246</v>
      </c>
      <c r="B533" s="335">
        <f>'[1]Prior Year'!AN71</f>
        <v>0</v>
      </c>
      <c r="C533" s="335">
        <f>AN71</f>
        <v>0</v>
      </c>
      <c r="D533" s="335">
        <f>'[1]Prior Year'!AN59</f>
        <v>0</v>
      </c>
      <c r="E533" s="2">
        <f>AN59</f>
        <v>0</v>
      </c>
      <c r="F533" s="336" t="str">
        <f t="shared" si="18"/>
        <v/>
      </c>
      <c r="G533" s="336" t="str">
        <f t="shared" si="18"/>
        <v/>
      </c>
      <c r="H533" s="337" t="str">
        <f t="shared" si="16"/>
        <v/>
      </c>
      <c r="I533" s="268"/>
      <c r="J533" s="2"/>
      <c r="K533" s="333"/>
      <c r="L533" s="333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  <c r="BP533" s="2"/>
      <c r="BQ533" s="2"/>
      <c r="BR533" s="2"/>
      <c r="BS533" s="2"/>
      <c r="BT533" s="2"/>
      <c r="BU533" s="2"/>
      <c r="BV533" s="2"/>
      <c r="BW533" s="2"/>
      <c r="BX533" s="2"/>
      <c r="BY533" s="2"/>
      <c r="BZ533" s="2"/>
      <c r="CA533" s="2"/>
      <c r="CB533" s="2"/>
      <c r="CC533" s="2"/>
      <c r="CD533" s="2"/>
      <c r="CE533" s="2"/>
      <c r="CF533" s="2"/>
    </row>
    <row r="534" spans="1:84" ht="12.65" customHeight="1" x14ac:dyDescent="0.35">
      <c r="A534" s="2" t="s">
        <v>549</v>
      </c>
      <c r="B534" s="335">
        <f>'[1]Prior Year'!AO71</f>
        <v>0</v>
      </c>
      <c r="C534" s="335">
        <f>AO71</f>
        <v>0</v>
      </c>
      <c r="D534" s="335">
        <f>'[1]Prior Year'!AO59</f>
        <v>0</v>
      </c>
      <c r="E534" s="2">
        <f>AO59</f>
        <v>0</v>
      </c>
      <c r="F534" s="336" t="str">
        <f t="shared" si="18"/>
        <v/>
      </c>
      <c r="G534" s="336" t="str">
        <f t="shared" si="18"/>
        <v/>
      </c>
      <c r="H534" s="337" t="str">
        <f t="shared" si="16"/>
        <v/>
      </c>
      <c r="I534" s="268"/>
      <c r="J534" s="2"/>
      <c r="K534" s="333"/>
      <c r="L534" s="333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  <c r="BO534" s="2"/>
      <c r="BP534" s="2"/>
      <c r="BQ534" s="2"/>
      <c r="BR534" s="2"/>
      <c r="BS534" s="2"/>
      <c r="BT534" s="2"/>
      <c r="BU534" s="2"/>
      <c r="BV534" s="2"/>
      <c r="BW534" s="2"/>
      <c r="BX534" s="2"/>
      <c r="BY534" s="2"/>
      <c r="BZ534" s="2"/>
      <c r="CA534" s="2"/>
      <c r="CB534" s="2"/>
      <c r="CC534" s="2"/>
      <c r="CD534" s="2"/>
      <c r="CE534" s="2"/>
      <c r="CF534" s="2"/>
    </row>
    <row r="535" spans="1:84" ht="12.65" customHeight="1" x14ac:dyDescent="0.35">
      <c r="A535" s="2" t="s">
        <v>550</v>
      </c>
      <c r="B535" s="335">
        <f>'[1]Prior Year'!AP71</f>
        <v>0</v>
      </c>
      <c r="C535" s="335">
        <f>AP71</f>
        <v>0</v>
      </c>
      <c r="D535" s="335">
        <f>'[1]Prior Year'!AP59</f>
        <v>0</v>
      </c>
      <c r="E535" s="2">
        <f>AP59</f>
        <v>0</v>
      </c>
      <c r="F535" s="336" t="str">
        <f t="shared" si="18"/>
        <v/>
      </c>
      <c r="G535" s="336" t="str">
        <f t="shared" si="18"/>
        <v/>
      </c>
      <c r="H535" s="337" t="str">
        <f t="shared" si="16"/>
        <v/>
      </c>
      <c r="I535" s="268"/>
      <c r="J535" s="2"/>
      <c r="K535" s="333"/>
      <c r="L535" s="333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  <c r="BP535" s="2"/>
      <c r="BQ535" s="2"/>
      <c r="BR535" s="2"/>
      <c r="BS535" s="2"/>
      <c r="BT535" s="2"/>
      <c r="BU535" s="2"/>
      <c r="BV535" s="2"/>
      <c r="BW535" s="2"/>
      <c r="BX535" s="2"/>
      <c r="BY535" s="2"/>
      <c r="BZ535" s="2"/>
      <c r="CA535" s="2"/>
      <c r="CB535" s="2"/>
      <c r="CC535" s="2"/>
      <c r="CD535" s="2"/>
      <c r="CE535" s="2"/>
      <c r="CF535" s="2"/>
    </row>
    <row r="536" spans="1:84" ht="12.65" customHeight="1" x14ac:dyDescent="0.35">
      <c r="A536" s="2" t="s">
        <v>551</v>
      </c>
      <c r="B536" s="335">
        <f>'[1]Prior Year'!AQ71</f>
        <v>0</v>
      </c>
      <c r="C536" s="335">
        <f>AQ71</f>
        <v>0</v>
      </c>
      <c r="D536" s="335">
        <f>'[1]Prior Year'!AQ59</f>
        <v>0</v>
      </c>
      <c r="E536" s="2">
        <f>AQ59</f>
        <v>0</v>
      </c>
      <c r="F536" s="336" t="str">
        <f t="shared" si="18"/>
        <v/>
      </c>
      <c r="G536" s="336" t="str">
        <f t="shared" si="18"/>
        <v/>
      </c>
      <c r="H536" s="337" t="str">
        <f t="shared" si="16"/>
        <v/>
      </c>
      <c r="I536" s="268"/>
      <c r="J536" s="2"/>
      <c r="K536" s="333"/>
      <c r="L536" s="333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  <c r="BP536" s="2"/>
      <c r="BQ536" s="2"/>
      <c r="BR536" s="2"/>
      <c r="BS536" s="2"/>
      <c r="BT536" s="2"/>
      <c r="BU536" s="2"/>
      <c r="BV536" s="2"/>
      <c r="BW536" s="2"/>
      <c r="BX536" s="2"/>
      <c r="BY536" s="2"/>
      <c r="BZ536" s="2"/>
      <c r="CA536" s="2"/>
      <c r="CB536" s="2"/>
      <c r="CC536" s="2"/>
      <c r="CD536" s="2"/>
      <c r="CE536" s="2"/>
      <c r="CF536" s="2"/>
    </row>
    <row r="537" spans="1:84" ht="12.65" customHeight="1" x14ac:dyDescent="0.35">
      <c r="A537" s="2" t="s">
        <v>552</v>
      </c>
      <c r="B537" s="335">
        <f>'[1]Prior Year'!AR71</f>
        <v>396494.71999999991</v>
      </c>
      <c r="C537" s="335">
        <f>AR71</f>
        <v>396737.60000000003</v>
      </c>
      <c r="D537" s="335">
        <f>'[1]Prior Year'!AR59</f>
        <v>1708</v>
      </c>
      <c r="E537" s="2">
        <f>AR59</f>
        <v>0</v>
      </c>
      <c r="F537" s="336">
        <f t="shared" si="18"/>
        <v>232.13976580796248</v>
      </c>
      <c r="G537" s="336" t="str">
        <f t="shared" si="18"/>
        <v/>
      </c>
      <c r="H537" s="337" t="str">
        <f t="shared" si="16"/>
        <v/>
      </c>
      <c r="I537" s="268"/>
      <c r="J537" s="2"/>
      <c r="K537" s="333"/>
      <c r="L537" s="333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  <c r="BO537" s="2"/>
      <c r="BP537" s="2"/>
      <c r="BQ537" s="2"/>
      <c r="BR537" s="2"/>
      <c r="BS537" s="2"/>
      <c r="BT537" s="2"/>
      <c r="BU537" s="2"/>
      <c r="BV537" s="2"/>
      <c r="BW537" s="2"/>
      <c r="BX537" s="2"/>
      <c r="BY537" s="2"/>
      <c r="BZ537" s="2"/>
      <c r="CA537" s="2"/>
      <c r="CB537" s="2"/>
      <c r="CC537" s="2"/>
      <c r="CD537" s="2"/>
      <c r="CE537" s="2"/>
      <c r="CF537" s="2"/>
    </row>
    <row r="538" spans="1:84" ht="12.65" customHeight="1" x14ac:dyDescent="0.35">
      <c r="A538" s="2" t="s">
        <v>553</v>
      </c>
      <c r="B538" s="335">
        <f>'[1]Prior Year'!AS71</f>
        <v>0</v>
      </c>
      <c r="C538" s="335">
        <f>AS71</f>
        <v>0</v>
      </c>
      <c r="D538" s="335">
        <f>'[1]Prior Year'!AS59</f>
        <v>0</v>
      </c>
      <c r="E538" s="2">
        <f>AS59</f>
        <v>0</v>
      </c>
      <c r="F538" s="336" t="str">
        <f t="shared" si="18"/>
        <v/>
      </c>
      <c r="G538" s="336" t="str">
        <f t="shared" si="18"/>
        <v/>
      </c>
      <c r="H538" s="337" t="str">
        <f t="shared" si="16"/>
        <v/>
      </c>
      <c r="I538" s="268"/>
      <c r="J538" s="2"/>
      <c r="K538" s="333"/>
      <c r="L538" s="333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  <c r="BP538" s="2"/>
      <c r="BQ538" s="2"/>
      <c r="BR538" s="2"/>
      <c r="BS538" s="2"/>
      <c r="BT538" s="2"/>
      <c r="BU538" s="2"/>
      <c r="BV538" s="2"/>
      <c r="BW538" s="2"/>
      <c r="BX538" s="2"/>
      <c r="BY538" s="2"/>
      <c r="BZ538" s="2"/>
      <c r="CA538" s="2"/>
      <c r="CB538" s="2"/>
      <c r="CC538" s="2"/>
      <c r="CD538" s="2"/>
      <c r="CE538" s="2"/>
      <c r="CF538" s="2"/>
    </row>
    <row r="539" spans="1:84" ht="12.65" customHeight="1" x14ac:dyDescent="0.35">
      <c r="A539" s="2" t="s">
        <v>554</v>
      </c>
      <c r="B539" s="335">
        <f>'[1]Prior Year'!AT71</f>
        <v>0</v>
      </c>
      <c r="C539" s="335">
        <f>AT71</f>
        <v>0</v>
      </c>
      <c r="D539" s="335">
        <f>'[1]Prior Year'!AT59</f>
        <v>0</v>
      </c>
      <c r="E539" s="2">
        <f>AT59</f>
        <v>0</v>
      </c>
      <c r="F539" s="336" t="str">
        <f t="shared" si="18"/>
        <v/>
      </c>
      <c r="G539" s="336" t="str">
        <f t="shared" si="18"/>
        <v/>
      </c>
      <c r="H539" s="337" t="str">
        <f t="shared" si="16"/>
        <v/>
      </c>
      <c r="I539" s="268"/>
      <c r="J539" s="2"/>
      <c r="K539" s="333"/>
      <c r="L539" s="333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  <c r="BO539" s="2"/>
      <c r="BP539" s="2"/>
      <c r="BQ539" s="2"/>
      <c r="BR539" s="2"/>
      <c r="BS539" s="2"/>
      <c r="BT539" s="2"/>
      <c r="BU539" s="2"/>
      <c r="BV539" s="2"/>
      <c r="BW539" s="2"/>
      <c r="BX539" s="2"/>
      <c r="BY539" s="2"/>
      <c r="BZ539" s="2"/>
      <c r="CA539" s="2"/>
      <c r="CB539" s="2"/>
      <c r="CC539" s="2"/>
      <c r="CD539" s="2"/>
      <c r="CE539" s="2"/>
      <c r="CF539" s="2"/>
    </row>
    <row r="540" spans="1:84" ht="12.65" customHeight="1" x14ac:dyDescent="0.35">
      <c r="A540" s="2" t="s">
        <v>555</v>
      </c>
      <c r="B540" s="335">
        <f>'[1]Prior Year'!AU71</f>
        <v>0</v>
      </c>
      <c r="C540" s="335">
        <f>AU71</f>
        <v>0</v>
      </c>
      <c r="D540" s="335">
        <f>'[1]Prior Year'!AU59</f>
        <v>0</v>
      </c>
      <c r="E540" s="2">
        <f>AU59</f>
        <v>0</v>
      </c>
      <c r="F540" s="336" t="str">
        <f t="shared" si="18"/>
        <v/>
      </c>
      <c r="G540" s="336" t="str">
        <f t="shared" si="18"/>
        <v/>
      </c>
      <c r="H540" s="337" t="str">
        <f t="shared" si="16"/>
        <v/>
      </c>
      <c r="I540" s="268"/>
      <c r="J540" s="2"/>
      <c r="K540" s="333"/>
      <c r="L540" s="333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  <c r="BO540" s="2"/>
      <c r="BP540" s="2"/>
      <c r="BQ540" s="2"/>
      <c r="BR540" s="2"/>
      <c r="BS540" s="2"/>
      <c r="BT540" s="2"/>
      <c r="BU540" s="2"/>
      <c r="BV540" s="2"/>
      <c r="BW540" s="2"/>
      <c r="BX540" s="2"/>
      <c r="BY540" s="2"/>
      <c r="BZ540" s="2"/>
      <c r="CA540" s="2"/>
      <c r="CB540" s="2"/>
      <c r="CC540" s="2"/>
      <c r="CD540" s="2"/>
      <c r="CE540" s="2"/>
      <c r="CF540" s="2"/>
    </row>
    <row r="541" spans="1:84" ht="12.65" customHeight="1" x14ac:dyDescent="0.35">
      <c r="A541" s="2" t="s">
        <v>556</v>
      </c>
      <c r="B541" s="335">
        <f>'[1]Prior Year'!AV71</f>
        <v>0</v>
      </c>
      <c r="C541" s="335">
        <f>AV71</f>
        <v>0</v>
      </c>
      <c r="D541" s="329" t="s">
        <v>529</v>
      </c>
      <c r="E541" s="329" t="s">
        <v>529</v>
      </c>
      <c r="F541" s="336"/>
      <c r="G541" s="336"/>
      <c r="H541" s="337"/>
      <c r="I541" s="268"/>
      <c r="J541" s="2"/>
      <c r="K541" s="333"/>
      <c r="L541" s="333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2"/>
      <c r="BO541" s="2"/>
      <c r="BP541" s="2"/>
      <c r="BQ541" s="2"/>
      <c r="BR541" s="2"/>
      <c r="BS541" s="2"/>
      <c r="BT541" s="2"/>
      <c r="BU541" s="2"/>
      <c r="BV541" s="2"/>
      <c r="BW541" s="2"/>
      <c r="BX541" s="2"/>
      <c r="BY541" s="2"/>
      <c r="BZ541" s="2"/>
      <c r="CA541" s="2"/>
      <c r="CB541" s="2"/>
      <c r="CC541" s="2"/>
      <c r="CD541" s="2"/>
      <c r="CE541" s="2"/>
      <c r="CF541" s="2"/>
    </row>
    <row r="542" spans="1:84" ht="12.65" customHeight="1" x14ac:dyDescent="0.35">
      <c r="A542" s="2" t="s">
        <v>1247</v>
      </c>
      <c r="B542" s="335">
        <f>'[1]Prior Year'!AW71</f>
        <v>112010.22</v>
      </c>
      <c r="C542" s="335">
        <f>AW71</f>
        <v>114537.46</v>
      </c>
      <c r="D542" s="329" t="s">
        <v>529</v>
      </c>
      <c r="E542" s="329" t="s">
        <v>529</v>
      </c>
      <c r="F542" s="336"/>
      <c r="G542" s="336"/>
      <c r="H542" s="337"/>
      <c r="I542" s="268"/>
      <c r="J542" s="2"/>
      <c r="K542" s="333"/>
      <c r="L542" s="333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2"/>
      <c r="BO542" s="2"/>
      <c r="BP542" s="2"/>
      <c r="BQ542" s="2"/>
      <c r="BR542" s="2"/>
      <c r="BS542" s="2"/>
      <c r="BT542" s="2"/>
      <c r="BU542" s="2"/>
      <c r="BV542" s="2"/>
      <c r="BW542" s="2"/>
      <c r="BX542" s="2"/>
      <c r="BY542" s="2"/>
      <c r="BZ542" s="2"/>
      <c r="CA542" s="2"/>
      <c r="CB542" s="2"/>
      <c r="CC542" s="2"/>
      <c r="CD542" s="2"/>
      <c r="CE542" s="2"/>
      <c r="CF542" s="2"/>
    </row>
    <row r="543" spans="1:84" ht="12.65" customHeight="1" x14ac:dyDescent="0.35">
      <c r="A543" s="2" t="s">
        <v>557</v>
      </c>
      <c r="B543" s="335">
        <f>'[1]Prior Year'!AX71</f>
        <v>0</v>
      </c>
      <c r="C543" s="335">
        <f>AX71</f>
        <v>0</v>
      </c>
      <c r="D543" s="329" t="s">
        <v>529</v>
      </c>
      <c r="E543" s="329" t="s">
        <v>529</v>
      </c>
      <c r="F543" s="336"/>
      <c r="G543" s="336"/>
      <c r="H543" s="337"/>
      <c r="I543" s="268"/>
      <c r="J543" s="2"/>
      <c r="K543" s="333"/>
      <c r="L543" s="333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  <c r="BO543" s="2"/>
      <c r="BP543" s="2"/>
      <c r="BQ543" s="2"/>
      <c r="BR543" s="2"/>
      <c r="BS543" s="2"/>
      <c r="BT543" s="2"/>
      <c r="BU543" s="2"/>
      <c r="BV543" s="2"/>
      <c r="BW543" s="2"/>
      <c r="BX543" s="2"/>
      <c r="BY543" s="2"/>
      <c r="BZ543" s="2"/>
      <c r="CA543" s="2"/>
      <c r="CB543" s="2"/>
      <c r="CC543" s="2"/>
      <c r="CD543" s="2"/>
      <c r="CE543" s="2"/>
      <c r="CF543" s="2"/>
    </row>
    <row r="544" spans="1:84" ht="12.65" customHeight="1" x14ac:dyDescent="0.35">
      <c r="A544" s="2" t="s">
        <v>558</v>
      </c>
      <c r="B544" s="335">
        <f>'[1]Prior Year'!AY71</f>
        <v>510501.49000000005</v>
      </c>
      <c r="C544" s="335">
        <f>AY71</f>
        <v>559951.81999999995</v>
      </c>
      <c r="D544" s="335">
        <f>'[1]Prior Year'!AY59</f>
        <v>37547</v>
      </c>
      <c r="E544" s="2">
        <f>AY59</f>
        <v>4752</v>
      </c>
      <c r="F544" s="336">
        <f t="shared" ref="F544:G550" si="19">IF(B544=0,"",IF(D544=0,"",B544/D544))</f>
        <v>13.596332330146218</v>
      </c>
      <c r="G544" s="336">
        <f t="shared" si="19"/>
        <v>117.83497895622895</v>
      </c>
      <c r="H544" s="337">
        <f t="shared" si="16"/>
        <v>7.6666739305100329</v>
      </c>
      <c r="I544" s="268"/>
      <c r="J544" s="2"/>
      <c r="K544" s="333"/>
      <c r="L544" s="333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  <c r="BM544" s="2"/>
      <c r="BN544" s="2"/>
      <c r="BO544" s="2"/>
      <c r="BP544" s="2"/>
      <c r="BQ544" s="2"/>
      <c r="BR544" s="2"/>
      <c r="BS544" s="2"/>
      <c r="BT544" s="2"/>
      <c r="BU544" s="2"/>
      <c r="BV544" s="2"/>
      <c r="BW544" s="2"/>
      <c r="BX544" s="2"/>
      <c r="BY544" s="2"/>
      <c r="BZ544" s="2"/>
      <c r="CA544" s="2"/>
      <c r="CB544" s="2"/>
      <c r="CC544" s="2"/>
      <c r="CD544" s="2"/>
      <c r="CE544" s="2"/>
      <c r="CF544" s="2"/>
    </row>
    <row r="545" spans="1:84" ht="12.65" customHeight="1" x14ac:dyDescent="0.35">
      <c r="A545" s="2" t="s">
        <v>559</v>
      </c>
      <c r="B545" s="335">
        <f>'[1]Prior Year'!AZ71</f>
        <v>0</v>
      </c>
      <c r="C545" s="335">
        <f>AZ71</f>
        <v>0</v>
      </c>
      <c r="D545" s="335">
        <f>'[1]Prior Year'!AZ59</f>
        <v>0</v>
      </c>
      <c r="E545" s="2">
        <f>AZ59</f>
        <v>34048</v>
      </c>
      <c r="F545" s="336" t="str">
        <f t="shared" si="19"/>
        <v/>
      </c>
      <c r="G545" s="336" t="str">
        <f t="shared" si="19"/>
        <v/>
      </c>
      <c r="H545" s="337" t="str">
        <f t="shared" si="16"/>
        <v/>
      </c>
      <c r="I545" s="268"/>
      <c r="J545" s="2"/>
      <c r="K545" s="333"/>
      <c r="L545" s="333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  <c r="BM545" s="2"/>
      <c r="BN545" s="2"/>
      <c r="BO545" s="2"/>
      <c r="BP545" s="2"/>
      <c r="BQ545" s="2"/>
      <c r="BR545" s="2"/>
      <c r="BS545" s="2"/>
      <c r="BT545" s="2"/>
      <c r="BU545" s="2"/>
      <c r="BV545" s="2"/>
      <c r="BW545" s="2"/>
      <c r="BX545" s="2"/>
      <c r="BY545" s="2"/>
      <c r="BZ545" s="2"/>
      <c r="CA545" s="2"/>
      <c r="CB545" s="2"/>
      <c r="CC545" s="2"/>
      <c r="CD545" s="2"/>
      <c r="CE545" s="2"/>
      <c r="CF545" s="2"/>
    </row>
    <row r="546" spans="1:84" ht="12.65" customHeight="1" x14ac:dyDescent="0.35">
      <c r="A546" s="2" t="s">
        <v>560</v>
      </c>
      <c r="B546" s="335">
        <f>'[1]Prior Year'!BA71</f>
        <v>0</v>
      </c>
      <c r="C546" s="335">
        <f>BA71</f>
        <v>0</v>
      </c>
      <c r="D546" s="335">
        <f>'[1]Prior Year'!BA59</f>
        <v>0</v>
      </c>
      <c r="E546" s="2">
        <f>BA59</f>
        <v>0</v>
      </c>
      <c r="F546" s="336" t="str">
        <f t="shared" si="19"/>
        <v/>
      </c>
      <c r="G546" s="336" t="str">
        <f t="shared" si="19"/>
        <v/>
      </c>
      <c r="H546" s="337" t="str">
        <f t="shared" si="16"/>
        <v/>
      </c>
      <c r="I546" s="268"/>
      <c r="J546" s="2"/>
      <c r="K546" s="333"/>
      <c r="L546" s="333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2"/>
      <c r="BN546" s="2"/>
      <c r="BO546" s="2"/>
      <c r="BP546" s="2"/>
      <c r="BQ546" s="2"/>
      <c r="BR546" s="2"/>
      <c r="BS546" s="2"/>
      <c r="BT546" s="2"/>
      <c r="BU546" s="2"/>
      <c r="BV546" s="2"/>
      <c r="BW546" s="2"/>
      <c r="BX546" s="2"/>
      <c r="BY546" s="2"/>
      <c r="BZ546" s="2"/>
      <c r="CA546" s="2"/>
      <c r="CB546" s="2"/>
      <c r="CC546" s="2"/>
      <c r="CD546" s="2"/>
      <c r="CE546" s="2"/>
      <c r="CF546" s="2"/>
    </row>
    <row r="547" spans="1:84" ht="12.65" customHeight="1" x14ac:dyDescent="0.35">
      <c r="A547" s="2" t="s">
        <v>561</v>
      </c>
      <c r="B547" s="335">
        <f>'[1]Prior Year'!BB71</f>
        <v>0</v>
      </c>
      <c r="C547" s="335">
        <f>BB71</f>
        <v>0</v>
      </c>
      <c r="D547" s="329" t="s">
        <v>529</v>
      </c>
      <c r="E547" s="329" t="s">
        <v>529</v>
      </c>
      <c r="F547" s="336"/>
      <c r="G547" s="336"/>
      <c r="H547" s="337"/>
      <c r="I547" s="268"/>
      <c r="J547" s="2"/>
      <c r="K547" s="333"/>
      <c r="L547" s="333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2"/>
      <c r="BN547" s="2"/>
      <c r="BO547" s="2"/>
      <c r="BP547" s="2"/>
      <c r="BQ547" s="2"/>
      <c r="BR547" s="2"/>
      <c r="BS547" s="2"/>
      <c r="BT547" s="2"/>
      <c r="BU547" s="2"/>
      <c r="BV547" s="2"/>
      <c r="BW547" s="2"/>
      <c r="BX547" s="2"/>
      <c r="BY547" s="2"/>
      <c r="BZ547" s="2"/>
      <c r="CA547" s="2"/>
      <c r="CB547" s="2"/>
      <c r="CC547" s="2"/>
      <c r="CD547" s="2"/>
      <c r="CE547" s="2"/>
      <c r="CF547" s="2"/>
    </row>
    <row r="548" spans="1:84" ht="12.65" customHeight="1" x14ac:dyDescent="0.35">
      <c r="A548" s="2" t="s">
        <v>562</v>
      </c>
      <c r="B548" s="335">
        <f>'[1]Prior Year'!BC71</f>
        <v>15549.59</v>
      </c>
      <c r="C548" s="335">
        <f>BC71</f>
        <v>16512.71</v>
      </c>
      <c r="D548" s="329" t="s">
        <v>529</v>
      </c>
      <c r="E548" s="329" t="s">
        <v>529</v>
      </c>
      <c r="F548" s="336"/>
      <c r="G548" s="336"/>
      <c r="H548" s="337"/>
      <c r="I548" s="268"/>
      <c r="J548" s="2"/>
      <c r="K548" s="333"/>
      <c r="L548" s="333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2"/>
      <c r="BN548" s="2"/>
      <c r="BO548" s="2"/>
      <c r="BP548" s="2"/>
      <c r="BQ548" s="2"/>
      <c r="BR548" s="2"/>
      <c r="BS548" s="2"/>
      <c r="BT548" s="2"/>
      <c r="BU548" s="2"/>
      <c r="BV548" s="2"/>
      <c r="BW548" s="2"/>
      <c r="BX548" s="2"/>
      <c r="BY548" s="2"/>
      <c r="BZ548" s="2"/>
      <c r="CA548" s="2"/>
      <c r="CB548" s="2"/>
      <c r="CC548" s="2"/>
      <c r="CD548" s="2"/>
      <c r="CE548" s="2"/>
      <c r="CF548" s="2"/>
    </row>
    <row r="549" spans="1:84" ht="12.65" customHeight="1" x14ac:dyDescent="0.35">
      <c r="A549" s="2" t="s">
        <v>563</v>
      </c>
      <c r="B549" s="335">
        <f>'[1]Prior Year'!BD71</f>
        <v>73580.73</v>
      </c>
      <c r="C549" s="335">
        <f>BD71</f>
        <v>75631.849999999991</v>
      </c>
      <c r="D549" s="329" t="s">
        <v>529</v>
      </c>
      <c r="E549" s="329" t="s">
        <v>529</v>
      </c>
      <c r="F549" s="336"/>
      <c r="G549" s="336"/>
      <c r="H549" s="337"/>
      <c r="I549" s="268"/>
      <c r="J549" s="2"/>
      <c r="K549" s="333"/>
      <c r="L549" s="333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  <c r="BO549" s="2"/>
      <c r="BP549" s="2"/>
      <c r="BQ549" s="2"/>
      <c r="BR549" s="2"/>
      <c r="BS549" s="2"/>
      <c r="BT549" s="2"/>
      <c r="BU549" s="2"/>
      <c r="BV549" s="2"/>
      <c r="BW549" s="2"/>
      <c r="BX549" s="2"/>
      <c r="BY549" s="2"/>
      <c r="BZ549" s="2"/>
      <c r="CA549" s="2"/>
      <c r="CB549" s="2"/>
      <c r="CC549" s="2"/>
      <c r="CD549" s="2"/>
      <c r="CE549" s="2"/>
      <c r="CF549" s="2"/>
    </row>
    <row r="550" spans="1:84" ht="12.65" customHeight="1" x14ac:dyDescent="0.35">
      <c r="A550" s="2" t="s">
        <v>564</v>
      </c>
      <c r="B550" s="335">
        <f>'[1]Prior Year'!BE71</f>
        <v>915808.49</v>
      </c>
      <c r="C550" s="335">
        <f>BE71</f>
        <v>998523.08999999985</v>
      </c>
      <c r="D550" s="335">
        <f>'[1]Prior Year'!BE59</f>
        <v>85625</v>
      </c>
      <c r="E550" s="2">
        <f>BE59</f>
        <v>85625</v>
      </c>
      <c r="F550" s="336">
        <f t="shared" si="19"/>
        <v>10.695573605839416</v>
      </c>
      <c r="G550" s="336">
        <f t="shared" si="19"/>
        <v>11.661583532846713</v>
      </c>
      <c r="H550" s="337" t="str">
        <f t="shared" si="16"/>
        <v/>
      </c>
      <c r="I550" s="268"/>
      <c r="J550" s="2"/>
      <c r="K550" s="333"/>
      <c r="L550" s="333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  <c r="BM550" s="2"/>
      <c r="BN550" s="2"/>
      <c r="BO550" s="2"/>
      <c r="BP550" s="2"/>
      <c r="BQ550" s="2"/>
      <c r="BR550" s="2"/>
      <c r="BS550" s="2"/>
      <c r="BT550" s="2"/>
      <c r="BU550" s="2"/>
      <c r="BV550" s="2"/>
      <c r="BW550" s="2"/>
      <c r="BX550" s="2"/>
      <c r="BY550" s="2"/>
      <c r="BZ550" s="2"/>
      <c r="CA550" s="2"/>
      <c r="CB550" s="2"/>
      <c r="CC550" s="2"/>
      <c r="CD550" s="2"/>
      <c r="CE550" s="2"/>
      <c r="CF550" s="2"/>
    </row>
    <row r="551" spans="1:84" ht="12.65" customHeight="1" x14ac:dyDescent="0.35">
      <c r="A551" s="2" t="s">
        <v>565</v>
      </c>
      <c r="B551" s="335">
        <f>'[1]Prior Year'!BF71</f>
        <v>549918.71999999997</v>
      </c>
      <c r="C551" s="335">
        <f>BF71</f>
        <v>557149.74</v>
      </c>
      <c r="D551" s="329" t="s">
        <v>529</v>
      </c>
      <c r="E551" s="329" t="s">
        <v>529</v>
      </c>
      <c r="F551" s="336"/>
      <c r="G551" s="336"/>
      <c r="H551" s="337"/>
      <c r="I551" s="268"/>
      <c r="J551" s="324"/>
      <c r="K551" s="2"/>
      <c r="L551" s="2"/>
      <c r="M551" s="337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  <c r="BM551" s="2"/>
      <c r="BN551" s="2"/>
      <c r="BO551" s="2"/>
      <c r="BP551" s="2"/>
      <c r="BQ551" s="2"/>
      <c r="BR551" s="2"/>
      <c r="BS551" s="2"/>
      <c r="BT551" s="2"/>
      <c r="BU551" s="2"/>
      <c r="BV551" s="2"/>
      <c r="BW551" s="2"/>
      <c r="BX551" s="2"/>
      <c r="BY551" s="2"/>
      <c r="BZ551" s="2"/>
      <c r="CA551" s="2"/>
      <c r="CB551" s="2"/>
      <c r="CC551" s="2"/>
      <c r="CD551" s="2"/>
      <c r="CE551" s="2"/>
      <c r="CF551" s="2"/>
    </row>
    <row r="552" spans="1:84" ht="12.65" customHeight="1" x14ac:dyDescent="0.35">
      <c r="A552" s="2" t="s">
        <v>566</v>
      </c>
      <c r="B552" s="335">
        <f>'[1]Prior Year'!BG71</f>
        <v>0</v>
      </c>
      <c r="C552" s="335">
        <f>BG71</f>
        <v>0</v>
      </c>
      <c r="D552" s="329" t="s">
        <v>529</v>
      </c>
      <c r="E552" s="329" t="s">
        <v>529</v>
      </c>
      <c r="F552" s="336"/>
      <c r="G552" s="336"/>
      <c r="H552" s="337"/>
      <c r="I552" s="2"/>
      <c r="J552" s="324"/>
      <c r="K552" s="2"/>
      <c r="L552" s="2"/>
      <c r="M552" s="337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  <c r="BM552" s="2"/>
      <c r="BN552" s="2"/>
      <c r="BO552" s="2"/>
      <c r="BP552" s="2"/>
      <c r="BQ552" s="2"/>
      <c r="BR552" s="2"/>
      <c r="BS552" s="2"/>
      <c r="BT552" s="2"/>
      <c r="BU552" s="2"/>
      <c r="BV552" s="2"/>
      <c r="BW552" s="2"/>
      <c r="BX552" s="2"/>
      <c r="BY552" s="2"/>
      <c r="BZ552" s="2"/>
      <c r="CA552" s="2"/>
      <c r="CB552" s="2"/>
      <c r="CC552" s="2"/>
      <c r="CD552" s="2"/>
      <c r="CE552" s="2"/>
      <c r="CF552" s="2"/>
    </row>
    <row r="553" spans="1:84" ht="12.65" customHeight="1" x14ac:dyDescent="0.35">
      <c r="A553" s="2" t="s">
        <v>567</v>
      </c>
      <c r="B553" s="335">
        <f>'[1]Prior Year'!BH71</f>
        <v>898886.87</v>
      </c>
      <c r="C553" s="335">
        <f>BH71</f>
        <v>985304.39</v>
      </c>
      <c r="D553" s="329" t="s">
        <v>529</v>
      </c>
      <c r="E553" s="329" t="s">
        <v>529</v>
      </c>
      <c r="F553" s="336"/>
      <c r="G553" s="336"/>
      <c r="H553" s="337"/>
      <c r="I553" s="2"/>
      <c r="J553" s="324"/>
      <c r="K553" s="2"/>
      <c r="L553" s="2"/>
      <c r="M553" s="337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  <c r="BM553" s="2"/>
      <c r="BN553" s="2"/>
      <c r="BO553" s="2"/>
      <c r="BP553" s="2"/>
      <c r="BQ553" s="2"/>
      <c r="BR553" s="2"/>
      <c r="BS553" s="2"/>
      <c r="BT553" s="2"/>
      <c r="BU553" s="2"/>
      <c r="BV553" s="2"/>
      <c r="BW553" s="2"/>
      <c r="BX553" s="2"/>
      <c r="BY553" s="2"/>
      <c r="BZ553" s="2"/>
      <c r="CA553" s="2"/>
      <c r="CB553" s="2"/>
      <c r="CC553" s="2"/>
      <c r="CD553" s="2"/>
      <c r="CE553" s="2"/>
      <c r="CF553" s="2"/>
    </row>
    <row r="554" spans="1:84" ht="12.65" customHeight="1" x14ac:dyDescent="0.35">
      <c r="A554" s="2" t="s">
        <v>568</v>
      </c>
      <c r="B554" s="335">
        <f>'[1]Prior Year'!BI71</f>
        <v>0</v>
      </c>
      <c r="C554" s="335">
        <f>BI71</f>
        <v>0</v>
      </c>
      <c r="D554" s="329" t="s">
        <v>529</v>
      </c>
      <c r="E554" s="329" t="s">
        <v>529</v>
      </c>
      <c r="F554" s="336"/>
      <c r="G554" s="336"/>
      <c r="H554" s="337"/>
      <c r="I554" s="2"/>
      <c r="J554" s="324"/>
      <c r="K554" s="2"/>
      <c r="L554" s="2"/>
      <c r="M554" s="337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2"/>
      <c r="BN554" s="2"/>
      <c r="BO554" s="2"/>
      <c r="BP554" s="2"/>
      <c r="BQ554" s="2"/>
      <c r="BR554" s="2"/>
      <c r="BS554" s="2"/>
      <c r="BT554" s="2"/>
      <c r="BU554" s="2"/>
      <c r="BV554" s="2"/>
      <c r="BW554" s="2"/>
      <c r="BX554" s="2"/>
      <c r="BY554" s="2"/>
      <c r="BZ554" s="2"/>
      <c r="CA554" s="2"/>
      <c r="CB554" s="2"/>
      <c r="CC554" s="2"/>
      <c r="CD554" s="2"/>
      <c r="CE554" s="2"/>
      <c r="CF554" s="2"/>
    </row>
    <row r="555" spans="1:84" ht="12.65" customHeight="1" x14ac:dyDescent="0.35">
      <c r="A555" s="2" t="s">
        <v>569</v>
      </c>
      <c r="B555" s="335">
        <f>'[1]Prior Year'!BJ71</f>
        <v>285806.14</v>
      </c>
      <c r="C555" s="335">
        <f>BJ71</f>
        <v>328272.90000000002</v>
      </c>
      <c r="D555" s="329" t="s">
        <v>529</v>
      </c>
      <c r="E555" s="329" t="s">
        <v>529</v>
      </c>
      <c r="F555" s="336"/>
      <c r="G555" s="336"/>
      <c r="H555" s="337"/>
      <c r="I555" s="2"/>
      <c r="J555" s="324"/>
      <c r="K555" s="2"/>
      <c r="L555" s="2"/>
      <c r="M555" s="337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  <c r="BM555" s="2"/>
      <c r="BN555" s="2"/>
      <c r="BO555" s="2"/>
      <c r="BP555" s="2"/>
      <c r="BQ555" s="2"/>
      <c r="BR555" s="2"/>
      <c r="BS555" s="2"/>
      <c r="BT555" s="2"/>
      <c r="BU555" s="2"/>
      <c r="BV555" s="2"/>
      <c r="BW555" s="2"/>
      <c r="BX555" s="2"/>
      <c r="BY555" s="2"/>
      <c r="BZ555" s="2"/>
      <c r="CA555" s="2"/>
      <c r="CB555" s="2"/>
      <c r="CC555" s="2"/>
      <c r="CD555" s="2"/>
      <c r="CE555" s="2"/>
      <c r="CF555" s="2"/>
    </row>
    <row r="556" spans="1:84" ht="12.65" customHeight="1" x14ac:dyDescent="0.35">
      <c r="A556" s="2" t="s">
        <v>570</v>
      </c>
      <c r="B556" s="335">
        <f>'[1]Prior Year'!BK71</f>
        <v>863509.39999999991</v>
      </c>
      <c r="C556" s="335">
        <f>BK71</f>
        <v>980434.08</v>
      </c>
      <c r="D556" s="329" t="s">
        <v>529</v>
      </c>
      <c r="E556" s="329" t="s">
        <v>529</v>
      </c>
      <c r="F556" s="336"/>
      <c r="G556" s="336"/>
      <c r="H556" s="337"/>
      <c r="I556" s="2"/>
      <c r="J556" s="324"/>
      <c r="K556" s="2"/>
      <c r="L556" s="2"/>
      <c r="M556" s="337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  <c r="BM556" s="2"/>
      <c r="BN556" s="2"/>
      <c r="BO556" s="2"/>
      <c r="BP556" s="2"/>
      <c r="BQ556" s="2"/>
      <c r="BR556" s="2"/>
      <c r="BS556" s="2"/>
      <c r="BT556" s="2"/>
      <c r="BU556" s="2"/>
      <c r="BV556" s="2"/>
      <c r="BW556" s="2"/>
      <c r="BX556" s="2"/>
      <c r="BY556" s="2"/>
      <c r="BZ556" s="2"/>
      <c r="CA556" s="2"/>
      <c r="CB556" s="2"/>
      <c r="CC556" s="2"/>
      <c r="CD556" s="2"/>
      <c r="CE556" s="2"/>
      <c r="CF556" s="2"/>
    </row>
    <row r="557" spans="1:84" ht="12.65" customHeight="1" x14ac:dyDescent="0.35">
      <c r="A557" s="2" t="s">
        <v>571</v>
      </c>
      <c r="B557" s="335">
        <f>'[1]Prior Year'!BL71</f>
        <v>226386.27999999997</v>
      </c>
      <c r="C557" s="335">
        <f>BL71</f>
        <v>250080.06</v>
      </c>
      <c r="D557" s="329" t="s">
        <v>529</v>
      </c>
      <c r="E557" s="329" t="s">
        <v>529</v>
      </c>
      <c r="F557" s="336"/>
      <c r="G557" s="336"/>
      <c r="H557" s="337"/>
      <c r="I557" s="2"/>
      <c r="J557" s="324"/>
      <c r="K557" s="2"/>
      <c r="L557" s="2"/>
      <c r="M557" s="337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  <c r="BM557" s="2"/>
      <c r="BN557" s="2"/>
      <c r="BO557" s="2"/>
      <c r="BP557" s="2"/>
      <c r="BQ557" s="2"/>
      <c r="BR557" s="2"/>
      <c r="BS557" s="2"/>
      <c r="BT557" s="2"/>
      <c r="BU557" s="2"/>
      <c r="BV557" s="2"/>
      <c r="BW557" s="2"/>
      <c r="BX557" s="2"/>
      <c r="BY557" s="2"/>
      <c r="BZ557" s="2"/>
      <c r="CA557" s="2"/>
      <c r="CB557" s="2"/>
      <c r="CC557" s="2"/>
      <c r="CD557" s="2"/>
      <c r="CE557" s="2"/>
      <c r="CF557" s="2"/>
    </row>
    <row r="558" spans="1:84" ht="12.65" customHeight="1" x14ac:dyDescent="0.35">
      <c r="A558" s="2" t="s">
        <v>572</v>
      </c>
      <c r="B558" s="335">
        <f>'[1]Prior Year'!BM71</f>
        <v>0</v>
      </c>
      <c r="C558" s="335">
        <f>BM71</f>
        <v>0</v>
      </c>
      <c r="D558" s="329" t="s">
        <v>529</v>
      </c>
      <c r="E558" s="329" t="s">
        <v>529</v>
      </c>
      <c r="F558" s="336"/>
      <c r="G558" s="336"/>
      <c r="H558" s="337"/>
      <c r="I558" s="2"/>
      <c r="J558" s="324"/>
      <c r="K558" s="2"/>
      <c r="L558" s="2"/>
      <c r="M558" s="337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  <c r="BM558" s="2"/>
      <c r="BN558" s="2"/>
      <c r="BO558" s="2"/>
      <c r="BP558" s="2"/>
      <c r="BQ558" s="2"/>
      <c r="BR558" s="2"/>
      <c r="BS558" s="2"/>
      <c r="BT558" s="2"/>
      <c r="BU558" s="2"/>
      <c r="BV558" s="2"/>
      <c r="BW558" s="2"/>
      <c r="BX558" s="2"/>
      <c r="BY558" s="2"/>
      <c r="BZ558" s="2"/>
      <c r="CA558" s="2"/>
      <c r="CB558" s="2"/>
      <c r="CC558" s="2"/>
      <c r="CD558" s="2"/>
      <c r="CE558" s="2"/>
      <c r="CF558" s="2"/>
    </row>
    <row r="559" spans="1:84" ht="12.65" customHeight="1" x14ac:dyDescent="0.35">
      <c r="A559" s="2" t="s">
        <v>573</v>
      </c>
      <c r="B559" s="335">
        <f>'[1]Prior Year'!BN71</f>
        <v>3275217.6300000008</v>
      </c>
      <c r="C559" s="335">
        <f>BN71</f>
        <v>3345605.6399999997</v>
      </c>
      <c r="D559" s="329" t="s">
        <v>529</v>
      </c>
      <c r="E559" s="329" t="s">
        <v>529</v>
      </c>
      <c r="F559" s="336"/>
      <c r="G559" s="336"/>
      <c r="H559" s="337"/>
      <c r="I559" s="2"/>
      <c r="J559" s="324"/>
      <c r="K559" s="2"/>
      <c r="L559" s="2"/>
      <c r="M559" s="337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  <c r="BM559" s="2"/>
      <c r="BN559" s="2"/>
      <c r="BO559" s="2"/>
      <c r="BP559" s="2"/>
      <c r="BQ559" s="2"/>
      <c r="BR559" s="2"/>
      <c r="BS559" s="2"/>
      <c r="BT559" s="2"/>
      <c r="BU559" s="2"/>
      <c r="BV559" s="2"/>
      <c r="BW559" s="2"/>
      <c r="BX559" s="2"/>
      <c r="BY559" s="2"/>
      <c r="BZ559" s="2"/>
      <c r="CA559" s="2"/>
      <c r="CB559" s="2"/>
      <c r="CC559" s="2"/>
      <c r="CD559" s="2"/>
      <c r="CE559" s="2"/>
      <c r="CF559" s="2"/>
    </row>
    <row r="560" spans="1:84" ht="12.65" customHeight="1" x14ac:dyDescent="0.35">
      <c r="A560" s="2" t="s">
        <v>574</v>
      </c>
      <c r="B560" s="335">
        <f>'[1]Prior Year'!BO71</f>
        <v>0</v>
      </c>
      <c r="C560" s="335">
        <f>BO71</f>
        <v>0</v>
      </c>
      <c r="D560" s="329" t="s">
        <v>529</v>
      </c>
      <c r="E560" s="329" t="s">
        <v>529</v>
      </c>
      <c r="F560" s="336"/>
      <c r="G560" s="336"/>
      <c r="H560" s="337"/>
      <c r="I560" s="2"/>
      <c r="J560" s="324"/>
      <c r="K560" s="2"/>
      <c r="L560" s="2"/>
      <c r="M560" s="337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  <c r="BM560" s="2"/>
      <c r="BN560" s="2"/>
      <c r="BO560" s="2"/>
      <c r="BP560" s="2"/>
      <c r="BQ560" s="2"/>
      <c r="BR560" s="2"/>
      <c r="BS560" s="2"/>
      <c r="BT560" s="2"/>
      <c r="BU560" s="2"/>
      <c r="BV560" s="2"/>
      <c r="BW560" s="2"/>
      <c r="BX560" s="2"/>
      <c r="BY560" s="2"/>
      <c r="BZ560" s="2"/>
      <c r="CA560" s="2"/>
      <c r="CB560" s="2"/>
      <c r="CC560" s="2"/>
      <c r="CD560" s="2"/>
      <c r="CE560" s="2"/>
      <c r="CF560" s="2"/>
    </row>
    <row r="561" spans="1:84" ht="12.65" customHeight="1" x14ac:dyDescent="0.35">
      <c r="A561" s="2" t="s">
        <v>575</v>
      </c>
      <c r="B561" s="335">
        <f>'[1]Prior Year'!BP71</f>
        <v>0</v>
      </c>
      <c r="C561" s="335">
        <f>BP71</f>
        <v>0</v>
      </c>
      <c r="D561" s="329" t="s">
        <v>529</v>
      </c>
      <c r="E561" s="329" t="s">
        <v>529</v>
      </c>
      <c r="F561" s="336"/>
      <c r="G561" s="336"/>
      <c r="H561" s="337"/>
      <c r="I561" s="2"/>
      <c r="J561" s="324"/>
      <c r="K561" s="2"/>
      <c r="L561" s="2"/>
      <c r="M561" s="337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  <c r="BM561" s="2"/>
      <c r="BN561" s="2"/>
      <c r="BO561" s="2"/>
      <c r="BP561" s="2"/>
      <c r="BQ561" s="2"/>
      <c r="BR561" s="2"/>
      <c r="BS561" s="2"/>
      <c r="BT561" s="2"/>
      <c r="BU561" s="2"/>
      <c r="BV561" s="2"/>
      <c r="BW561" s="2"/>
      <c r="BX561" s="2"/>
      <c r="BY561" s="2"/>
      <c r="BZ561" s="2"/>
      <c r="CA561" s="2"/>
      <c r="CB561" s="2"/>
      <c r="CC561" s="2"/>
      <c r="CD561" s="2"/>
      <c r="CE561" s="2"/>
      <c r="CF561" s="2"/>
    </row>
    <row r="562" spans="1:84" ht="12.65" customHeight="1" x14ac:dyDescent="0.35">
      <c r="A562" s="2" t="s">
        <v>576</v>
      </c>
      <c r="B562" s="335">
        <f>'[1]Prior Year'!BQ71</f>
        <v>0</v>
      </c>
      <c r="C562" s="335">
        <f>BQ71</f>
        <v>0</v>
      </c>
      <c r="D562" s="329" t="s">
        <v>529</v>
      </c>
      <c r="E562" s="329" t="s">
        <v>529</v>
      </c>
      <c r="F562" s="336"/>
      <c r="G562" s="336"/>
      <c r="H562" s="337"/>
      <c r="I562" s="2"/>
      <c r="J562" s="324"/>
      <c r="K562" s="2"/>
      <c r="L562" s="2"/>
      <c r="M562" s="337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  <c r="BM562" s="2"/>
      <c r="BN562" s="2"/>
      <c r="BO562" s="2"/>
      <c r="BP562" s="2"/>
      <c r="BQ562" s="2"/>
      <c r="BR562" s="2"/>
      <c r="BS562" s="2"/>
      <c r="BT562" s="2"/>
      <c r="BU562" s="2"/>
      <c r="BV562" s="2"/>
      <c r="BW562" s="2"/>
      <c r="BX562" s="2"/>
      <c r="BY562" s="2"/>
      <c r="BZ562" s="2"/>
      <c r="CA562" s="2"/>
      <c r="CB562" s="2"/>
      <c r="CC562" s="2"/>
      <c r="CD562" s="2"/>
      <c r="CE562" s="2"/>
      <c r="CF562" s="2"/>
    </row>
    <row r="563" spans="1:84" ht="12.65" customHeight="1" x14ac:dyDescent="0.35">
      <c r="A563" s="2" t="s">
        <v>577</v>
      </c>
      <c r="B563" s="335">
        <f>'[1]Prior Year'!BR71</f>
        <v>0</v>
      </c>
      <c r="C563" s="335">
        <f>BR71</f>
        <v>0</v>
      </c>
      <c r="D563" s="329" t="s">
        <v>529</v>
      </c>
      <c r="E563" s="329" t="s">
        <v>529</v>
      </c>
      <c r="F563" s="336"/>
      <c r="G563" s="336"/>
      <c r="H563" s="337"/>
      <c r="I563" s="2"/>
      <c r="J563" s="324"/>
      <c r="K563" s="2"/>
      <c r="L563" s="2"/>
      <c r="M563" s="337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  <c r="BM563" s="2"/>
      <c r="BN563" s="2"/>
      <c r="BO563" s="2"/>
      <c r="BP563" s="2"/>
      <c r="BQ563" s="2"/>
      <c r="BR563" s="2"/>
      <c r="BS563" s="2"/>
      <c r="BT563" s="2"/>
      <c r="BU563" s="2"/>
      <c r="BV563" s="2"/>
      <c r="BW563" s="2"/>
      <c r="BX563" s="2"/>
      <c r="BY563" s="2"/>
      <c r="BZ563" s="2"/>
      <c r="CA563" s="2"/>
      <c r="CB563" s="2"/>
      <c r="CC563" s="2"/>
      <c r="CD563" s="2"/>
      <c r="CE563" s="2"/>
      <c r="CF563" s="2"/>
    </row>
    <row r="564" spans="1:84" ht="12.65" customHeight="1" x14ac:dyDescent="0.35">
      <c r="A564" s="2" t="s">
        <v>1248</v>
      </c>
      <c r="B564" s="335">
        <f>'[1]Prior Year'!BS71</f>
        <v>0</v>
      </c>
      <c r="C564" s="335">
        <f>BS71</f>
        <v>0</v>
      </c>
      <c r="D564" s="329" t="s">
        <v>529</v>
      </c>
      <c r="E564" s="329" t="s">
        <v>529</v>
      </c>
      <c r="F564" s="336"/>
      <c r="G564" s="336"/>
      <c r="H564" s="337"/>
      <c r="I564" s="2"/>
      <c r="J564" s="324"/>
      <c r="K564" s="2"/>
      <c r="L564" s="2"/>
      <c r="M564" s="337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  <c r="BM564" s="2"/>
      <c r="BN564" s="2"/>
      <c r="BO564" s="2"/>
      <c r="BP564" s="2"/>
      <c r="BQ564" s="2"/>
      <c r="BR564" s="2"/>
      <c r="BS564" s="2"/>
      <c r="BT564" s="2"/>
      <c r="BU564" s="2"/>
      <c r="BV564" s="2"/>
      <c r="BW564" s="2"/>
      <c r="BX564" s="2"/>
      <c r="BY564" s="2"/>
      <c r="BZ564" s="2"/>
      <c r="CA564" s="2"/>
      <c r="CB564" s="2"/>
      <c r="CC564" s="2"/>
      <c r="CD564" s="2"/>
      <c r="CE564" s="2"/>
      <c r="CF564" s="2"/>
    </row>
    <row r="565" spans="1:84" ht="12.65" customHeight="1" x14ac:dyDescent="0.35">
      <c r="A565" s="2" t="s">
        <v>578</v>
      </c>
      <c r="B565" s="335">
        <f>'[1]Prior Year'!BT71</f>
        <v>0</v>
      </c>
      <c r="C565" s="335">
        <f>BT71</f>
        <v>0</v>
      </c>
      <c r="D565" s="329" t="s">
        <v>529</v>
      </c>
      <c r="E565" s="329" t="s">
        <v>529</v>
      </c>
      <c r="F565" s="336"/>
      <c r="G565" s="336"/>
      <c r="H565" s="337"/>
      <c r="I565" s="2"/>
      <c r="J565" s="324"/>
      <c r="K565" s="2"/>
      <c r="L565" s="2"/>
      <c r="M565" s="337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  <c r="BM565" s="2"/>
      <c r="BN565" s="2"/>
      <c r="BO565" s="2"/>
      <c r="BP565" s="2"/>
      <c r="BQ565" s="2"/>
      <c r="BR565" s="2"/>
      <c r="BS565" s="2"/>
      <c r="BT565" s="2"/>
      <c r="BU565" s="2"/>
      <c r="BV565" s="2"/>
      <c r="BW565" s="2"/>
      <c r="BX565" s="2"/>
      <c r="BY565" s="2"/>
      <c r="BZ565" s="2"/>
      <c r="CA565" s="2"/>
      <c r="CB565" s="2"/>
      <c r="CC565" s="2"/>
      <c r="CD565" s="2"/>
      <c r="CE565" s="2"/>
      <c r="CF565" s="2"/>
    </row>
    <row r="566" spans="1:84" ht="12.65" customHeight="1" x14ac:dyDescent="0.35">
      <c r="A566" s="2" t="s">
        <v>579</v>
      </c>
      <c r="B566" s="335">
        <f>'[1]Prior Year'!BU71</f>
        <v>0</v>
      </c>
      <c r="C566" s="335">
        <f>BU71</f>
        <v>0</v>
      </c>
      <c r="D566" s="329" t="s">
        <v>529</v>
      </c>
      <c r="E566" s="329" t="s">
        <v>529</v>
      </c>
      <c r="F566" s="336"/>
      <c r="G566" s="336"/>
      <c r="H566" s="337"/>
      <c r="I566" s="2"/>
      <c r="J566" s="324"/>
      <c r="K566" s="2"/>
      <c r="L566" s="2"/>
      <c r="M566" s="337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  <c r="BM566" s="2"/>
      <c r="BN566" s="2"/>
      <c r="BO566" s="2"/>
      <c r="BP566" s="2"/>
      <c r="BQ566" s="2"/>
      <c r="BR566" s="2"/>
      <c r="BS566" s="2"/>
      <c r="BT566" s="2"/>
      <c r="BU566" s="2"/>
      <c r="BV566" s="2"/>
      <c r="BW566" s="2"/>
      <c r="BX566" s="2"/>
      <c r="BY566" s="2"/>
      <c r="BZ566" s="2"/>
      <c r="CA566" s="2"/>
      <c r="CB566" s="2"/>
      <c r="CC566" s="2"/>
      <c r="CD566" s="2"/>
      <c r="CE566" s="2"/>
      <c r="CF566" s="2"/>
    </row>
    <row r="567" spans="1:84" ht="12.65" customHeight="1" x14ac:dyDescent="0.35">
      <c r="A567" s="2" t="s">
        <v>580</v>
      </c>
      <c r="B567" s="335">
        <f>'[1]Prior Year'!BV71</f>
        <v>270377.97000000003</v>
      </c>
      <c r="C567" s="335">
        <f>BV71</f>
        <v>429789.81999999995</v>
      </c>
      <c r="D567" s="329" t="s">
        <v>529</v>
      </c>
      <c r="E567" s="329" t="s">
        <v>529</v>
      </c>
      <c r="F567" s="336"/>
      <c r="G567" s="336"/>
      <c r="H567" s="337"/>
      <c r="I567" s="2"/>
      <c r="J567" s="324"/>
      <c r="K567" s="2"/>
      <c r="L567" s="2"/>
      <c r="M567" s="337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  <c r="BM567" s="2"/>
      <c r="BN567" s="2"/>
      <c r="BO567" s="2"/>
      <c r="BP567" s="2"/>
      <c r="BQ567" s="2"/>
      <c r="BR567" s="2"/>
      <c r="BS567" s="2"/>
      <c r="BT567" s="2"/>
      <c r="BU567" s="2"/>
      <c r="BV567" s="2"/>
      <c r="BW567" s="2"/>
      <c r="BX567" s="2"/>
      <c r="BY567" s="2"/>
      <c r="BZ567" s="2"/>
      <c r="CA567" s="2"/>
      <c r="CB567" s="2"/>
      <c r="CC567" s="2"/>
      <c r="CD567" s="2"/>
      <c r="CE567" s="2"/>
      <c r="CF567" s="2"/>
    </row>
    <row r="568" spans="1:84" ht="12.65" customHeight="1" x14ac:dyDescent="0.35">
      <c r="A568" s="2" t="s">
        <v>581</v>
      </c>
      <c r="B568" s="335">
        <f>'[1]Prior Year'!BW71</f>
        <v>0</v>
      </c>
      <c r="C568" s="335">
        <f>BW71</f>
        <v>0</v>
      </c>
      <c r="D568" s="329" t="s">
        <v>529</v>
      </c>
      <c r="E568" s="329" t="s">
        <v>529</v>
      </c>
      <c r="F568" s="336"/>
      <c r="G568" s="336"/>
      <c r="H568" s="337"/>
      <c r="I568" s="2"/>
      <c r="J568" s="324"/>
      <c r="K568" s="2"/>
      <c r="L568" s="2"/>
      <c r="M568" s="337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  <c r="BM568" s="2"/>
      <c r="BN568" s="2"/>
      <c r="BO568" s="2"/>
      <c r="BP568" s="2"/>
      <c r="BQ568" s="2"/>
      <c r="BR568" s="2"/>
      <c r="BS568" s="2"/>
      <c r="BT568" s="2"/>
      <c r="BU568" s="2"/>
      <c r="BV568" s="2"/>
      <c r="BW568" s="2"/>
      <c r="BX568" s="2"/>
      <c r="BY568" s="2"/>
      <c r="BZ568" s="2"/>
      <c r="CA568" s="2"/>
      <c r="CB568" s="2"/>
      <c r="CC568" s="2"/>
      <c r="CD568" s="2"/>
      <c r="CE568" s="2"/>
      <c r="CF568" s="2"/>
    </row>
    <row r="569" spans="1:84" ht="12.65" customHeight="1" x14ac:dyDescent="0.35">
      <c r="A569" s="2" t="s">
        <v>582</v>
      </c>
      <c r="B569" s="335">
        <f>'[1]Prior Year'!BX71</f>
        <v>0</v>
      </c>
      <c r="C569" s="335">
        <f>BX71</f>
        <v>0</v>
      </c>
      <c r="D569" s="329" t="s">
        <v>529</v>
      </c>
      <c r="E569" s="329" t="s">
        <v>529</v>
      </c>
      <c r="F569" s="336"/>
      <c r="G569" s="336"/>
      <c r="H569" s="337"/>
      <c r="I569" s="2"/>
      <c r="J569" s="324"/>
      <c r="K569" s="2"/>
      <c r="L569" s="2"/>
      <c r="M569" s="337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  <c r="BM569" s="2"/>
      <c r="BN569" s="2"/>
      <c r="BO569" s="2"/>
      <c r="BP569" s="2"/>
      <c r="BQ569" s="2"/>
      <c r="BR569" s="2"/>
      <c r="BS569" s="2"/>
      <c r="BT569" s="2"/>
      <c r="BU569" s="2"/>
      <c r="BV569" s="2"/>
      <c r="BW569" s="2"/>
      <c r="BX569" s="2"/>
      <c r="BY569" s="2"/>
      <c r="BZ569" s="2"/>
      <c r="CA569" s="2"/>
      <c r="CB569" s="2"/>
      <c r="CC569" s="2"/>
      <c r="CD569" s="2"/>
      <c r="CE569" s="2"/>
      <c r="CF569" s="2"/>
    </row>
    <row r="570" spans="1:84" ht="12.65" customHeight="1" x14ac:dyDescent="0.35">
      <c r="A570" s="2" t="s">
        <v>583</v>
      </c>
      <c r="B570" s="335">
        <f>'[1]Prior Year'!BY71</f>
        <v>332250.62</v>
      </c>
      <c r="C570" s="335">
        <f>BY71</f>
        <v>313227.96000000002</v>
      </c>
      <c r="D570" s="329" t="s">
        <v>529</v>
      </c>
      <c r="E570" s="329" t="s">
        <v>529</v>
      </c>
      <c r="F570" s="336"/>
      <c r="G570" s="336"/>
      <c r="H570" s="337"/>
      <c r="I570" s="2"/>
      <c r="J570" s="324"/>
      <c r="K570" s="2"/>
      <c r="L570" s="2"/>
      <c r="M570" s="337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  <c r="BM570" s="2"/>
      <c r="BN570" s="2"/>
      <c r="BO570" s="2"/>
      <c r="BP570" s="2"/>
      <c r="BQ570" s="2"/>
      <c r="BR570" s="2"/>
      <c r="BS570" s="2"/>
      <c r="BT570" s="2"/>
      <c r="BU570" s="2"/>
      <c r="BV570" s="2"/>
      <c r="BW570" s="2"/>
      <c r="BX570" s="2"/>
      <c r="BY570" s="2"/>
      <c r="BZ570" s="2"/>
      <c r="CA570" s="2"/>
      <c r="CB570" s="2"/>
      <c r="CC570" s="2"/>
      <c r="CD570" s="2"/>
      <c r="CE570" s="2"/>
      <c r="CF570" s="2"/>
    </row>
    <row r="571" spans="1:84" ht="12.65" customHeight="1" x14ac:dyDescent="0.35">
      <c r="A571" s="2" t="s">
        <v>584</v>
      </c>
      <c r="B571" s="335">
        <f>'[1]Prior Year'!BZ71</f>
        <v>0</v>
      </c>
      <c r="C571" s="335">
        <f>BZ71</f>
        <v>0</v>
      </c>
      <c r="D571" s="329" t="s">
        <v>529</v>
      </c>
      <c r="E571" s="329" t="s">
        <v>529</v>
      </c>
      <c r="F571" s="336"/>
      <c r="G571" s="336"/>
      <c r="H571" s="337"/>
      <c r="I571" s="2"/>
      <c r="J571" s="324"/>
      <c r="K571" s="2"/>
      <c r="L571" s="2"/>
      <c r="M571" s="337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  <c r="BM571" s="2"/>
      <c r="BN571" s="2"/>
      <c r="BO571" s="2"/>
      <c r="BP571" s="2"/>
      <c r="BQ571" s="2"/>
      <c r="BR571" s="2"/>
      <c r="BS571" s="2"/>
      <c r="BT571" s="2"/>
      <c r="BU571" s="2"/>
      <c r="BV571" s="2"/>
      <c r="BW571" s="2"/>
      <c r="BX571" s="2"/>
      <c r="BY571" s="2"/>
      <c r="BZ571" s="2"/>
      <c r="CA571" s="2"/>
      <c r="CB571" s="2"/>
      <c r="CC571" s="2"/>
      <c r="CD571" s="2"/>
      <c r="CE571" s="2"/>
      <c r="CF571" s="2"/>
    </row>
    <row r="572" spans="1:84" ht="12.65" customHeight="1" x14ac:dyDescent="0.35">
      <c r="A572" s="2" t="s">
        <v>585</v>
      </c>
      <c r="B572" s="335">
        <f>'[1]Prior Year'!CA71</f>
        <v>0</v>
      </c>
      <c r="C572" s="335">
        <f>CA71</f>
        <v>0</v>
      </c>
      <c r="D572" s="329" t="s">
        <v>529</v>
      </c>
      <c r="E572" s="329" t="s">
        <v>529</v>
      </c>
      <c r="F572" s="336"/>
      <c r="G572" s="336"/>
      <c r="H572" s="337"/>
      <c r="I572" s="2"/>
      <c r="J572" s="324"/>
      <c r="K572" s="2"/>
      <c r="L572" s="2"/>
      <c r="M572" s="337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  <c r="BM572" s="2"/>
      <c r="BN572" s="2"/>
      <c r="BO572" s="2"/>
      <c r="BP572" s="2"/>
      <c r="BQ572" s="2"/>
      <c r="BR572" s="2"/>
      <c r="BS572" s="2"/>
      <c r="BT572" s="2"/>
      <c r="BU572" s="2"/>
      <c r="BV572" s="2"/>
      <c r="BW572" s="2"/>
      <c r="BX572" s="2"/>
      <c r="BY572" s="2"/>
      <c r="BZ572" s="2"/>
      <c r="CA572" s="2"/>
      <c r="CB572" s="2"/>
      <c r="CC572" s="2"/>
      <c r="CD572" s="2"/>
      <c r="CE572" s="2"/>
      <c r="CF572" s="2"/>
    </row>
    <row r="573" spans="1:84" ht="12.65" customHeight="1" x14ac:dyDescent="0.35">
      <c r="A573" s="2" t="s">
        <v>586</v>
      </c>
      <c r="B573" s="335">
        <f>'[1]Prior Year'!CB71</f>
        <v>0</v>
      </c>
      <c r="C573" s="335">
        <f>CB71</f>
        <v>0</v>
      </c>
      <c r="D573" s="329" t="s">
        <v>529</v>
      </c>
      <c r="E573" s="329" t="s">
        <v>529</v>
      </c>
      <c r="F573" s="336"/>
      <c r="G573" s="336"/>
      <c r="H573" s="337"/>
      <c r="I573" s="2"/>
      <c r="J573" s="324"/>
      <c r="K573" s="2"/>
      <c r="L573" s="2"/>
      <c r="M573" s="337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  <c r="BM573" s="2"/>
      <c r="BN573" s="2"/>
      <c r="BO573" s="2"/>
      <c r="BP573" s="2"/>
      <c r="BQ573" s="2"/>
      <c r="BR573" s="2"/>
      <c r="BS573" s="2"/>
      <c r="BT573" s="2"/>
      <c r="BU573" s="2"/>
      <c r="BV573" s="2"/>
      <c r="BW573" s="2"/>
      <c r="BX573" s="2"/>
      <c r="BY573" s="2"/>
      <c r="BZ573" s="2"/>
      <c r="CA573" s="2"/>
      <c r="CB573" s="2"/>
      <c r="CC573" s="2"/>
      <c r="CD573" s="2"/>
      <c r="CE573" s="2"/>
      <c r="CF573" s="2"/>
    </row>
    <row r="574" spans="1:84" ht="12.65" customHeight="1" x14ac:dyDescent="0.35">
      <c r="A574" s="2" t="s">
        <v>587</v>
      </c>
      <c r="B574" s="335">
        <f>'[1]Prior Year'!CC71</f>
        <v>65743.929999999993</v>
      </c>
      <c r="C574" s="335">
        <f>CC71</f>
        <v>84179.06</v>
      </c>
      <c r="D574" s="329" t="s">
        <v>529</v>
      </c>
      <c r="E574" s="329" t="s">
        <v>529</v>
      </c>
      <c r="F574" s="336"/>
      <c r="G574" s="336"/>
      <c r="H574" s="337"/>
      <c r="I574" s="2"/>
      <c r="J574" s="324"/>
      <c r="K574" s="2"/>
      <c r="L574" s="2"/>
      <c r="M574" s="337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  <c r="BM574" s="2"/>
      <c r="BN574" s="2"/>
      <c r="BO574" s="2"/>
      <c r="BP574" s="2"/>
      <c r="BQ574" s="2"/>
      <c r="BR574" s="2"/>
      <c r="BS574" s="2"/>
      <c r="BT574" s="2"/>
      <c r="BU574" s="2"/>
      <c r="BV574" s="2"/>
      <c r="BW574" s="2"/>
      <c r="BX574" s="2"/>
      <c r="BY574" s="2"/>
      <c r="BZ574" s="2"/>
      <c r="CA574" s="2"/>
      <c r="CB574" s="2"/>
      <c r="CC574" s="2"/>
      <c r="CD574" s="2"/>
      <c r="CE574" s="2"/>
      <c r="CF574" s="2"/>
    </row>
    <row r="575" spans="1:84" ht="12.65" customHeight="1" x14ac:dyDescent="0.35">
      <c r="A575" s="2" t="s">
        <v>588</v>
      </c>
      <c r="B575" s="335">
        <f>'[1]Prior Year'!CD71</f>
        <v>0</v>
      </c>
      <c r="C575" s="335">
        <f>CD71</f>
        <v>0</v>
      </c>
      <c r="D575" s="329" t="s">
        <v>529</v>
      </c>
      <c r="E575" s="329" t="s">
        <v>529</v>
      </c>
      <c r="F575" s="336"/>
      <c r="G575" s="336"/>
      <c r="H575" s="337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  <c r="BM575" s="2"/>
      <c r="BN575" s="2"/>
      <c r="BO575" s="2"/>
      <c r="BP575" s="2"/>
      <c r="BQ575" s="2"/>
      <c r="BR575" s="2"/>
      <c r="BS575" s="2"/>
      <c r="BT575" s="2"/>
      <c r="BU575" s="2"/>
      <c r="BV575" s="2"/>
      <c r="BW575" s="2"/>
      <c r="BX575" s="2"/>
      <c r="BY575" s="2"/>
      <c r="BZ575" s="2"/>
      <c r="CA575" s="2"/>
      <c r="CB575" s="2"/>
      <c r="CC575" s="2"/>
      <c r="CD575" s="2"/>
      <c r="CE575" s="2"/>
      <c r="CF575" s="2"/>
    </row>
    <row r="576" spans="1:84" ht="12.65" customHeight="1" x14ac:dyDescent="0.3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337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  <c r="BM576" s="2"/>
      <c r="BN576" s="2"/>
      <c r="BO576" s="2"/>
      <c r="BP576" s="2"/>
      <c r="BQ576" s="2"/>
      <c r="BR576" s="2"/>
      <c r="BS576" s="2"/>
      <c r="BT576" s="2"/>
      <c r="BU576" s="2"/>
      <c r="BV576" s="2"/>
      <c r="BW576" s="2"/>
      <c r="BX576" s="2"/>
      <c r="BY576" s="2"/>
      <c r="BZ576" s="2"/>
      <c r="CA576" s="2"/>
      <c r="CB576" s="2"/>
      <c r="CC576" s="2"/>
      <c r="CD576" s="2"/>
      <c r="CE576" s="2"/>
      <c r="CF576" s="2"/>
    </row>
    <row r="577" spans="1:84" ht="12.65" customHeight="1" x14ac:dyDescent="0.3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337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2"/>
      <c r="BM577" s="2"/>
      <c r="BN577" s="2"/>
      <c r="BO577" s="2"/>
      <c r="BP577" s="2"/>
      <c r="BQ577" s="2"/>
      <c r="BR577" s="2"/>
      <c r="BS577" s="2"/>
      <c r="BT577" s="2"/>
      <c r="BU577" s="2"/>
      <c r="BV577" s="2"/>
      <c r="BW577" s="2"/>
      <c r="BX577" s="2"/>
      <c r="BY577" s="2"/>
      <c r="BZ577" s="2"/>
      <c r="CA577" s="2"/>
      <c r="CB577" s="2"/>
      <c r="CC577" s="2"/>
      <c r="CD577" s="2"/>
      <c r="CE577" s="2"/>
      <c r="CF577" s="2"/>
    </row>
    <row r="578" spans="1:84" ht="12.65" customHeight="1" x14ac:dyDescent="0.3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337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2"/>
      <c r="BM578" s="2"/>
      <c r="BN578" s="2"/>
      <c r="BO578" s="2"/>
      <c r="BP578" s="2"/>
      <c r="BQ578" s="2"/>
      <c r="BR578" s="2"/>
      <c r="BS578" s="2"/>
      <c r="BT578" s="2"/>
      <c r="BU578" s="2"/>
      <c r="BV578" s="2"/>
      <c r="BW578" s="2"/>
      <c r="BX578" s="2"/>
      <c r="BY578" s="2"/>
      <c r="BZ578" s="2"/>
      <c r="CA578" s="2"/>
      <c r="CB578" s="2"/>
      <c r="CC578" s="2"/>
      <c r="CD578" s="2"/>
      <c r="CE578" s="2"/>
      <c r="CF578" s="2"/>
    </row>
    <row r="579" spans="1:84" ht="12.65" customHeight="1" x14ac:dyDescent="0.3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  <c r="BK579" s="2"/>
      <c r="BL579" s="2"/>
      <c r="BM579" s="2"/>
      <c r="BN579" s="2"/>
      <c r="BO579" s="2"/>
      <c r="BP579" s="2"/>
      <c r="BQ579" s="2"/>
      <c r="BR579" s="2"/>
      <c r="BS579" s="2"/>
      <c r="BT579" s="2"/>
      <c r="BU579" s="2"/>
      <c r="BV579" s="2"/>
      <c r="BW579" s="2"/>
      <c r="BX579" s="2"/>
      <c r="BY579" s="2"/>
      <c r="BZ579" s="2"/>
      <c r="CA579" s="2"/>
      <c r="CB579" s="2"/>
      <c r="CC579" s="2"/>
      <c r="CD579" s="2"/>
      <c r="CE579" s="2"/>
      <c r="CF579" s="2"/>
    </row>
    <row r="580" spans="1:84" ht="12.65" customHeight="1" x14ac:dyDescent="0.3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2"/>
      <c r="BM580" s="2"/>
      <c r="BN580" s="2"/>
      <c r="BO580" s="2"/>
      <c r="BP580" s="2"/>
      <c r="BQ580" s="2"/>
      <c r="BR580" s="2"/>
      <c r="BS580" s="2"/>
      <c r="BT580" s="2"/>
      <c r="BU580" s="2"/>
      <c r="BV580" s="2"/>
      <c r="BW580" s="2"/>
      <c r="BX580" s="2"/>
      <c r="BY580" s="2"/>
      <c r="BZ580" s="2"/>
      <c r="CA580" s="2"/>
      <c r="CB580" s="2"/>
      <c r="CC580" s="2"/>
      <c r="CD580" s="2"/>
      <c r="CE580" s="2"/>
      <c r="CF580" s="2"/>
    </row>
    <row r="581" spans="1:84" ht="12.65" customHeight="1" x14ac:dyDescent="0.3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  <c r="BM581" s="2"/>
      <c r="BN581" s="2"/>
      <c r="BO581" s="2"/>
      <c r="BP581" s="2"/>
      <c r="BQ581" s="2"/>
      <c r="BR581" s="2"/>
      <c r="BS581" s="2"/>
      <c r="BT581" s="2"/>
      <c r="BU581" s="2"/>
      <c r="BV581" s="2"/>
      <c r="BW581" s="2"/>
      <c r="BX581" s="2"/>
      <c r="BY581" s="2"/>
      <c r="BZ581" s="2"/>
      <c r="CA581" s="2"/>
      <c r="CB581" s="2"/>
      <c r="CC581" s="2"/>
      <c r="CD581" s="2"/>
      <c r="CE581" s="2"/>
      <c r="CF581" s="2"/>
    </row>
    <row r="582" spans="1:84" ht="12.65" customHeight="1" x14ac:dyDescent="0.3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2"/>
      <c r="BM582" s="2"/>
      <c r="BN582" s="2"/>
      <c r="BO582" s="2"/>
      <c r="BP582" s="2"/>
      <c r="BQ582" s="2"/>
      <c r="BR582" s="2"/>
      <c r="BS582" s="2"/>
      <c r="BT582" s="2"/>
      <c r="BU582" s="2"/>
      <c r="BV582" s="2"/>
      <c r="BW582" s="2"/>
      <c r="BX582" s="2"/>
      <c r="BY582" s="2"/>
      <c r="BZ582" s="2"/>
      <c r="CA582" s="2"/>
      <c r="CB582" s="2"/>
      <c r="CC582" s="2"/>
      <c r="CD582" s="2"/>
      <c r="CE582" s="2"/>
      <c r="CF582" s="2"/>
    </row>
    <row r="583" spans="1:84" ht="12.65" customHeight="1" x14ac:dyDescent="0.3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2"/>
      <c r="BM583" s="2"/>
      <c r="BN583" s="2"/>
      <c r="BO583" s="2"/>
      <c r="BP583" s="2"/>
      <c r="BQ583" s="2"/>
      <c r="BR583" s="2"/>
      <c r="BS583" s="2"/>
      <c r="BT583" s="2"/>
      <c r="BU583" s="2"/>
      <c r="BV583" s="2"/>
      <c r="BW583" s="2"/>
      <c r="BX583" s="2"/>
      <c r="BY583" s="2"/>
      <c r="BZ583" s="2"/>
      <c r="CA583" s="2"/>
      <c r="CB583" s="2"/>
      <c r="CC583" s="2"/>
      <c r="CD583" s="2"/>
      <c r="CE583" s="2"/>
      <c r="CF583" s="2"/>
    </row>
    <row r="584" spans="1:84" ht="12.65" customHeight="1" x14ac:dyDescent="0.3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2"/>
      <c r="BM584" s="2"/>
      <c r="BN584" s="2"/>
      <c r="BO584" s="2"/>
      <c r="BP584" s="2"/>
      <c r="BQ584" s="2"/>
      <c r="BR584" s="2"/>
      <c r="BS584" s="2"/>
      <c r="BT584" s="2"/>
      <c r="BU584" s="2"/>
      <c r="BV584" s="2"/>
      <c r="BW584" s="2"/>
      <c r="BX584" s="2"/>
      <c r="BY584" s="2"/>
      <c r="BZ584" s="2"/>
      <c r="CA584" s="2"/>
      <c r="CB584" s="2"/>
      <c r="CC584" s="2"/>
      <c r="CD584" s="2"/>
      <c r="CE584" s="2"/>
      <c r="CF584" s="2"/>
    </row>
    <row r="585" spans="1:84" ht="12.65" customHeight="1" x14ac:dyDescent="0.3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  <c r="BK585" s="2"/>
      <c r="BL585" s="2"/>
      <c r="BM585" s="2"/>
      <c r="BN585" s="2"/>
      <c r="BO585" s="2"/>
      <c r="BP585" s="2"/>
      <c r="BQ585" s="2"/>
      <c r="BR585" s="2"/>
      <c r="BS585" s="2"/>
      <c r="BT585" s="2"/>
      <c r="BU585" s="2"/>
      <c r="BV585" s="2"/>
      <c r="BW585" s="2"/>
      <c r="BX585" s="2"/>
      <c r="BY585" s="2"/>
      <c r="BZ585" s="2"/>
      <c r="CA585" s="2"/>
      <c r="CB585" s="2"/>
      <c r="CC585" s="2"/>
      <c r="CD585" s="2"/>
      <c r="CE585" s="2"/>
      <c r="CF585" s="2"/>
    </row>
    <row r="586" spans="1:84" ht="12.65" customHeight="1" x14ac:dyDescent="0.3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2"/>
      <c r="BM586" s="2"/>
      <c r="BN586" s="2"/>
      <c r="BO586" s="2"/>
      <c r="BP586" s="2"/>
      <c r="BQ586" s="2"/>
      <c r="BR586" s="2"/>
      <c r="BS586" s="2"/>
      <c r="BT586" s="2"/>
      <c r="BU586" s="2"/>
      <c r="BV586" s="2"/>
      <c r="BW586" s="2"/>
      <c r="BX586" s="2"/>
      <c r="BY586" s="2"/>
      <c r="BZ586" s="2"/>
      <c r="CA586" s="2"/>
      <c r="CB586" s="2"/>
      <c r="CC586" s="2"/>
      <c r="CD586" s="2"/>
      <c r="CE586" s="2"/>
      <c r="CF586" s="2"/>
    </row>
    <row r="587" spans="1:84" ht="12.65" customHeight="1" x14ac:dyDescent="0.3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2"/>
      <c r="BM587" s="2"/>
      <c r="BN587" s="2"/>
      <c r="BO587" s="2"/>
      <c r="BP587" s="2"/>
      <c r="BQ587" s="2"/>
      <c r="BR587" s="2"/>
      <c r="BS587" s="2"/>
      <c r="BT587" s="2"/>
      <c r="BU587" s="2"/>
      <c r="BV587" s="2"/>
      <c r="BW587" s="2"/>
      <c r="BX587" s="2"/>
      <c r="BY587" s="2"/>
      <c r="BZ587" s="2"/>
      <c r="CA587" s="2"/>
      <c r="CB587" s="2"/>
      <c r="CC587" s="2"/>
      <c r="CD587" s="2"/>
      <c r="CE587" s="2"/>
      <c r="CF587" s="2"/>
    </row>
    <row r="588" spans="1:84" ht="12.65" customHeight="1" x14ac:dyDescent="0.3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  <c r="BM588" s="2"/>
      <c r="BN588" s="2"/>
      <c r="BO588" s="2"/>
      <c r="BP588" s="2"/>
      <c r="BQ588" s="2"/>
      <c r="BR588" s="2"/>
      <c r="BS588" s="2"/>
      <c r="BT588" s="2"/>
      <c r="BU588" s="2"/>
      <c r="BV588" s="2"/>
      <c r="BW588" s="2"/>
      <c r="BX588" s="2"/>
      <c r="BY588" s="2"/>
      <c r="BZ588" s="2"/>
      <c r="CA588" s="2"/>
      <c r="CB588" s="2"/>
      <c r="CC588" s="2"/>
      <c r="CD588" s="2"/>
      <c r="CE588" s="2"/>
      <c r="CF588" s="2"/>
    </row>
    <row r="589" spans="1:84" ht="12.65" customHeight="1" x14ac:dyDescent="0.3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2"/>
      <c r="BM589" s="2"/>
      <c r="BN589" s="2"/>
      <c r="BO589" s="2"/>
      <c r="BP589" s="2"/>
      <c r="BQ589" s="2"/>
      <c r="BR589" s="2"/>
      <c r="BS589" s="2"/>
      <c r="BT589" s="2"/>
      <c r="BU589" s="2"/>
      <c r="BV589" s="2"/>
      <c r="BW589" s="2"/>
      <c r="BX589" s="2"/>
      <c r="BY589" s="2"/>
      <c r="BZ589" s="2"/>
      <c r="CA589" s="2"/>
      <c r="CB589" s="2"/>
      <c r="CC589" s="2"/>
      <c r="CD589" s="2"/>
      <c r="CE589" s="2"/>
      <c r="CF589" s="2"/>
    </row>
    <row r="590" spans="1:84" ht="12.65" customHeight="1" x14ac:dyDescent="0.3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  <c r="BK590" s="2"/>
      <c r="BL590" s="2"/>
      <c r="BM590" s="2"/>
      <c r="BN590" s="2"/>
      <c r="BO590" s="2"/>
      <c r="BP590" s="2"/>
      <c r="BQ590" s="2"/>
      <c r="BR590" s="2"/>
      <c r="BS590" s="2"/>
      <c r="BT590" s="2"/>
      <c r="BU590" s="2"/>
      <c r="BV590" s="2"/>
      <c r="BW590" s="2"/>
      <c r="BX590" s="2"/>
      <c r="BY590" s="2"/>
      <c r="BZ590" s="2"/>
      <c r="CA590" s="2"/>
      <c r="CB590" s="2"/>
      <c r="CC590" s="2"/>
      <c r="CD590" s="2"/>
      <c r="CE590" s="2"/>
      <c r="CF590" s="2"/>
    </row>
    <row r="591" spans="1:84" ht="12.65" customHeight="1" x14ac:dyDescent="0.3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  <c r="BK591" s="2"/>
      <c r="BL591" s="2"/>
      <c r="BM591" s="2"/>
      <c r="BN591" s="2"/>
      <c r="BO591" s="2"/>
      <c r="BP591" s="2"/>
      <c r="BQ591" s="2"/>
      <c r="BR591" s="2"/>
      <c r="BS591" s="2"/>
      <c r="BT591" s="2"/>
      <c r="BU591" s="2"/>
      <c r="BV591" s="2"/>
      <c r="BW591" s="2"/>
      <c r="BX591" s="2"/>
      <c r="BY591" s="2"/>
      <c r="BZ591" s="2"/>
      <c r="CA591" s="2"/>
      <c r="CB591" s="2"/>
      <c r="CC591" s="2"/>
      <c r="CD591" s="2"/>
      <c r="CE591" s="2"/>
      <c r="CF591" s="2"/>
    </row>
    <row r="592" spans="1:84" ht="12.65" customHeight="1" x14ac:dyDescent="0.3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  <c r="BK592" s="2"/>
      <c r="BL592" s="2"/>
      <c r="BM592" s="2"/>
      <c r="BN592" s="2"/>
      <c r="BO592" s="2"/>
      <c r="BP592" s="2"/>
      <c r="BQ592" s="2"/>
      <c r="BR592" s="2"/>
      <c r="BS592" s="2"/>
      <c r="BT592" s="2"/>
      <c r="BU592" s="2"/>
      <c r="BV592" s="2"/>
      <c r="BW592" s="2"/>
      <c r="BX592" s="2"/>
      <c r="BY592" s="2"/>
      <c r="BZ592" s="2"/>
      <c r="CA592" s="2"/>
      <c r="CB592" s="2"/>
      <c r="CC592" s="2"/>
      <c r="CD592" s="2"/>
      <c r="CE592" s="2"/>
      <c r="CF592" s="2"/>
    </row>
    <row r="593" spans="1:84" ht="12.65" customHeight="1" x14ac:dyDescent="0.3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  <c r="BK593" s="2"/>
      <c r="BL593" s="2"/>
      <c r="BM593" s="2"/>
      <c r="BN593" s="2"/>
      <c r="BO593" s="2"/>
      <c r="BP593" s="2"/>
      <c r="BQ593" s="2"/>
      <c r="BR593" s="2"/>
      <c r="BS593" s="2"/>
      <c r="BT593" s="2"/>
      <c r="BU593" s="2"/>
      <c r="BV593" s="2"/>
      <c r="BW593" s="2"/>
      <c r="BX593" s="2"/>
      <c r="BY593" s="2"/>
      <c r="BZ593" s="2"/>
      <c r="CA593" s="2"/>
      <c r="CB593" s="2"/>
      <c r="CC593" s="2"/>
      <c r="CD593" s="2"/>
      <c r="CE593" s="2"/>
      <c r="CF593" s="2"/>
    </row>
    <row r="594" spans="1:84" ht="12.65" customHeight="1" x14ac:dyDescent="0.3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  <c r="BK594" s="2"/>
      <c r="BL594" s="2"/>
      <c r="BM594" s="2"/>
      <c r="BN594" s="2"/>
      <c r="BO594" s="2"/>
      <c r="BP594" s="2"/>
      <c r="BQ594" s="2"/>
      <c r="BR594" s="2"/>
      <c r="BS594" s="2"/>
      <c r="BT594" s="2"/>
      <c r="BU594" s="2"/>
      <c r="BV594" s="2"/>
      <c r="BW594" s="2"/>
      <c r="BX594" s="2"/>
      <c r="BY594" s="2"/>
      <c r="BZ594" s="2"/>
      <c r="CA594" s="2"/>
      <c r="CB594" s="2"/>
      <c r="CC594" s="2"/>
      <c r="CD594" s="2"/>
      <c r="CE594" s="2"/>
      <c r="CF594" s="2"/>
    </row>
    <row r="595" spans="1:84" ht="12.65" customHeight="1" x14ac:dyDescent="0.3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  <c r="BK595" s="2"/>
      <c r="BL595" s="2"/>
      <c r="BM595" s="2"/>
      <c r="BN595" s="2"/>
      <c r="BO595" s="2"/>
      <c r="BP595" s="2"/>
      <c r="BQ595" s="2"/>
      <c r="BR595" s="2"/>
      <c r="BS595" s="2"/>
      <c r="BT595" s="2"/>
      <c r="BU595" s="2"/>
      <c r="BV595" s="2"/>
      <c r="BW595" s="2"/>
      <c r="BX595" s="2"/>
      <c r="BY595" s="2"/>
      <c r="BZ595" s="2"/>
      <c r="CA595" s="2"/>
      <c r="CB595" s="2"/>
      <c r="CC595" s="2"/>
      <c r="CD595" s="2"/>
      <c r="CE595" s="2"/>
      <c r="CF595" s="2"/>
    </row>
    <row r="596" spans="1:84" ht="12.65" customHeight="1" x14ac:dyDescent="0.3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  <c r="BK596" s="2"/>
      <c r="BL596" s="2"/>
      <c r="BM596" s="2"/>
      <c r="BN596" s="2"/>
      <c r="BO596" s="2"/>
      <c r="BP596" s="2"/>
      <c r="BQ596" s="2"/>
      <c r="BR596" s="2"/>
      <c r="BS596" s="2"/>
      <c r="BT596" s="2"/>
      <c r="BU596" s="2"/>
      <c r="BV596" s="2"/>
      <c r="BW596" s="2"/>
      <c r="BX596" s="2"/>
      <c r="BY596" s="2"/>
      <c r="BZ596" s="2"/>
      <c r="CA596" s="2"/>
      <c r="CB596" s="2"/>
      <c r="CC596" s="2"/>
      <c r="CD596" s="2"/>
      <c r="CE596" s="2"/>
      <c r="CF596" s="2"/>
    </row>
    <row r="597" spans="1:84" ht="12.65" customHeight="1" x14ac:dyDescent="0.3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2"/>
      <c r="BM597" s="2"/>
      <c r="BN597" s="2"/>
      <c r="BO597" s="2"/>
      <c r="BP597" s="2"/>
      <c r="BQ597" s="2"/>
      <c r="BR597" s="2"/>
      <c r="BS597" s="2"/>
      <c r="BT597" s="2"/>
      <c r="BU597" s="2"/>
      <c r="BV597" s="2"/>
      <c r="BW597" s="2"/>
      <c r="BX597" s="2"/>
      <c r="BY597" s="2"/>
      <c r="BZ597" s="2"/>
      <c r="CA597" s="2"/>
      <c r="CB597" s="2"/>
      <c r="CC597" s="2"/>
      <c r="CD597" s="2"/>
      <c r="CE597" s="2"/>
      <c r="CF597" s="2"/>
    </row>
    <row r="598" spans="1:84" ht="12.65" customHeight="1" x14ac:dyDescent="0.3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  <c r="BK598" s="2"/>
      <c r="BL598" s="2"/>
      <c r="BM598" s="2"/>
      <c r="BN598" s="2"/>
      <c r="BO598" s="2"/>
      <c r="BP598" s="2"/>
      <c r="BQ598" s="2"/>
      <c r="BR598" s="2"/>
      <c r="BS598" s="2"/>
      <c r="BT598" s="2"/>
      <c r="BU598" s="2"/>
      <c r="BV598" s="2"/>
      <c r="BW598" s="2"/>
      <c r="BX598" s="2"/>
      <c r="BY598" s="2"/>
      <c r="BZ598" s="2"/>
      <c r="CA598" s="2"/>
      <c r="CB598" s="2"/>
      <c r="CC598" s="2"/>
      <c r="CD598" s="2"/>
      <c r="CE598" s="2"/>
      <c r="CF598" s="2"/>
    </row>
    <row r="599" spans="1:84" ht="12.65" customHeight="1" x14ac:dyDescent="0.3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  <c r="BK599" s="2"/>
      <c r="BL599" s="2"/>
      <c r="BM599" s="2"/>
      <c r="BN599" s="2"/>
      <c r="BO599" s="2"/>
      <c r="BP599" s="2"/>
      <c r="BQ599" s="2"/>
      <c r="BR599" s="2"/>
      <c r="BS599" s="2"/>
      <c r="BT599" s="2"/>
      <c r="BU599" s="2"/>
      <c r="BV599" s="2"/>
      <c r="BW599" s="2"/>
      <c r="BX599" s="2"/>
      <c r="BY599" s="2"/>
      <c r="BZ599" s="2"/>
      <c r="CA599" s="2"/>
      <c r="CB599" s="2"/>
      <c r="CC599" s="2"/>
      <c r="CD599" s="2"/>
      <c r="CE599" s="2"/>
      <c r="CF599" s="2"/>
    </row>
    <row r="600" spans="1:84" ht="12.65" customHeight="1" x14ac:dyDescent="0.3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  <c r="BK600" s="2"/>
      <c r="BL600" s="2"/>
      <c r="BM600" s="2"/>
      <c r="BN600" s="2"/>
      <c r="BO600" s="2"/>
      <c r="BP600" s="2"/>
      <c r="BQ600" s="2"/>
      <c r="BR600" s="2"/>
      <c r="BS600" s="2"/>
      <c r="BT600" s="2"/>
      <c r="BU600" s="2"/>
      <c r="BV600" s="2"/>
      <c r="BW600" s="2"/>
      <c r="BX600" s="2"/>
      <c r="BY600" s="2"/>
      <c r="BZ600" s="2"/>
      <c r="CA600" s="2"/>
      <c r="CB600" s="2"/>
      <c r="CC600" s="2"/>
      <c r="CD600" s="2"/>
      <c r="CE600" s="2"/>
      <c r="CF600" s="2"/>
    </row>
    <row r="601" spans="1:84" ht="12.65" customHeight="1" x14ac:dyDescent="0.3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  <c r="BJ601" s="2"/>
      <c r="BK601" s="2"/>
      <c r="BL601" s="2"/>
      <c r="BM601" s="2"/>
      <c r="BN601" s="2"/>
      <c r="BO601" s="2"/>
      <c r="BP601" s="2"/>
      <c r="BQ601" s="2"/>
      <c r="BR601" s="2"/>
      <c r="BS601" s="2"/>
      <c r="BT601" s="2"/>
      <c r="BU601" s="2"/>
      <c r="BV601" s="2"/>
      <c r="BW601" s="2"/>
      <c r="BX601" s="2"/>
      <c r="BY601" s="2"/>
      <c r="BZ601" s="2"/>
      <c r="CA601" s="2"/>
      <c r="CB601" s="2"/>
      <c r="CC601" s="2"/>
      <c r="CD601" s="2"/>
      <c r="CE601" s="2"/>
      <c r="CF601" s="2"/>
    </row>
    <row r="602" spans="1:84" ht="12.65" customHeight="1" x14ac:dyDescent="0.3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  <c r="BK602" s="2"/>
      <c r="BL602" s="2"/>
      <c r="BM602" s="2"/>
      <c r="BN602" s="2"/>
      <c r="BO602" s="2"/>
      <c r="BP602" s="2"/>
      <c r="BQ602" s="2"/>
      <c r="BR602" s="2"/>
      <c r="BS602" s="2"/>
      <c r="BT602" s="2"/>
      <c r="BU602" s="2"/>
      <c r="BV602" s="2"/>
      <c r="BW602" s="2"/>
      <c r="BX602" s="2"/>
      <c r="BY602" s="2"/>
      <c r="BZ602" s="2"/>
      <c r="CA602" s="2"/>
      <c r="CB602" s="2"/>
      <c r="CC602" s="2"/>
      <c r="CD602" s="2"/>
      <c r="CE602" s="2"/>
      <c r="CF602" s="2"/>
    </row>
    <row r="603" spans="1:84" ht="12.65" customHeight="1" x14ac:dyDescent="0.3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  <c r="BK603" s="2"/>
      <c r="BL603" s="2"/>
      <c r="BM603" s="2"/>
      <c r="BN603" s="2"/>
      <c r="BO603" s="2"/>
      <c r="BP603" s="2"/>
      <c r="BQ603" s="2"/>
      <c r="BR603" s="2"/>
      <c r="BS603" s="2"/>
      <c r="BT603" s="2"/>
      <c r="BU603" s="2"/>
      <c r="BV603" s="2"/>
      <c r="BW603" s="2"/>
      <c r="BX603" s="2"/>
      <c r="BY603" s="2"/>
      <c r="BZ603" s="2"/>
      <c r="CA603" s="2"/>
      <c r="CB603" s="2"/>
      <c r="CC603" s="2"/>
      <c r="CD603" s="2"/>
      <c r="CE603" s="2"/>
      <c r="CF603" s="2"/>
    </row>
    <row r="604" spans="1:84" ht="12.65" customHeight="1" x14ac:dyDescent="0.3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2"/>
      <c r="BN604" s="2"/>
      <c r="BO604" s="2"/>
      <c r="BP604" s="2"/>
      <c r="BQ604" s="2"/>
      <c r="BR604" s="2"/>
      <c r="BS604" s="2"/>
      <c r="BT604" s="2"/>
      <c r="BU604" s="2"/>
      <c r="BV604" s="2"/>
      <c r="BW604" s="2"/>
      <c r="BX604" s="2"/>
      <c r="BY604" s="2"/>
      <c r="BZ604" s="2"/>
      <c r="CA604" s="2"/>
      <c r="CB604" s="2"/>
      <c r="CC604" s="2"/>
      <c r="CD604" s="2"/>
      <c r="CE604" s="2"/>
      <c r="CF604" s="2"/>
    </row>
    <row r="605" spans="1:84" ht="12.65" customHeight="1" x14ac:dyDescent="0.3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2"/>
      <c r="BN605" s="2"/>
      <c r="BO605" s="2"/>
      <c r="BP605" s="2"/>
      <c r="BQ605" s="2"/>
      <c r="BR605" s="2"/>
      <c r="BS605" s="2"/>
      <c r="BT605" s="2"/>
      <c r="BU605" s="2"/>
      <c r="BV605" s="2"/>
      <c r="BW605" s="2"/>
      <c r="BX605" s="2"/>
      <c r="BY605" s="2"/>
      <c r="BZ605" s="2"/>
      <c r="CA605" s="2"/>
      <c r="CB605" s="2"/>
      <c r="CC605" s="2"/>
      <c r="CD605" s="2"/>
      <c r="CE605" s="2"/>
      <c r="CF605" s="2"/>
    </row>
    <row r="606" spans="1:84" ht="12.65" customHeight="1" x14ac:dyDescent="0.3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  <c r="BN606" s="2"/>
      <c r="BO606" s="2"/>
      <c r="BP606" s="2"/>
      <c r="BQ606" s="2"/>
      <c r="BR606" s="2"/>
      <c r="BS606" s="2"/>
      <c r="BT606" s="2"/>
      <c r="BU606" s="2"/>
      <c r="BV606" s="2"/>
      <c r="BW606" s="2"/>
      <c r="BX606" s="2"/>
      <c r="BY606" s="2"/>
      <c r="BZ606" s="2"/>
      <c r="CA606" s="2"/>
      <c r="CB606" s="2"/>
      <c r="CC606" s="2"/>
      <c r="CD606" s="2"/>
      <c r="CE606" s="2"/>
      <c r="CF606" s="2"/>
    </row>
    <row r="607" spans="1:84" ht="12.65" customHeight="1" x14ac:dyDescent="0.3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  <c r="BN607" s="2"/>
      <c r="BO607" s="2"/>
      <c r="BP607" s="2"/>
      <c r="BQ607" s="2"/>
      <c r="BR607" s="2"/>
      <c r="BS607" s="2"/>
      <c r="BT607" s="2"/>
      <c r="BU607" s="2"/>
      <c r="BV607" s="2"/>
      <c r="BW607" s="2"/>
      <c r="BX607" s="2"/>
      <c r="BY607" s="2"/>
      <c r="BZ607" s="2"/>
      <c r="CA607" s="2"/>
      <c r="CB607" s="2"/>
      <c r="CC607" s="2"/>
      <c r="CD607" s="2"/>
      <c r="CE607" s="2"/>
      <c r="CF607" s="2"/>
    </row>
    <row r="608" spans="1:84" ht="12.65" customHeight="1" x14ac:dyDescent="0.3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  <c r="BM608" s="2"/>
      <c r="BN608" s="2"/>
      <c r="BO608" s="2"/>
      <c r="BP608" s="2"/>
      <c r="BQ608" s="2"/>
      <c r="BR608" s="2"/>
      <c r="BS608" s="2"/>
      <c r="BT608" s="2"/>
      <c r="BU608" s="2"/>
      <c r="BV608" s="2"/>
      <c r="BW608" s="2"/>
      <c r="BX608" s="2"/>
      <c r="BY608" s="2"/>
      <c r="BZ608" s="2"/>
      <c r="CA608" s="2"/>
      <c r="CB608" s="2"/>
      <c r="CC608" s="2"/>
      <c r="CD608" s="2"/>
      <c r="CE608" s="2"/>
      <c r="CF608" s="2"/>
    </row>
    <row r="609" spans="1:84" ht="12.65" customHeight="1" x14ac:dyDescent="0.3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  <c r="BN609" s="2"/>
      <c r="BO609" s="2"/>
      <c r="BP609" s="2"/>
      <c r="BQ609" s="2"/>
      <c r="BR609" s="2"/>
      <c r="BS609" s="2"/>
      <c r="BT609" s="2"/>
      <c r="BU609" s="2"/>
      <c r="BV609" s="2"/>
      <c r="BW609" s="2"/>
      <c r="BX609" s="2"/>
      <c r="BY609" s="2"/>
      <c r="BZ609" s="2"/>
      <c r="CA609" s="2"/>
      <c r="CB609" s="2"/>
      <c r="CC609" s="2"/>
      <c r="CD609" s="2"/>
      <c r="CE609" s="2"/>
      <c r="CF609" s="2"/>
    </row>
    <row r="610" spans="1:84" ht="12.65" customHeight="1" x14ac:dyDescent="0.3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  <c r="BN610" s="2"/>
      <c r="BO610" s="2"/>
      <c r="BP610" s="2"/>
      <c r="BQ610" s="2"/>
      <c r="BR610" s="2"/>
      <c r="BS610" s="2"/>
      <c r="BT610" s="2"/>
      <c r="BU610" s="2"/>
      <c r="BV610" s="2"/>
      <c r="BW610" s="2"/>
      <c r="BX610" s="2"/>
      <c r="BY610" s="2"/>
      <c r="BZ610" s="2"/>
      <c r="CA610" s="2"/>
      <c r="CB610" s="2"/>
      <c r="CC610" s="2"/>
      <c r="CD610" s="2"/>
      <c r="CE610" s="2"/>
      <c r="CF610" s="2"/>
    </row>
    <row r="611" spans="1:84" ht="12.65" customHeight="1" x14ac:dyDescent="0.3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2"/>
      <c r="BO611" s="2"/>
      <c r="BP611" s="2"/>
      <c r="BQ611" s="2"/>
      <c r="BR611" s="2"/>
      <c r="BS611" s="2"/>
      <c r="BT611" s="2"/>
      <c r="BU611" s="2"/>
      <c r="BV611" s="2"/>
      <c r="BW611" s="2"/>
      <c r="BX611" s="2"/>
      <c r="BY611" s="2"/>
      <c r="BZ611" s="2"/>
      <c r="CA611" s="2"/>
      <c r="CB611" s="2"/>
      <c r="CC611" s="2"/>
      <c r="CD611" s="2"/>
      <c r="CE611" s="2"/>
      <c r="CF611" s="2"/>
    </row>
    <row r="612" spans="1:84" ht="12.65" customHeight="1" x14ac:dyDescent="0.35">
      <c r="A612" s="338"/>
      <c r="B612" s="2"/>
      <c r="C612" s="329" t="s">
        <v>589</v>
      </c>
      <c r="D612" s="2">
        <f>CE76-(BE76+CD76)</f>
        <v>52062</v>
      </c>
      <c r="E612" s="2">
        <f>SUM(C624:D647)+SUM(C668:D713)</f>
        <v>22534366.010230958</v>
      </c>
      <c r="F612" s="2">
        <f>CE64-(AX64+BD64+BE64+BG64+BJ64+BN64+BP64+BQ64+CB64+CC64+CD64)</f>
        <v>1622515.6799999992</v>
      </c>
      <c r="G612" s="2">
        <f>CE77-(AX77+AY77+BD77+BE77+BG77+BJ77+BN77+BP77+BQ77+CB77+CC77+CD77)</f>
        <v>4752</v>
      </c>
      <c r="H612" s="328">
        <f>CE60-(AX60+AY60+AZ60+BD60+BE60+BG60+BJ60+BN60+BO60+BP60+BQ60+BR60+CB60+CC60+CD60)</f>
        <v>0</v>
      </c>
      <c r="I612" s="2">
        <f>CE78-(AX78+AY78+AZ78+BD78+BE78+BF78+BG78+BJ78+BN78+BO78+BP78+BQ78+BR78+CB78+CC78+CD78)</f>
        <v>0</v>
      </c>
      <c r="J612" s="2">
        <f>CE79-(AX79+AY79+AZ79+BA79+BD79+BE79+BF79+BG79+BJ79+BN79+BO79+BP79+BQ79+BR79+CB79+CC79+CD79)</f>
        <v>0</v>
      </c>
      <c r="K612" s="2">
        <f>CE75-(AW75+AX75+AY75+AZ75+BA75+BB75+BC75+BD75+BE75+BF75+BG75+BH75+BI75+BJ75+BK75+BL75+BM75+BN75+BO75+BP75+BQ75+BR75+BS75+BT75+BU75+BV75+BW75+BX75+CB75+CC75+CD75)</f>
        <v>44794361.230000004</v>
      </c>
      <c r="L612" s="328">
        <f>CE80-(AW80+AX80+AY80+AZ80+BA80+BB80+BC80+BD80+BE80+BF80+BG80+BH80+BI80+BJ80+BK80+BL80+BM80+BN80+BO80+BP80+BQ80+BR80+BS80+BT80+BU80+BV80+BW80+BX80+BY80+BZ80+CA80+CB80+CC80+CD80)</f>
        <v>23.910000000000004</v>
      </c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2"/>
      <c r="BN612" s="2"/>
      <c r="BO612" s="2"/>
      <c r="BP612" s="2"/>
      <c r="BQ612" s="2"/>
      <c r="BR612" s="2"/>
      <c r="BS612" s="2"/>
      <c r="BT612" s="2"/>
      <c r="BU612" s="2"/>
      <c r="BV612" s="2"/>
      <c r="BW612" s="2"/>
      <c r="BX612" s="2"/>
      <c r="BY612" s="2"/>
      <c r="BZ612" s="2"/>
      <c r="CA612" s="2"/>
      <c r="CB612" s="2"/>
      <c r="CC612" s="2"/>
      <c r="CD612" s="2"/>
      <c r="CE612" s="2"/>
      <c r="CF612" s="2"/>
    </row>
    <row r="613" spans="1:84" ht="12.65" customHeight="1" x14ac:dyDescent="0.35">
      <c r="A613" s="338"/>
      <c r="B613" s="2"/>
      <c r="C613" s="329" t="s">
        <v>590</v>
      </c>
      <c r="D613" s="329" t="s">
        <v>591</v>
      </c>
      <c r="E613" s="332" t="s">
        <v>592</v>
      </c>
      <c r="F613" s="329" t="s">
        <v>593</v>
      </c>
      <c r="G613" s="329" t="s">
        <v>594</v>
      </c>
      <c r="H613" s="329" t="s">
        <v>595</v>
      </c>
      <c r="I613" s="329" t="s">
        <v>596</v>
      </c>
      <c r="J613" s="329" t="s">
        <v>597</v>
      </c>
      <c r="K613" s="329" t="s">
        <v>598</v>
      </c>
      <c r="L613" s="332" t="s">
        <v>599</v>
      </c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2"/>
      <c r="BO613" s="2"/>
      <c r="BP613" s="2"/>
      <c r="BQ613" s="2"/>
      <c r="BR613" s="2"/>
      <c r="BS613" s="2"/>
      <c r="BT613" s="2"/>
      <c r="BU613" s="2"/>
      <c r="BV613" s="2"/>
      <c r="BW613" s="2"/>
      <c r="BX613" s="2"/>
      <c r="BY613" s="2"/>
      <c r="BZ613" s="2"/>
      <c r="CA613" s="2"/>
      <c r="CB613" s="2"/>
      <c r="CC613" s="2"/>
      <c r="CD613" s="2"/>
      <c r="CE613" s="2"/>
      <c r="CF613" s="2"/>
    </row>
    <row r="614" spans="1:84" ht="12.65" customHeight="1" x14ac:dyDescent="0.35">
      <c r="A614" s="338">
        <v>8430</v>
      </c>
      <c r="B614" s="332" t="s">
        <v>140</v>
      </c>
      <c r="C614" s="2">
        <f>BE71</f>
        <v>998523.08999999985</v>
      </c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324" t="s">
        <v>600</v>
      </c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2"/>
      <c r="BN614" s="2"/>
      <c r="BO614" s="2"/>
      <c r="BP614" s="2"/>
      <c r="BQ614" s="2"/>
      <c r="BR614" s="2"/>
      <c r="BS614" s="2"/>
      <c r="BT614" s="2"/>
      <c r="BU614" s="2"/>
      <c r="BV614" s="2"/>
      <c r="BW614" s="2"/>
      <c r="BX614" s="2"/>
      <c r="BY614" s="2"/>
      <c r="BZ614" s="2"/>
      <c r="CA614" s="2"/>
      <c r="CB614" s="2"/>
      <c r="CC614" s="2"/>
      <c r="CD614" s="2"/>
      <c r="CE614" s="2"/>
      <c r="CF614" s="2"/>
    </row>
    <row r="615" spans="1:84" ht="12.65" customHeight="1" x14ac:dyDescent="0.35">
      <c r="A615" s="338"/>
      <c r="B615" s="332" t="s">
        <v>601</v>
      </c>
      <c r="C615" s="339">
        <f>CD69-CD70</f>
        <v>0</v>
      </c>
      <c r="D615" s="340">
        <f>SUM(C614:C615)</f>
        <v>998523.08999999985</v>
      </c>
      <c r="E615" s="2"/>
      <c r="F615" s="2"/>
      <c r="G615" s="2"/>
      <c r="H615" s="2"/>
      <c r="I615" s="2"/>
      <c r="J615" s="2"/>
      <c r="K615" s="2"/>
      <c r="L615" s="2"/>
      <c r="M615" s="2"/>
      <c r="N615" s="324" t="s">
        <v>602</v>
      </c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  <c r="BM615" s="2"/>
      <c r="BN615" s="2"/>
      <c r="BO615" s="2"/>
      <c r="BP615" s="2"/>
      <c r="BQ615" s="2"/>
      <c r="BR615" s="2"/>
      <c r="BS615" s="2"/>
      <c r="BT615" s="2"/>
      <c r="BU615" s="2"/>
      <c r="BV615" s="2"/>
      <c r="BW615" s="2"/>
      <c r="BX615" s="2"/>
      <c r="BY615" s="2"/>
      <c r="BZ615" s="2"/>
      <c r="CA615" s="2"/>
      <c r="CB615" s="2"/>
      <c r="CC615" s="2"/>
      <c r="CD615" s="2"/>
      <c r="CE615" s="2"/>
      <c r="CF615" s="2"/>
    </row>
    <row r="616" spans="1:84" ht="12.65" customHeight="1" x14ac:dyDescent="0.35">
      <c r="A616" s="338">
        <v>8310</v>
      </c>
      <c r="B616" s="341" t="s">
        <v>603</v>
      </c>
      <c r="C616" s="2">
        <f>AX71</f>
        <v>0</v>
      </c>
      <c r="D616" s="2">
        <f>(D615/D612)*AX76</f>
        <v>0</v>
      </c>
      <c r="E616" s="2"/>
      <c r="F616" s="2"/>
      <c r="G616" s="2"/>
      <c r="H616" s="2"/>
      <c r="I616" s="2"/>
      <c r="J616" s="2"/>
      <c r="K616" s="2"/>
      <c r="L616" s="2"/>
      <c r="M616" s="2"/>
      <c r="N616" s="324" t="s">
        <v>604</v>
      </c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  <c r="BM616" s="2"/>
      <c r="BN616" s="2"/>
      <c r="BO616" s="2"/>
      <c r="BP616" s="2"/>
      <c r="BQ616" s="2"/>
      <c r="BR616" s="2"/>
      <c r="BS616" s="2"/>
      <c r="BT616" s="2"/>
      <c r="BU616" s="2"/>
      <c r="BV616" s="2"/>
      <c r="BW616" s="2"/>
      <c r="BX616" s="2"/>
      <c r="BY616" s="2"/>
      <c r="BZ616" s="2"/>
      <c r="CA616" s="2"/>
      <c r="CB616" s="2"/>
      <c r="CC616" s="2"/>
      <c r="CD616" s="2"/>
      <c r="CE616" s="2"/>
      <c r="CF616" s="2"/>
    </row>
    <row r="617" spans="1:84" ht="12.65" customHeight="1" x14ac:dyDescent="0.35">
      <c r="A617" s="338">
        <v>8510</v>
      </c>
      <c r="B617" s="341" t="s">
        <v>145</v>
      </c>
      <c r="C617" s="2">
        <f>BJ71</f>
        <v>328272.90000000002</v>
      </c>
      <c r="D617" s="2">
        <f>(D615/D612)*BJ76</f>
        <v>13425.649475625214</v>
      </c>
      <c r="E617" s="2"/>
      <c r="F617" s="2"/>
      <c r="G617" s="2"/>
      <c r="H617" s="2"/>
      <c r="I617" s="2"/>
      <c r="J617" s="2"/>
      <c r="K617" s="2"/>
      <c r="L617" s="2"/>
      <c r="M617" s="2"/>
      <c r="N617" s="324" t="s">
        <v>605</v>
      </c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  <c r="BN617" s="2"/>
      <c r="BO617" s="2"/>
      <c r="BP617" s="2"/>
      <c r="BQ617" s="2"/>
      <c r="BR617" s="2"/>
      <c r="BS617" s="2"/>
      <c r="BT617" s="2"/>
      <c r="BU617" s="2"/>
      <c r="BV617" s="2"/>
      <c r="BW617" s="2"/>
      <c r="BX617" s="2"/>
      <c r="BY617" s="2"/>
      <c r="BZ617" s="2"/>
      <c r="CA617" s="2"/>
      <c r="CB617" s="2"/>
      <c r="CC617" s="2"/>
      <c r="CD617" s="2"/>
      <c r="CE617" s="2"/>
      <c r="CF617" s="2"/>
    </row>
    <row r="618" spans="1:84" ht="12.65" customHeight="1" x14ac:dyDescent="0.35">
      <c r="A618" s="338">
        <v>8470</v>
      </c>
      <c r="B618" s="341" t="s">
        <v>606</v>
      </c>
      <c r="C618" s="2">
        <f>BG71</f>
        <v>0</v>
      </c>
      <c r="D618" s="2">
        <f>(D615/D612)*BG76</f>
        <v>0</v>
      </c>
      <c r="E618" s="2"/>
      <c r="F618" s="2"/>
      <c r="G618" s="2"/>
      <c r="H618" s="2"/>
      <c r="I618" s="2"/>
      <c r="J618" s="2"/>
      <c r="K618" s="2"/>
      <c r="L618" s="2"/>
      <c r="M618" s="2"/>
      <c r="N618" s="324" t="s">
        <v>607</v>
      </c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  <c r="BM618" s="2"/>
      <c r="BN618" s="2"/>
      <c r="BO618" s="2"/>
      <c r="BP618" s="2"/>
      <c r="BQ618" s="2"/>
      <c r="BR618" s="2"/>
      <c r="BS618" s="2"/>
      <c r="BT618" s="2"/>
      <c r="BU618" s="2"/>
      <c r="BV618" s="2"/>
      <c r="BW618" s="2"/>
      <c r="BX618" s="2"/>
      <c r="BY618" s="2"/>
      <c r="BZ618" s="2"/>
      <c r="CA618" s="2"/>
      <c r="CB618" s="2"/>
      <c r="CC618" s="2"/>
      <c r="CD618" s="2"/>
      <c r="CE618" s="2"/>
      <c r="CF618" s="2"/>
    </row>
    <row r="619" spans="1:84" ht="12.65" customHeight="1" x14ac:dyDescent="0.35">
      <c r="A619" s="338">
        <v>8610</v>
      </c>
      <c r="B619" s="341" t="s">
        <v>608</v>
      </c>
      <c r="C619" s="2">
        <f>BN71</f>
        <v>3345605.6399999997</v>
      </c>
      <c r="D619" s="2">
        <f>(D615/D612)*BN76</f>
        <v>83871.950224155793</v>
      </c>
      <c r="E619" s="2"/>
      <c r="F619" s="2"/>
      <c r="G619" s="2"/>
      <c r="H619" s="2"/>
      <c r="I619" s="2"/>
      <c r="J619" s="2"/>
      <c r="K619" s="2"/>
      <c r="L619" s="2"/>
      <c r="M619" s="2"/>
      <c r="N619" s="324" t="s">
        <v>609</v>
      </c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  <c r="BM619" s="2"/>
      <c r="BN619" s="2"/>
      <c r="BO619" s="2"/>
      <c r="BP619" s="2"/>
      <c r="BQ619" s="2"/>
      <c r="BR619" s="2"/>
      <c r="BS619" s="2"/>
      <c r="BT619" s="2"/>
      <c r="BU619" s="2"/>
      <c r="BV619" s="2"/>
      <c r="BW619" s="2"/>
      <c r="BX619" s="2"/>
      <c r="BY619" s="2"/>
      <c r="BZ619" s="2"/>
      <c r="CA619" s="2"/>
      <c r="CB619" s="2"/>
      <c r="CC619" s="2"/>
      <c r="CD619" s="2"/>
      <c r="CE619" s="2"/>
      <c r="CF619" s="2"/>
    </row>
    <row r="620" spans="1:84" ht="12.65" customHeight="1" x14ac:dyDescent="0.35">
      <c r="A620" s="338">
        <v>8790</v>
      </c>
      <c r="B620" s="341" t="s">
        <v>610</v>
      </c>
      <c r="C620" s="2">
        <f>CC71</f>
        <v>84179.06</v>
      </c>
      <c r="D620" s="2">
        <f>(D615/D612)*CC76</f>
        <v>11028.212069263569</v>
      </c>
      <c r="E620" s="2"/>
      <c r="F620" s="2"/>
      <c r="G620" s="2"/>
      <c r="H620" s="2"/>
      <c r="I620" s="2"/>
      <c r="J620" s="2"/>
      <c r="K620" s="2"/>
      <c r="L620" s="2"/>
      <c r="M620" s="2"/>
      <c r="N620" s="324" t="s">
        <v>611</v>
      </c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  <c r="BM620" s="2"/>
      <c r="BN620" s="2"/>
      <c r="BO620" s="2"/>
      <c r="BP620" s="2"/>
      <c r="BQ620" s="2"/>
      <c r="BR620" s="2"/>
      <c r="BS620" s="2"/>
      <c r="BT620" s="2"/>
      <c r="BU620" s="2"/>
      <c r="BV620" s="2"/>
      <c r="BW620" s="2"/>
      <c r="BX620" s="2"/>
      <c r="BY620" s="2"/>
      <c r="BZ620" s="2"/>
      <c r="CA620" s="2"/>
      <c r="CB620" s="2"/>
      <c r="CC620" s="2"/>
      <c r="CD620" s="2"/>
      <c r="CE620" s="2"/>
      <c r="CF620" s="2"/>
    </row>
    <row r="621" spans="1:84" ht="12.65" customHeight="1" x14ac:dyDescent="0.35">
      <c r="A621" s="338">
        <v>8630</v>
      </c>
      <c r="B621" s="341" t="s">
        <v>612</v>
      </c>
      <c r="C621" s="2">
        <f>BP71</f>
        <v>0</v>
      </c>
      <c r="D621" s="2">
        <f>(D615/D612)*BP76</f>
        <v>0</v>
      </c>
      <c r="E621" s="2"/>
      <c r="F621" s="2"/>
      <c r="G621" s="2"/>
      <c r="H621" s="2"/>
      <c r="I621" s="2"/>
      <c r="J621" s="2"/>
      <c r="K621" s="2"/>
      <c r="L621" s="2"/>
      <c r="M621" s="2"/>
      <c r="N621" s="324" t="s">
        <v>613</v>
      </c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  <c r="BM621" s="2"/>
      <c r="BN621" s="2"/>
      <c r="BO621" s="2"/>
      <c r="BP621" s="2"/>
      <c r="BQ621" s="2"/>
      <c r="BR621" s="2"/>
      <c r="BS621" s="2"/>
      <c r="BT621" s="2"/>
      <c r="BU621" s="2"/>
      <c r="BV621" s="2"/>
      <c r="BW621" s="2"/>
      <c r="BX621" s="2"/>
      <c r="BY621" s="2"/>
      <c r="BZ621" s="2"/>
      <c r="CA621" s="2"/>
      <c r="CB621" s="2"/>
      <c r="CC621" s="2"/>
      <c r="CD621" s="2"/>
      <c r="CE621" s="2"/>
      <c r="CF621" s="2"/>
    </row>
    <row r="622" spans="1:84" ht="12.65" customHeight="1" x14ac:dyDescent="0.35">
      <c r="A622" s="338">
        <v>8770</v>
      </c>
      <c r="B622" s="332" t="s">
        <v>614</v>
      </c>
      <c r="C622" s="2">
        <f>CB71</f>
        <v>0</v>
      </c>
      <c r="D622" s="2">
        <f>(D615/D612)*CB76</f>
        <v>0</v>
      </c>
      <c r="E622" s="2"/>
      <c r="F622" s="2"/>
      <c r="G622" s="2"/>
      <c r="H622" s="2"/>
      <c r="I622" s="2"/>
      <c r="J622" s="2"/>
      <c r="K622" s="2"/>
      <c r="L622" s="2"/>
      <c r="M622" s="2"/>
      <c r="N622" s="324" t="s">
        <v>615</v>
      </c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2"/>
      <c r="BN622" s="2"/>
      <c r="BO622" s="2"/>
      <c r="BP622" s="2"/>
      <c r="BQ622" s="2"/>
      <c r="BR622" s="2"/>
      <c r="BS622" s="2"/>
      <c r="BT622" s="2"/>
      <c r="BU622" s="2"/>
      <c r="BV622" s="2"/>
      <c r="BW622" s="2"/>
      <c r="BX622" s="2"/>
      <c r="BY622" s="2"/>
      <c r="BZ622" s="2"/>
      <c r="CA622" s="2"/>
      <c r="CB622" s="2"/>
      <c r="CC622" s="2"/>
      <c r="CD622" s="2"/>
      <c r="CE622" s="2"/>
      <c r="CF622" s="2"/>
    </row>
    <row r="623" spans="1:84" ht="12.65" customHeight="1" x14ac:dyDescent="0.35">
      <c r="A623" s="338">
        <v>8640</v>
      </c>
      <c r="B623" s="341" t="s">
        <v>616</v>
      </c>
      <c r="C623" s="2">
        <f>BQ71</f>
        <v>0</v>
      </c>
      <c r="D623" s="2">
        <f>(D615/D612)*BQ76</f>
        <v>0</v>
      </c>
      <c r="E623" s="2">
        <f>SUM(C616:D623)</f>
        <v>3866383.4117690441</v>
      </c>
      <c r="F623" s="2"/>
      <c r="G623" s="2"/>
      <c r="H623" s="2"/>
      <c r="I623" s="2"/>
      <c r="J623" s="2"/>
      <c r="K623" s="2"/>
      <c r="L623" s="2"/>
      <c r="M623" s="2"/>
      <c r="N623" s="324" t="s">
        <v>617</v>
      </c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  <c r="BM623" s="2"/>
      <c r="BN623" s="2"/>
      <c r="BO623" s="2"/>
      <c r="BP623" s="2"/>
      <c r="BQ623" s="2"/>
      <c r="BR623" s="2"/>
      <c r="BS623" s="2"/>
      <c r="BT623" s="2"/>
      <c r="BU623" s="2"/>
      <c r="BV623" s="2"/>
      <c r="BW623" s="2"/>
      <c r="BX623" s="2"/>
      <c r="BY623" s="2"/>
      <c r="BZ623" s="2"/>
      <c r="CA623" s="2"/>
      <c r="CB623" s="2"/>
      <c r="CC623" s="2"/>
      <c r="CD623" s="2"/>
      <c r="CE623" s="2"/>
      <c r="CF623" s="2"/>
    </row>
    <row r="624" spans="1:84" ht="12.65" customHeight="1" x14ac:dyDescent="0.35">
      <c r="A624" s="338">
        <v>8420</v>
      </c>
      <c r="B624" s="341" t="s">
        <v>139</v>
      </c>
      <c r="C624" s="2">
        <f>BD71</f>
        <v>75631.849999999991</v>
      </c>
      <c r="D624" s="2">
        <f>(D615/D612)*BD76</f>
        <v>16935.497838538664</v>
      </c>
      <c r="E624" s="2">
        <f>(E623/E612)*SUM(C624:D624)</f>
        <v>15882.446304097852</v>
      </c>
      <c r="F624" s="2">
        <f>SUM(C624:E624)</f>
        <v>108449.7941426365</v>
      </c>
      <c r="G624" s="2"/>
      <c r="H624" s="2"/>
      <c r="I624" s="2"/>
      <c r="J624" s="2"/>
      <c r="K624" s="2"/>
      <c r="L624" s="2"/>
      <c r="M624" s="2"/>
      <c r="N624" s="324" t="s">
        <v>618</v>
      </c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  <c r="BM624" s="2"/>
      <c r="BN624" s="2"/>
      <c r="BO624" s="2"/>
      <c r="BP624" s="2"/>
      <c r="BQ624" s="2"/>
      <c r="BR624" s="2"/>
      <c r="BS624" s="2"/>
      <c r="BT624" s="2"/>
      <c r="BU624" s="2"/>
      <c r="BV624" s="2"/>
      <c r="BW624" s="2"/>
      <c r="BX624" s="2"/>
      <c r="BY624" s="2"/>
      <c r="BZ624" s="2"/>
      <c r="CA624" s="2"/>
      <c r="CB624" s="2"/>
      <c r="CC624" s="2"/>
      <c r="CD624" s="2"/>
      <c r="CE624" s="2"/>
      <c r="CF624" s="2"/>
    </row>
    <row r="625" spans="1:84" ht="12.65" customHeight="1" x14ac:dyDescent="0.35">
      <c r="A625" s="338">
        <v>8320</v>
      </c>
      <c r="B625" s="341" t="s">
        <v>135</v>
      </c>
      <c r="C625" s="2">
        <f>AY71</f>
        <v>559951.81999999995</v>
      </c>
      <c r="D625" s="2">
        <f>(D615/D612)*AY76</f>
        <v>23053.758099573581</v>
      </c>
      <c r="E625" s="2">
        <f>(E623/E612)*SUM(C625:D625)</f>
        <v>100030.46436316893</v>
      </c>
      <c r="F625" s="2">
        <f>(F624/F612)*AY64</f>
        <v>12071.295911282117</v>
      </c>
      <c r="G625" s="2">
        <f>SUM(C625:F625)</f>
        <v>695107.33837402449</v>
      </c>
      <c r="H625" s="2"/>
      <c r="I625" s="2"/>
      <c r="J625" s="2"/>
      <c r="K625" s="2"/>
      <c r="L625" s="2"/>
      <c r="M625" s="2"/>
      <c r="N625" s="324" t="s">
        <v>619</v>
      </c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  <c r="BM625" s="2"/>
      <c r="BN625" s="2"/>
      <c r="BO625" s="2"/>
      <c r="BP625" s="2"/>
      <c r="BQ625" s="2"/>
      <c r="BR625" s="2"/>
      <c r="BS625" s="2"/>
      <c r="BT625" s="2"/>
      <c r="BU625" s="2"/>
      <c r="BV625" s="2"/>
      <c r="BW625" s="2"/>
      <c r="BX625" s="2"/>
      <c r="BY625" s="2"/>
      <c r="BZ625" s="2"/>
      <c r="CA625" s="2"/>
      <c r="CB625" s="2"/>
      <c r="CC625" s="2"/>
      <c r="CD625" s="2"/>
      <c r="CE625" s="2"/>
      <c r="CF625" s="2"/>
    </row>
    <row r="626" spans="1:84" ht="12.65" customHeight="1" x14ac:dyDescent="0.35">
      <c r="A626" s="338">
        <v>8650</v>
      </c>
      <c r="B626" s="341" t="s">
        <v>152</v>
      </c>
      <c r="C626" s="2">
        <f>BR71</f>
        <v>0</v>
      </c>
      <c r="D626" s="2">
        <f>(D615/D612)*BR76</f>
        <v>0</v>
      </c>
      <c r="E626" s="2">
        <f>(E623/E612)*SUM(C626:D626)</f>
        <v>0</v>
      </c>
      <c r="F626" s="2">
        <f>(F624/F612)*BR64</f>
        <v>0</v>
      </c>
      <c r="G626" s="2">
        <f>(G625/G612)*BR77</f>
        <v>0</v>
      </c>
      <c r="H626" s="2"/>
      <c r="I626" s="2"/>
      <c r="J626" s="2"/>
      <c r="K626" s="2"/>
      <c r="L626" s="2"/>
      <c r="M626" s="2"/>
      <c r="N626" s="324" t="s">
        <v>620</v>
      </c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  <c r="BM626" s="2"/>
      <c r="BN626" s="2"/>
      <c r="BO626" s="2"/>
      <c r="BP626" s="2"/>
      <c r="BQ626" s="2"/>
      <c r="BR626" s="2"/>
      <c r="BS626" s="2"/>
      <c r="BT626" s="2"/>
      <c r="BU626" s="2"/>
      <c r="BV626" s="2"/>
      <c r="BW626" s="2"/>
      <c r="BX626" s="2"/>
      <c r="BY626" s="2"/>
      <c r="BZ626" s="2"/>
      <c r="CA626" s="2"/>
      <c r="CB626" s="2"/>
      <c r="CC626" s="2"/>
      <c r="CD626" s="2"/>
      <c r="CE626" s="2"/>
      <c r="CF626" s="2"/>
    </row>
    <row r="627" spans="1:84" ht="12.65" customHeight="1" x14ac:dyDescent="0.35">
      <c r="A627" s="338">
        <v>8620</v>
      </c>
      <c r="B627" s="332" t="s">
        <v>621</v>
      </c>
      <c r="C627" s="2">
        <f>BO71</f>
        <v>0</v>
      </c>
      <c r="D627" s="2">
        <f>(D615/D612)*BO76</f>
        <v>0</v>
      </c>
      <c r="E627" s="2">
        <f>(E623/E612)*SUM(C627:D627)</f>
        <v>0</v>
      </c>
      <c r="F627" s="2">
        <f>(F624/F612)*BO64</f>
        <v>0</v>
      </c>
      <c r="G627" s="2">
        <f>(G625/G612)*BO77</f>
        <v>0</v>
      </c>
      <c r="H627" s="2"/>
      <c r="I627" s="2"/>
      <c r="J627" s="2"/>
      <c r="K627" s="2"/>
      <c r="L627" s="2"/>
      <c r="M627" s="2"/>
      <c r="N627" s="324" t="s">
        <v>622</v>
      </c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  <c r="BM627" s="2"/>
      <c r="BN627" s="2"/>
      <c r="BO627" s="2"/>
      <c r="BP627" s="2"/>
      <c r="BQ627" s="2"/>
      <c r="BR627" s="2"/>
      <c r="BS627" s="2"/>
      <c r="BT627" s="2"/>
      <c r="BU627" s="2"/>
      <c r="BV627" s="2"/>
      <c r="BW627" s="2"/>
      <c r="BX627" s="2"/>
      <c r="BY627" s="2"/>
      <c r="BZ627" s="2"/>
      <c r="CA627" s="2"/>
      <c r="CB627" s="2"/>
      <c r="CC627" s="2"/>
      <c r="CD627" s="2"/>
      <c r="CE627" s="2"/>
      <c r="CF627" s="2"/>
    </row>
    <row r="628" spans="1:84" ht="12.65" customHeight="1" x14ac:dyDescent="0.35">
      <c r="A628" s="338">
        <v>8330</v>
      </c>
      <c r="B628" s="341" t="s">
        <v>136</v>
      </c>
      <c r="C628" s="2">
        <f>AZ71</f>
        <v>0</v>
      </c>
      <c r="D628" s="2">
        <f>(D615/D612)*AZ76</f>
        <v>20464.525700703005</v>
      </c>
      <c r="E628" s="2">
        <f>(E623/E612)*SUM(C628:D628)</f>
        <v>3511.246008119153</v>
      </c>
      <c r="F628" s="2">
        <f>(F624/F612)*AZ64</f>
        <v>0</v>
      </c>
      <c r="G628" s="2">
        <f>(G625/G612)*AZ77</f>
        <v>0</v>
      </c>
      <c r="H628" s="2">
        <f>SUM(C626:G628)</f>
        <v>23975.771708822158</v>
      </c>
      <c r="I628" s="2"/>
      <c r="J628" s="2"/>
      <c r="K628" s="2"/>
      <c r="L628" s="2"/>
      <c r="M628" s="2"/>
      <c r="N628" s="324" t="s">
        <v>623</v>
      </c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  <c r="BM628" s="2"/>
      <c r="BN628" s="2"/>
      <c r="BO628" s="2"/>
      <c r="BP628" s="2"/>
      <c r="BQ628" s="2"/>
      <c r="BR628" s="2"/>
      <c r="BS628" s="2"/>
      <c r="BT628" s="2"/>
      <c r="BU628" s="2"/>
      <c r="BV628" s="2"/>
      <c r="BW628" s="2"/>
      <c r="BX628" s="2"/>
      <c r="BY628" s="2"/>
      <c r="BZ628" s="2"/>
      <c r="CA628" s="2"/>
      <c r="CB628" s="2"/>
      <c r="CC628" s="2"/>
      <c r="CD628" s="2"/>
      <c r="CE628" s="2"/>
      <c r="CF628" s="2"/>
    </row>
    <row r="629" spans="1:84" ht="12.65" customHeight="1" x14ac:dyDescent="0.35">
      <c r="A629" s="338">
        <v>8460</v>
      </c>
      <c r="B629" s="341" t="s">
        <v>141</v>
      </c>
      <c r="C629" s="2">
        <f>BF71</f>
        <v>557149.74</v>
      </c>
      <c r="D629" s="2">
        <f>(D615/D612)*BF76</f>
        <v>25547.093002189693</v>
      </c>
      <c r="E629" s="2">
        <f>(E623/E612)*SUM(C629:D629)</f>
        <v>99977.490744011055</v>
      </c>
      <c r="F629" s="2">
        <f>(F624/F612)*BF64</f>
        <v>2996.7372972088301</v>
      </c>
      <c r="G629" s="2">
        <f>(G625/G612)*BF77</f>
        <v>0</v>
      </c>
      <c r="H629" s="2" t="e">
        <f>(H628/H612)*BF60</f>
        <v>#DIV/0!</v>
      </c>
      <c r="I629" s="2" t="e">
        <f>SUM(C629:H629)</f>
        <v>#DIV/0!</v>
      </c>
      <c r="J629" s="2"/>
      <c r="K629" s="2"/>
      <c r="L629" s="2"/>
      <c r="M629" s="2"/>
      <c r="N629" s="324" t="s">
        <v>624</v>
      </c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  <c r="BM629" s="2"/>
      <c r="BN629" s="2"/>
      <c r="BO629" s="2"/>
      <c r="BP629" s="2"/>
      <c r="BQ629" s="2"/>
      <c r="BR629" s="2"/>
      <c r="BS629" s="2"/>
      <c r="BT629" s="2"/>
      <c r="BU629" s="2"/>
      <c r="BV629" s="2"/>
      <c r="BW629" s="2"/>
      <c r="BX629" s="2"/>
      <c r="BY629" s="2"/>
      <c r="BZ629" s="2"/>
      <c r="CA629" s="2"/>
      <c r="CB629" s="2"/>
      <c r="CC629" s="2"/>
      <c r="CD629" s="2"/>
      <c r="CE629" s="2"/>
      <c r="CF629" s="2"/>
    </row>
    <row r="630" spans="1:84" ht="12.65" customHeight="1" x14ac:dyDescent="0.35">
      <c r="A630" s="338">
        <v>8350</v>
      </c>
      <c r="B630" s="341" t="s">
        <v>625</v>
      </c>
      <c r="C630" s="2">
        <f>BA71</f>
        <v>0</v>
      </c>
      <c r="D630" s="2">
        <f>(D615/D612)*BA76</f>
        <v>0</v>
      </c>
      <c r="E630" s="2">
        <f>(E623/E612)*SUM(C630:D630)</f>
        <v>0</v>
      </c>
      <c r="F630" s="2">
        <f>(F624/F612)*BA64</f>
        <v>0</v>
      </c>
      <c r="G630" s="2">
        <f>(G625/G612)*BA77</f>
        <v>0</v>
      </c>
      <c r="H630" s="2" t="e">
        <f>(H628/H612)*BA60</f>
        <v>#DIV/0!</v>
      </c>
      <c r="I630" s="2" t="e">
        <f>(I629/I612)*BA78</f>
        <v>#DIV/0!</v>
      </c>
      <c r="J630" s="2" t="e">
        <f>SUM(C630:I630)</f>
        <v>#DIV/0!</v>
      </c>
      <c r="K630" s="2"/>
      <c r="L630" s="2"/>
      <c r="M630" s="2"/>
      <c r="N630" s="324" t="s">
        <v>626</v>
      </c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  <c r="BM630" s="2"/>
      <c r="BN630" s="2"/>
      <c r="BO630" s="2"/>
      <c r="BP630" s="2"/>
      <c r="BQ630" s="2"/>
      <c r="BR630" s="2"/>
      <c r="BS630" s="2"/>
      <c r="BT630" s="2"/>
      <c r="BU630" s="2"/>
      <c r="BV630" s="2"/>
      <c r="BW630" s="2"/>
      <c r="BX630" s="2"/>
      <c r="BY630" s="2"/>
      <c r="BZ630" s="2"/>
      <c r="CA630" s="2"/>
      <c r="CB630" s="2"/>
      <c r="CC630" s="2"/>
      <c r="CD630" s="2"/>
      <c r="CE630" s="2"/>
      <c r="CF630" s="2"/>
    </row>
    <row r="631" spans="1:84" ht="12.65" customHeight="1" x14ac:dyDescent="0.35">
      <c r="A631" s="338">
        <v>8200</v>
      </c>
      <c r="B631" s="341" t="s">
        <v>627</v>
      </c>
      <c r="C631" s="2">
        <f>AW71</f>
        <v>114537.46</v>
      </c>
      <c r="D631" s="2">
        <f>(D615/D612)*AW76</f>
        <v>0</v>
      </c>
      <c r="E631" s="2">
        <f>(E623/E612)*SUM(C631:D631)</f>
        <v>19652.016620707302</v>
      </c>
      <c r="F631" s="2">
        <f>(F624/F612)*AW64</f>
        <v>57.476164411091034</v>
      </c>
      <c r="G631" s="2">
        <f>(G625/G612)*AW77</f>
        <v>0</v>
      </c>
      <c r="H631" s="2" t="e">
        <f>(H628/H612)*AW60</f>
        <v>#DIV/0!</v>
      </c>
      <c r="I631" s="2" t="e">
        <f>(I629/I612)*AW78</f>
        <v>#DIV/0!</v>
      </c>
      <c r="J631" s="2" t="e">
        <f>(J630/J612)*AW79</f>
        <v>#DIV/0!</v>
      </c>
      <c r="K631" s="2"/>
      <c r="L631" s="2"/>
      <c r="M631" s="2"/>
      <c r="N631" s="324" t="s">
        <v>628</v>
      </c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2"/>
      <c r="BM631" s="2"/>
      <c r="BN631" s="2"/>
      <c r="BO631" s="2"/>
      <c r="BP631" s="2"/>
      <c r="BQ631" s="2"/>
      <c r="BR631" s="2"/>
      <c r="BS631" s="2"/>
      <c r="BT631" s="2"/>
      <c r="BU631" s="2"/>
      <c r="BV631" s="2"/>
      <c r="BW631" s="2"/>
      <c r="BX631" s="2"/>
      <c r="BY631" s="2"/>
      <c r="BZ631" s="2"/>
      <c r="CA631" s="2"/>
      <c r="CB631" s="2"/>
      <c r="CC631" s="2"/>
      <c r="CD631" s="2"/>
      <c r="CE631" s="2"/>
      <c r="CF631" s="2"/>
    </row>
    <row r="632" spans="1:84" ht="12.65" customHeight="1" x14ac:dyDescent="0.35">
      <c r="A632" s="338">
        <v>8360</v>
      </c>
      <c r="B632" s="341" t="s">
        <v>629</v>
      </c>
      <c r="C632" s="2">
        <f>BB71</f>
        <v>0</v>
      </c>
      <c r="D632" s="2">
        <f>(D615/D612)*BB76</f>
        <v>0</v>
      </c>
      <c r="E632" s="2">
        <f>(E623/E612)*SUM(C632:D632)</f>
        <v>0</v>
      </c>
      <c r="F632" s="2">
        <f>(F624/F612)*BB64</f>
        <v>0</v>
      </c>
      <c r="G632" s="2">
        <f>(G625/G612)*BB77</f>
        <v>0</v>
      </c>
      <c r="H632" s="2" t="e">
        <f>(H628/H612)*BB60</f>
        <v>#DIV/0!</v>
      </c>
      <c r="I632" s="2" t="e">
        <f>(I629/I612)*BB78</f>
        <v>#DIV/0!</v>
      </c>
      <c r="J632" s="2" t="e">
        <f>(J630/J612)*BB79</f>
        <v>#DIV/0!</v>
      </c>
      <c r="K632" s="2"/>
      <c r="L632" s="2"/>
      <c r="M632" s="2"/>
      <c r="N632" s="324" t="s">
        <v>630</v>
      </c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  <c r="BM632" s="2"/>
      <c r="BN632" s="2"/>
      <c r="BO632" s="2"/>
      <c r="BP632" s="2"/>
      <c r="BQ632" s="2"/>
      <c r="BR632" s="2"/>
      <c r="BS632" s="2"/>
      <c r="BT632" s="2"/>
      <c r="BU632" s="2"/>
      <c r="BV632" s="2"/>
      <c r="BW632" s="2"/>
      <c r="BX632" s="2"/>
      <c r="BY632" s="2"/>
      <c r="BZ632" s="2"/>
      <c r="CA632" s="2"/>
      <c r="CB632" s="2"/>
      <c r="CC632" s="2"/>
      <c r="CD632" s="2"/>
      <c r="CE632" s="2"/>
      <c r="CF632" s="2"/>
    </row>
    <row r="633" spans="1:84" ht="12.65" customHeight="1" x14ac:dyDescent="0.35">
      <c r="A633" s="338">
        <v>8370</v>
      </c>
      <c r="B633" s="341" t="s">
        <v>631</v>
      </c>
      <c r="C633" s="2">
        <f>BC71</f>
        <v>16512.71</v>
      </c>
      <c r="D633" s="2">
        <f>(D615/D612)*BC76</f>
        <v>0</v>
      </c>
      <c r="E633" s="2">
        <f>(E623/E612)*SUM(C633:D633)</f>
        <v>2833.2045373882015</v>
      </c>
      <c r="F633" s="2">
        <f>(F624/F612)*BC64</f>
        <v>201.63512749431547</v>
      </c>
      <c r="G633" s="2">
        <f>(G625/G612)*BC77</f>
        <v>0</v>
      </c>
      <c r="H633" s="2" t="e">
        <f>(H628/H612)*BC60</f>
        <v>#DIV/0!</v>
      </c>
      <c r="I633" s="2" t="e">
        <f>(I629/I612)*BC78</f>
        <v>#DIV/0!</v>
      </c>
      <c r="J633" s="2" t="e">
        <f>(J630/J612)*BC79</f>
        <v>#DIV/0!</v>
      </c>
      <c r="K633" s="2"/>
      <c r="L633" s="2"/>
      <c r="M633" s="2"/>
      <c r="N633" s="324" t="s">
        <v>632</v>
      </c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  <c r="BM633" s="2"/>
      <c r="BN633" s="2"/>
      <c r="BO633" s="2"/>
      <c r="BP633" s="2"/>
      <c r="BQ633" s="2"/>
      <c r="BR633" s="2"/>
      <c r="BS633" s="2"/>
      <c r="BT633" s="2"/>
      <c r="BU633" s="2"/>
      <c r="BV633" s="2"/>
      <c r="BW633" s="2"/>
      <c r="BX633" s="2"/>
      <c r="BY633" s="2"/>
      <c r="BZ633" s="2"/>
      <c r="CA633" s="2"/>
      <c r="CB633" s="2"/>
      <c r="CC633" s="2"/>
      <c r="CD633" s="2"/>
      <c r="CE633" s="2"/>
      <c r="CF633" s="2"/>
    </row>
    <row r="634" spans="1:84" ht="12.65" customHeight="1" x14ac:dyDescent="0.35">
      <c r="A634" s="338">
        <v>8490</v>
      </c>
      <c r="B634" s="341" t="s">
        <v>633</v>
      </c>
      <c r="C634" s="2">
        <f>BI71</f>
        <v>0</v>
      </c>
      <c r="D634" s="2">
        <f>(D615/D612)*BI76</f>
        <v>0</v>
      </c>
      <c r="E634" s="2">
        <f>(E623/E612)*SUM(C634:D634)</f>
        <v>0</v>
      </c>
      <c r="F634" s="2">
        <f>(F624/F612)*BI64</f>
        <v>0</v>
      </c>
      <c r="G634" s="2">
        <f>(G625/G612)*BI77</f>
        <v>0</v>
      </c>
      <c r="H634" s="2" t="e">
        <f>(H628/H612)*BI60</f>
        <v>#DIV/0!</v>
      </c>
      <c r="I634" s="2" t="e">
        <f>(I629/I612)*BI78</f>
        <v>#DIV/0!</v>
      </c>
      <c r="J634" s="2" t="e">
        <f>(J630/J612)*BI79</f>
        <v>#DIV/0!</v>
      </c>
      <c r="K634" s="2"/>
      <c r="L634" s="2"/>
      <c r="M634" s="2"/>
      <c r="N634" s="324" t="s">
        <v>634</v>
      </c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  <c r="BM634" s="2"/>
      <c r="BN634" s="2"/>
      <c r="BO634" s="2"/>
      <c r="BP634" s="2"/>
      <c r="BQ634" s="2"/>
      <c r="BR634" s="2"/>
      <c r="BS634" s="2"/>
      <c r="BT634" s="2"/>
      <c r="BU634" s="2"/>
      <c r="BV634" s="2"/>
      <c r="BW634" s="2"/>
      <c r="BX634" s="2"/>
      <c r="BY634" s="2"/>
      <c r="BZ634" s="2"/>
      <c r="CA634" s="2"/>
      <c r="CB634" s="2"/>
      <c r="CC634" s="2"/>
      <c r="CD634" s="2"/>
      <c r="CE634" s="2"/>
      <c r="CF634" s="2"/>
    </row>
    <row r="635" spans="1:84" ht="12.65" customHeight="1" x14ac:dyDescent="0.35">
      <c r="A635" s="338">
        <v>8530</v>
      </c>
      <c r="B635" s="341" t="s">
        <v>635</v>
      </c>
      <c r="C635" s="2">
        <f>BK71</f>
        <v>980434.08</v>
      </c>
      <c r="D635" s="2">
        <f>(D615/D612)*BK76</f>
        <v>33180.53370404517</v>
      </c>
      <c r="E635" s="2">
        <f>(E623/E612)*SUM(C635:D635)</f>
        <v>173913.15675678247</v>
      </c>
      <c r="F635" s="2">
        <f>(F624/F612)*BK64</f>
        <v>304.87566014472014</v>
      </c>
      <c r="G635" s="2">
        <f>(G625/G612)*BK77</f>
        <v>0</v>
      </c>
      <c r="H635" s="2" t="e">
        <f>(H628/H612)*BK60</f>
        <v>#DIV/0!</v>
      </c>
      <c r="I635" s="2" t="e">
        <f>(I629/I612)*BK78</f>
        <v>#DIV/0!</v>
      </c>
      <c r="J635" s="2" t="e">
        <f>(J630/J612)*BK79</f>
        <v>#DIV/0!</v>
      </c>
      <c r="K635" s="2"/>
      <c r="L635" s="2"/>
      <c r="M635" s="2"/>
      <c r="N635" s="324" t="s">
        <v>636</v>
      </c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  <c r="BM635" s="2"/>
      <c r="BN635" s="2"/>
      <c r="BO635" s="2"/>
      <c r="BP635" s="2"/>
      <c r="BQ635" s="2"/>
      <c r="BR635" s="2"/>
      <c r="BS635" s="2"/>
      <c r="BT635" s="2"/>
      <c r="BU635" s="2"/>
      <c r="BV635" s="2"/>
      <c r="BW635" s="2"/>
      <c r="BX635" s="2"/>
      <c r="BY635" s="2"/>
      <c r="BZ635" s="2"/>
      <c r="CA635" s="2"/>
      <c r="CB635" s="2"/>
      <c r="CC635" s="2"/>
      <c r="CD635" s="2"/>
      <c r="CE635" s="2"/>
      <c r="CF635" s="2"/>
    </row>
    <row r="636" spans="1:84" ht="12.65" customHeight="1" x14ac:dyDescent="0.35">
      <c r="A636" s="338">
        <v>8480</v>
      </c>
      <c r="B636" s="341" t="s">
        <v>637</v>
      </c>
      <c r="C636" s="2">
        <f>BH71</f>
        <v>985304.39</v>
      </c>
      <c r="D636" s="2">
        <f>(D615/D612)*BH76</f>
        <v>30130.993323153158</v>
      </c>
      <c r="E636" s="2">
        <f>(E623/E612)*SUM(C636:D636)</f>
        <v>174225.55930890117</v>
      </c>
      <c r="F636" s="2">
        <f>(F624/F612)*BH64</f>
        <v>3326.8813480896461</v>
      </c>
      <c r="G636" s="2">
        <f>(G625/G612)*BH77</f>
        <v>0</v>
      </c>
      <c r="H636" s="2" t="e">
        <f>(H628/H612)*BH60</f>
        <v>#DIV/0!</v>
      </c>
      <c r="I636" s="2" t="e">
        <f>(I629/I612)*BH78</f>
        <v>#DIV/0!</v>
      </c>
      <c r="J636" s="2" t="e">
        <f>(J630/J612)*BH79</f>
        <v>#DIV/0!</v>
      </c>
      <c r="K636" s="2"/>
      <c r="L636" s="2"/>
      <c r="M636" s="2"/>
      <c r="N636" s="324" t="s">
        <v>638</v>
      </c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  <c r="BM636" s="2"/>
      <c r="BN636" s="2"/>
      <c r="BO636" s="2"/>
      <c r="BP636" s="2"/>
      <c r="BQ636" s="2"/>
      <c r="BR636" s="2"/>
      <c r="BS636" s="2"/>
      <c r="BT636" s="2"/>
      <c r="BU636" s="2"/>
      <c r="BV636" s="2"/>
      <c r="BW636" s="2"/>
      <c r="BX636" s="2"/>
      <c r="BY636" s="2"/>
      <c r="BZ636" s="2"/>
      <c r="CA636" s="2"/>
      <c r="CB636" s="2"/>
      <c r="CC636" s="2"/>
      <c r="CD636" s="2"/>
      <c r="CE636" s="2"/>
      <c r="CF636" s="2"/>
    </row>
    <row r="637" spans="1:84" ht="12.65" customHeight="1" x14ac:dyDescent="0.35">
      <c r="A637" s="338">
        <v>8560</v>
      </c>
      <c r="B637" s="341" t="s">
        <v>147</v>
      </c>
      <c r="C637" s="2">
        <f>BL71</f>
        <v>250080.06</v>
      </c>
      <c r="D637" s="2">
        <f>(D615/D612)*BL76</f>
        <v>7863.5946928661961</v>
      </c>
      <c r="E637" s="2">
        <f>(E623/E612)*SUM(C637:D637)</f>
        <v>44257.249892133026</v>
      </c>
      <c r="F637" s="2">
        <f>(F624/F612)*BL64</f>
        <v>643.16222335087537</v>
      </c>
      <c r="G637" s="2">
        <f>(G625/G612)*BL77</f>
        <v>0</v>
      </c>
      <c r="H637" s="2" t="e">
        <f>(H628/H612)*BL60</f>
        <v>#DIV/0!</v>
      </c>
      <c r="I637" s="2" t="e">
        <f>(I629/I612)*BL78</f>
        <v>#DIV/0!</v>
      </c>
      <c r="J637" s="2" t="e">
        <f>(J630/J612)*BL79</f>
        <v>#DIV/0!</v>
      </c>
      <c r="K637" s="2"/>
      <c r="L637" s="2"/>
      <c r="M637" s="2"/>
      <c r="N637" s="324" t="s">
        <v>639</v>
      </c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  <c r="BM637" s="2"/>
      <c r="BN637" s="2"/>
      <c r="BO637" s="2"/>
      <c r="BP637" s="2"/>
      <c r="BQ637" s="2"/>
      <c r="BR637" s="2"/>
      <c r="BS637" s="2"/>
      <c r="BT637" s="2"/>
      <c r="BU637" s="2"/>
      <c r="BV637" s="2"/>
      <c r="BW637" s="2"/>
      <c r="BX637" s="2"/>
      <c r="BY637" s="2"/>
      <c r="BZ637" s="2"/>
      <c r="CA637" s="2"/>
      <c r="CB637" s="2"/>
      <c r="CC637" s="2"/>
      <c r="CD637" s="2"/>
      <c r="CE637" s="2"/>
      <c r="CF637" s="2"/>
    </row>
    <row r="638" spans="1:84" ht="12.65" customHeight="1" x14ac:dyDescent="0.35">
      <c r="A638" s="338">
        <v>8590</v>
      </c>
      <c r="B638" s="341" t="s">
        <v>640</v>
      </c>
      <c r="C638" s="2">
        <f>BM71</f>
        <v>0</v>
      </c>
      <c r="D638" s="2">
        <f>(D615/D612)*BM76</f>
        <v>0</v>
      </c>
      <c r="E638" s="2">
        <f>(E623/E612)*SUM(C638:D638)</f>
        <v>0</v>
      </c>
      <c r="F638" s="2">
        <f>(F624/F612)*BM64</f>
        <v>0</v>
      </c>
      <c r="G638" s="2">
        <f>(G625/G612)*BM77</f>
        <v>0</v>
      </c>
      <c r="H638" s="2" t="e">
        <f>(H628/H612)*BM60</f>
        <v>#DIV/0!</v>
      </c>
      <c r="I638" s="2" t="e">
        <f>(I629/I612)*BM78</f>
        <v>#DIV/0!</v>
      </c>
      <c r="J638" s="2" t="e">
        <f>(J630/J612)*BM79</f>
        <v>#DIV/0!</v>
      </c>
      <c r="K638" s="2"/>
      <c r="L638" s="2"/>
      <c r="M638" s="2"/>
      <c r="N638" s="324" t="s">
        <v>641</v>
      </c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2"/>
      <c r="BN638" s="2"/>
      <c r="BO638" s="2"/>
      <c r="BP638" s="2"/>
      <c r="BQ638" s="2"/>
      <c r="BR638" s="2"/>
      <c r="BS638" s="2"/>
      <c r="BT638" s="2"/>
      <c r="BU638" s="2"/>
      <c r="BV638" s="2"/>
      <c r="BW638" s="2"/>
      <c r="BX638" s="2"/>
      <c r="BY638" s="2"/>
      <c r="BZ638" s="2"/>
      <c r="CA638" s="2"/>
      <c r="CB638" s="2"/>
      <c r="CC638" s="2"/>
      <c r="CD638" s="2"/>
      <c r="CE638" s="2"/>
      <c r="CF638" s="2"/>
    </row>
    <row r="639" spans="1:84" ht="12.65" customHeight="1" x14ac:dyDescent="0.35">
      <c r="A639" s="338">
        <v>8660</v>
      </c>
      <c r="B639" s="341" t="s">
        <v>642</v>
      </c>
      <c r="C639" s="2">
        <f>BS71</f>
        <v>0</v>
      </c>
      <c r="D639" s="2">
        <f>(D615/D612)*BS76</f>
        <v>0</v>
      </c>
      <c r="E639" s="2">
        <f>(E623/E612)*SUM(C639:D639)</f>
        <v>0</v>
      </c>
      <c r="F639" s="2">
        <f>(F624/F612)*BS64</f>
        <v>0</v>
      </c>
      <c r="G639" s="2">
        <f>(G625/G612)*BS77</f>
        <v>0</v>
      </c>
      <c r="H639" s="2" t="e">
        <f>(H628/H612)*BS60</f>
        <v>#DIV/0!</v>
      </c>
      <c r="I639" s="2" t="e">
        <f>(I629/I612)*BS78</f>
        <v>#DIV/0!</v>
      </c>
      <c r="J639" s="2" t="e">
        <f>(J630/J612)*BS79</f>
        <v>#DIV/0!</v>
      </c>
      <c r="K639" s="2"/>
      <c r="L639" s="2"/>
      <c r="M639" s="2"/>
      <c r="N639" s="324" t="s">
        <v>643</v>
      </c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  <c r="BM639" s="2"/>
      <c r="BN639" s="2"/>
      <c r="BO639" s="2"/>
      <c r="BP639" s="2"/>
      <c r="BQ639" s="2"/>
      <c r="BR639" s="2"/>
      <c r="BS639" s="2"/>
      <c r="BT639" s="2"/>
      <c r="BU639" s="2"/>
      <c r="BV639" s="2"/>
      <c r="BW639" s="2"/>
      <c r="BX639" s="2"/>
      <c r="BY639" s="2"/>
      <c r="BZ639" s="2"/>
      <c r="CA639" s="2"/>
      <c r="CB639" s="2"/>
      <c r="CC639" s="2"/>
      <c r="CD639" s="2"/>
      <c r="CE639" s="2"/>
      <c r="CF639" s="2"/>
    </row>
    <row r="640" spans="1:84" ht="12.65" customHeight="1" x14ac:dyDescent="0.35">
      <c r="A640" s="338">
        <v>8670</v>
      </c>
      <c r="B640" s="341" t="s">
        <v>644</v>
      </c>
      <c r="C640" s="2">
        <f>BT71</f>
        <v>0</v>
      </c>
      <c r="D640" s="2">
        <f>(D615/D612)*BT76</f>
        <v>0</v>
      </c>
      <c r="E640" s="2">
        <f>(E623/E612)*SUM(C640:D640)</f>
        <v>0</v>
      </c>
      <c r="F640" s="2">
        <f>(F624/F612)*BT64</f>
        <v>0</v>
      </c>
      <c r="G640" s="2">
        <f>(G625/G612)*BT77</f>
        <v>0</v>
      </c>
      <c r="H640" s="2" t="e">
        <f>(H628/H612)*BT60</f>
        <v>#DIV/0!</v>
      </c>
      <c r="I640" s="2" t="e">
        <f>(I629/I612)*BT78</f>
        <v>#DIV/0!</v>
      </c>
      <c r="J640" s="2" t="e">
        <f>(J630/J612)*BT79</f>
        <v>#DIV/0!</v>
      </c>
      <c r="K640" s="2"/>
      <c r="L640" s="2"/>
      <c r="M640" s="2"/>
      <c r="N640" s="324" t="s">
        <v>645</v>
      </c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  <c r="BM640" s="2"/>
      <c r="BN640" s="2"/>
      <c r="BO640" s="2"/>
      <c r="BP640" s="2"/>
      <c r="BQ640" s="2"/>
      <c r="BR640" s="2"/>
      <c r="BS640" s="2"/>
      <c r="BT640" s="2"/>
      <c r="BU640" s="2"/>
      <c r="BV640" s="2"/>
      <c r="BW640" s="2"/>
      <c r="BX640" s="2"/>
      <c r="BY640" s="2"/>
      <c r="BZ640" s="2"/>
      <c r="CA640" s="2"/>
      <c r="CB640" s="2"/>
      <c r="CC640" s="2"/>
      <c r="CD640" s="2"/>
      <c r="CE640" s="2"/>
      <c r="CF640" s="2"/>
    </row>
    <row r="641" spans="1:84" ht="12.65" customHeight="1" x14ac:dyDescent="0.35">
      <c r="A641" s="338">
        <v>8680</v>
      </c>
      <c r="B641" s="341" t="s">
        <v>646</v>
      </c>
      <c r="C641" s="2">
        <f>BU71</f>
        <v>0</v>
      </c>
      <c r="D641" s="2">
        <f>(D615/D612)*BU76</f>
        <v>0</v>
      </c>
      <c r="E641" s="2">
        <f>(E623/E612)*SUM(C641:D641)</f>
        <v>0</v>
      </c>
      <c r="F641" s="2">
        <f>(F624/F612)*BU64</f>
        <v>0</v>
      </c>
      <c r="G641" s="2">
        <f>(G625/G612)*BU77</f>
        <v>0</v>
      </c>
      <c r="H641" s="2" t="e">
        <f>(H628/H612)*BU60</f>
        <v>#DIV/0!</v>
      </c>
      <c r="I641" s="2" t="e">
        <f>(I629/I612)*BU78</f>
        <v>#DIV/0!</v>
      </c>
      <c r="J641" s="2" t="e">
        <f>(J630/J612)*BU79</f>
        <v>#DIV/0!</v>
      </c>
      <c r="K641" s="2"/>
      <c r="L641" s="2"/>
      <c r="M641" s="2"/>
      <c r="N641" s="324" t="s">
        <v>647</v>
      </c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  <c r="BM641" s="2"/>
      <c r="BN641" s="2"/>
      <c r="BO641" s="2"/>
      <c r="BP641" s="2"/>
      <c r="BQ641" s="2"/>
      <c r="BR641" s="2"/>
      <c r="BS641" s="2"/>
      <c r="BT641" s="2"/>
      <c r="BU641" s="2"/>
      <c r="BV641" s="2"/>
      <c r="BW641" s="2"/>
      <c r="BX641" s="2"/>
      <c r="BY641" s="2"/>
      <c r="BZ641" s="2"/>
      <c r="CA641" s="2"/>
      <c r="CB641" s="2"/>
      <c r="CC641" s="2"/>
      <c r="CD641" s="2"/>
      <c r="CE641" s="2"/>
      <c r="CF641" s="2"/>
    </row>
    <row r="642" spans="1:84" ht="12.65" customHeight="1" x14ac:dyDescent="0.35">
      <c r="A642" s="338">
        <v>8690</v>
      </c>
      <c r="B642" s="341" t="s">
        <v>648</v>
      </c>
      <c r="C642" s="2">
        <f>BV71</f>
        <v>429789.81999999995</v>
      </c>
      <c r="D642" s="2">
        <f>(D615/D612)*BV76</f>
        <v>19774.063727670851</v>
      </c>
      <c r="E642" s="2">
        <f>(E623/E612)*SUM(C642:D642)</f>
        <v>77134.912150888544</v>
      </c>
      <c r="F642" s="2">
        <f>(F624/F612)*BV64</f>
        <v>107.59920305539043</v>
      </c>
      <c r="G642" s="2">
        <f>(G625/G612)*BV77</f>
        <v>0</v>
      </c>
      <c r="H642" s="2" t="e">
        <f>(H628/H612)*BV60</f>
        <v>#DIV/0!</v>
      </c>
      <c r="I642" s="2" t="e">
        <f>(I629/I612)*BV78</f>
        <v>#DIV/0!</v>
      </c>
      <c r="J642" s="2" t="e">
        <f>(J630/J612)*BV79</f>
        <v>#DIV/0!</v>
      </c>
      <c r="K642" s="2"/>
      <c r="L642" s="2"/>
      <c r="M642" s="2"/>
      <c r="N642" s="324" t="s">
        <v>649</v>
      </c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  <c r="BM642" s="2"/>
      <c r="BN642" s="2"/>
      <c r="BO642" s="2"/>
      <c r="BP642" s="2"/>
      <c r="BQ642" s="2"/>
      <c r="BR642" s="2"/>
      <c r="BS642" s="2"/>
      <c r="BT642" s="2"/>
      <c r="BU642" s="2"/>
      <c r="BV642" s="2"/>
      <c r="BW642" s="2"/>
      <c r="BX642" s="2"/>
      <c r="BY642" s="2"/>
      <c r="BZ642" s="2"/>
      <c r="CA642" s="2"/>
      <c r="CB642" s="2"/>
      <c r="CC642" s="2"/>
      <c r="CD642" s="2"/>
      <c r="CE642" s="2"/>
      <c r="CF642" s="2"/>
    </row>
    <row r="643" spans="1:84" ht="12.65" customHeight="1" x14ac:dyDescent="0.35">
      <c r="A643" s="338">
        <v>8700</v>
      </c>
      <c r="B643" s="341" t="s">
        <v>650</v>
      </c>
      <c r="C643" s="2">
        <f>BW71</f>
        <v>0</v>
      </c>
      <c r="D643" s="2">
        <f>(D615/D612)*BW76</f>
        <v>0</v>
      </c>
      <c r="E643" s="2">
        <f>(E623/E612)*SUM(C643:D643)</f>
        <v>0</v>
      </c>
      <c r="F643" s="2">
        <f>(F624/F612)*BW64</f>
        <v>0</v>
      </c>
      <c r="G643" s="2">
        <f>(G625/G612)*BW77</f>
        <v>0</v>
      </c>
      <c r="H643" s="2" t="e">
        <f>(H628/H612)*BW60</f>
        <v>#DIV/0!</v>
      </c>
      <c r="I643" s="2" t="e">
        <f>(I629/I612)*BW78</f>
        <v>#DIV/0!</v>
      </c>
      <c r="J643" s="2" t="e">
        <f>(J630/J612)*BW79</f>
        <v>#DIV/0!</v>
      </c>
      <c r="K643" s="2"/>
      <c r="L643" s="2"/>
      <c r="M643" s="2"/>
      <c r="N643" s="324" t="s">
        <v>651</v>
      </c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  <c r="BM643" s="2"/>
      <c r="BN643" s="2"/>
      <c r="BO643" s="2"/>
      <c r="BP643" s="2"/>
      <c r="BQ643" s="2"/>
      <c r="BR643" s="2"/>
      <c r="BS643" s="2"/>
      <c r="BT643" s="2"/>
      <c r="BU643" s="2"/>
      <c r="BV643" s="2"/>
      <c r="BW643" s="2"/>
      <c r="BX643" s="2"/>
      <c r="BY643" s="2"/>
      <c r="BZ643" s="2"/>
      <c r="CA643" s="2"/>
      <c r="CB643" s="2"/>
      <c r="CC643" s="2"/>
      <c r="CD643" s="2"/>
      <c r="CE643" s="2"/>
      <c r="CF643" s="2"/>
    </row>
    <row r="644" spans="1:84" ht="12.65" customHeight="1" x14ac:dyDescent="0.35">
      <c r="A644" s="338">
        <v>8710</v>
      </c>
      <c r="B644" s="341" t="s">
        <v>652</v>
      </c>
      <c r="C644" s="2">
        <f>BX71</f>
        <v>0</v>
      </c>
      <c r="D644" s="2">
        <f>(D615/D612)*BX76</f>
        <v>0</v>
      </c>
      <c r="E644" s="2">
        <f>(E623/E612)*SUM(C644:D644)</f>
        <v>0</v>
      </c>
      <c r="F644" s="2">
        <f>(F624/F612)*BX64</f>
        <v>0</v>
      </c>
      <c r="G644" s="2">
        <f>(G625/G612)*BX77</f>
        <v>0</v>
      </c>
      <c r="H644" s="2" t="e">
        <f>(H628/H612)*BX60</f>
        <v>#DIV/0!</v>
      </c>
      <c r="I644" s="2" t="e">
        <f>(I629/I612)*BX78</f>
        <v>#DIV/0!</v>
      </c>
      <c r="J644" s="2" t="e">
        <f>(J630/J612)*BX79</f>
        <v>#DIV/0!</v>
      </c>
      <c r="K644" s="2" t="e">
        <f>SUM(C631:J644)</f>
        <v>#DIV/0!</v>
      </c>
      <c r="L644" s="2"/>
      <c r="M644" s="2"/>
      <c r="N644" s="324" t="s">
        <v>653</v>
      </c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  <c r="BM644" s="2"/>
      <c r="BN644" s="2"/>
      <c r="BO644" s="2"/>
      <c r="BP644" s="2"/>
      <c r="BQ644" s="2"/>
      <c r="BR644" s="2"/>
      <c r="BS644" s="2"/>
      <c r="BT644" s="2"/>
      <c r="BU644" s="2"/>
      <c r="BV644" s="2"/>
      <c r="BW644" s="2"/>
      <c r="BX644" s="2"/>
      <c r="BY644" s="2"/>
      <c r="BZ644" s="2"/>
      <c r="CA644" s="2"/>
      <c r="CB644" s="2"/>
      <c r="CC644" s="2"/>
      <c r="CD644" s="2"/>
      <c r="CE644" s="2"/>
      <c r="CF644" s="2"/>
    </row>
    <row r="645" spans="1:84" ht="12.65" customHeight="1" x14ac:dyDescent="0.35">
      <c r="A645" s="338">
        <v>8720</v>
      </c>
      <c r="B645" s="341" t="s">
        <v>654</v>
      </c>
      <c r="C645" s="2">
        <f>BY71</f>
        <v>313227.96000000002</v>
      </c>
      <c r="D645" s="2">
        <f>(D615/D612)*BY76</f>
        <v>2148.103916100034</v>
      </c>
      <c r="E645" s="2">
        <f>(E623/E612)*SUM(C645:D645)</f>
        <v>54111.341825219861</v>
      </c>
      <c r="F645" s="2">
        <f>(F624/F612)*BY64</f>
        <v>113.40096031888933</v>
      </c>
      <c r="G645" s="2">
        <f>(G625/G612)*BY77</f>
        <v>0</v>
      </c>
      <c r="H645" s="2" t="e">
        <f>(H628/H612)*BY60</f>
        <v>#DIV/0!</v>
      </c>
      <c r="I645" s="2" t="e">
        <f>(I629/I612)*BY78</f>
        <v>#DIV/0!</v>
      </c>
      <c r="J645" s="2" t="e">
        <f>(J630/J612)*BY79</f>
        <v>#DIV/0!</v>
      </c>
      <c r="K645" s="2">
        <v>0</v>
      </c>
      <c r="L645" s="2"/>
      <c r="M645" s="2"/>
      <c r="N645" s="324" t="s">
        <v>655</v>
      </c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  <c r="BM645" s="2"/>
      <c r="BN645" s="2"/>
      <c r="BO645" s="2"/>
      <c r="BP645" s="2"/>
      <c r="BQ645" s="2"/>
      <c r="BR645" s="2"/>
      <c r="BS645" s="2"/>
      <c r="BT645" s="2"/>
      <c r="BU645" s="2"/>
      <c r="BV645" s="2"/>
      <c r="BW645" s="2"/>
      <c r="BX645" s="2"/>
      <c r="BY645" s="2"/>
      <c r="BZ645" s="2"/>
      <c r="CA645" s="2"/>
      <c r="CB645" s="2"/>
      <c r="CC645" s="2"/>
      <c r="CD645" s="2"/>
      <c r="CE645" s="2"/>
      <c r="CF645" s="2"/>
    </row>
    <row r="646" spans="1:84" ht="12.65" customHeight="1" x14ac:dyDescent="0.35">
      <c r="A646" s="338">
        <v>8730</v>
      </c>
      <c r="B646" s="341" t="s">
        <v>656</v>
      </c>
      <c r="C646" s="2">
        <f>BZ71</f>
        <v>0</v>
      </c>
      <c r="D646" s="2">
        <f>(D615/D612)*BZ76</f>
        <v>0</v>
      </c>
      <c r="E646" s="2">
        <f>(E623/E612)*SUM(C646:D646)</f>
        <v>0</v>
      </c>
      <c r="F646" s="2">
        <f>(F624/F612)*BZ64</f>
        <v>0</v>
      </c>
      <c r="G646" s="2">
        <f>(G625/G612)*BZ77</f>
        <v>0</v>
      </c>
      <c r="H646" s="2" t="e">
        <f>(H628/H612)*BZ60</f>
        <v>#DIV/0!</v>
      </c>
      <c r="I646" s="2" t="e">
        <f>(I629/I612)*BZ78</f>
        <v>#DIV/0!</v>
      </c>
      <c r="J646" s="2" t="e">
        <f>(J630/J612)*BZ79</f>
        <v>#DIV/0!</v>
      </c>
      <c r="K646" s="2">
        <v>0</v>
      </c>
      <c r="L646" s="2"/>
      <c r="M646" s="2"/>
      <c r="N646" s="324" t="s">
        <v>657</v>
      </c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  <c r="BM646" s="2"/>
      <c r="BN646" s="2"/>
      <c r="BO646" s="2"/>
      <c r="BP646" s="2"/>
      <c r="BQ646" s="2"/>
      <c r="BR646" s="2"/>
      <c r="BS646" s="2"/>
      <c r="BT646" s="2"/>
      <c r="BU646" s="2"/>
      <c r="BV646" s="2"/>
      <c r="BW646" s="2"/>
      <c r="BX646" s="2"/>
      <c r="BY646" s="2"/>
      <c r="BZ646" s="2"/>
      <c r="CA646" s="2"/>
      <c r="CB646" s="2"/>
      <c r="CC646" s="2"/>
      <c r="CD646" s="2"/>
      <c r="CE646" s="2"/>
      <c r="CF646" s="2"/>
    </row>
    <row r="647" spans="1:84" ht="12.65" customHeight="1" x14ac:dyDescent="0.35">
      <c r="A647" s="338">
        <v>8740</v>
      </c>
      <c r="B647" s="341" t="s">
        <v>658</v>
      </c>
      <c r="C647" s="2">
        <f>CA71</f>
        <v>0</v>
      </c>
      <c r="D647" s="2">
        <f>(D615/D612)*CA76</f>
        <v>0</v>
      </c>
      <c r="E647" s="2">
        <f>(E623/E612)*SUM(C647:D647)</f>
        <v>0</v>
      </c>
      <c r="F647" s="2">
        <f>(F624/F612)*CA64</f>
        <v>0</v>
      </c>
      <c r="G647" s="2">
        <f>(G625/G612)*CA77</f>
        <v>0</v>
      </c>
      <c r="H647" s="2" t="e">
        <f>(H628/H612)*CA60</f>
        <v>#DIV/0!</v>
      </c>
      <c r="I647" s="2" t="e">
        <f>(I629/I612)*CA78</f>
        <v>#DIV/0!</v>
      </c>
      <c r="J647" s="2" t="e">
        <f>(J630/J612)*CA79</f>
        <v>#DIV/0!</v>
      </c>
      <c r="K647" s="2">
        <v>0</v>
      </c>
      <c r="L647" s="2" t="e">
        <f>SUM(C645:K647)</f>
        <v>#DIV/0!</v>
      </c>
      <c r="M647" s="2"/>
      <c r="N647" s="324" t="s">
        <v>659</v>
      </c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L647" s="2"/>
      <c r="BM647" s="2"/>
      <c r="BN647" s="2"/>
      <c r="BO647" s="2"/>
      <c r="BP647" s="2"/>
      <c r="BQ647" s="2"/>
      <c r="BR647" s="2"/>
      <c r="BS647" s="2"/>
      <c r="BT647" s="2"/>
      <c r="BU647" s="2"/>
      <c r="BV647" s="2"/>
      <c r="BW647" s="2"/>
      <c r="BX647" s="2"/>
      <c r="BY647" s="2"/>
      <c r="BZ647" s="2"/>
      <c r="CA647" s="2"/>
      <c r="CB647" s="2"/>
      <c r="CC647" s="2"/>
      <c r="CD647" s="2"/>
      <c r="CE647" s="2"/>
      <c r="CF647" s="2"/>
    </row>
    <row r="648" spans="1:84" ht="12.65" customHeight="1" x14ac:dyDescent="0.35">
      <c r="A648" s="338"/>
      <c r="B648" s="338"/>
      <c r="C648" s="2">
        <f>SUM(C614:C647)</f>
        <v>9039200.5799999982</v>
      </c>
      <c r="D648" s="2"/>
      <c r="E648" s="2"/>
      <c r="F648" s="2"/>
      <c r="G648" s="2"/>
      <c r="H648" s="2"/>
      <c r="I648" s="2"/>
      <c r="J648" s="2"/>
      <c r="K648" s="2"/>
      <c r="L648" s="340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  <c r="BM648" s="2"/>
      <c r="BN648" s="2"/>
      <c r="BO648" s="2"/>
      <c r="BP648" s="2"/>
      <c r="BQ648" s="2"/>
      <c r="BR648" s="2"/>
      <c r="BS648" s="2"/>
      <c r="BT648" s="2"/>
      <c r="BU648" s="2"/>
      <c r="BV648" s="2"/>
      <c r="BW648" s="2"/>
      <c r="BX648" s="2"/>
      <c r="BY648" s="2"/>
      <c r="BZ648" s="2"/>
      <c r="CA648" s="2"/>
      <c r="CB648" s="2"/>
      <c r="CC648" s="2"/>
      <c r="CD648" s="2"/>
      <c r="CE648" s="2"/>
      <c r="CF648" s="2"/>
    </row>
    <row r="649" spans="1:84" ht="12.65" customHeight="1" x14ac:dyDescent="0.3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L649" s="2"/>
      <c r="BM649" s="2"/>
      <c r="BN649" s="2"/>
      <c r="BO649" s="2"/>
      <c r="BP649" s="2"/>
      <c r="BQ649" s="2"/>
      <c r="BR649" s="2"/>
      <c r="BS649" s="2"/>
      <c r="BT649" s="2"/>
      <c r="BU649" s="2"/>
      <c r="BV649" s="2"/>
      <c r="BW649" s="2"/>
      <c r="BX649" s="2"/>
      <c r="BY649" s="2"/>
      <c r="BZ649" s="2"/>
      <c r="CA649" s="2"/>
      <c r="CB649" s="2"/>
      <c r="CC649" s="2"/>
      <c r="CD649" s="2"/>
      <c r="CE649" s="2"/>
      <c r="CF649" s="2"/>
    </row>
    <row r="650" spans="1:84" ht="12.65" customHeight="1" x14ac:dyDescent="0.3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  <c r="BM650" s="2"/>
      <c r="BN650" s="2"/>
      <c r="BO650" s="2"/>
      <c r="BP650" s="2"/>
      <c r="BQ650" s="2"/>
      <c r="BR650" s="2"/>
      <c r="BS650" s="2"/>
      <c r="BT650" s="2"/>
      <c r="BU650" s="2"/>
      <c r="BV650" s="2"/>
      <c r="BW650" s="2"/>
      <c r="BX650" s="2"/>
      <c r="BY650" s="2"/>
      <c r="BZ650" s="2"/>
      <c r="CA650" s="2"/>
      <c r="CB650" s="2"/>
      <c r="CC650" s="2"/>
      <c r="CD650" s="2"/>
      <c r="CE650" s="2"/>
      <c r="CF650" s="2"/>
    </row>
    <row r="651" spans="1:84" ht="12.65" customHeight="1" x14ac:dyDescent="0.3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  <c r="BM651" s="2"/>
      <c r="BN651" s="2"/>
      <c r="BO651" s="2"/>
      <c r="BP651" s="2"/>
      <c r="BQ651" s="2"/>
      <c r="BR651" s="2"/>
      <c r="BS651" s="2"/>
      <c r="BT651" s="2"/>
      <c r="BU651" s="2"/>
      <c r="BV651" s="2"/>
      <c r="BW651" s="2"/>
      <c r="BX651" s="2"/>
      <c r="BY651" s="2"/>
      <c r="BZ651" s="2"/>
      <c r="CA651" s="2"/>
      <c r="CB651" s="2"/>
      <c r="CC651" s="2"/>
      <c r="CD651" s="2"/>
      <c r="CE651" s="2"/>
      <c r="CF651" s="2"/>
    </row>
    <row r="652" spans="1:84" ht="12.65" customHeight="1" x14ac:dyDescent="0.3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  <c r="BM652" s="2"/>
      <c r="BN652" s="2"/>
      <c r="BO652" s="2"/>
      <c r="BP652" s="2"/>
      <c r="BQ652" s="2"/>
      <c r="BR652" s="2"/>
      <c r="BS652" s="2"/>
      <c r="BT652" s="2"/>
      <c r="BU652" s="2"/>
      <c r="BV652" s="2"/>
      <c r="BW652" s="2"/>
      <c r="BX652" s="2"/>
      <c r="BY652" s="2"/>
      <c r="BZ652" s="2"/>
      <c r="CA652" s="2"/>
      <c r="CB652" s="2"/>
      <c r="CC652" s="2"/>
      <c r="CD652" s="2"/>
      <c r="CE652" s="2"/>
      <c r="CF652" s="2"/>
    </row>
    <row r="653" spans="1:84" ht="12.65" customHeight="1" x14ac:dyDescent="0.3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  <c r="BM653" s="2"/>
      <c r="BN653" s="2"/>
      <c r="BO653" s="2"/>
      <c r="BP653" s="2"/>
      <c r="BQ653" s="2"/>
      <c r="BR653" s="2"/>
      <c r="BS653" s="2"/>
      <c r="BT653" s="2"/>
      <c r="BU653" s="2"/>
      <c r="BV653" s="2"/>
      <c r="BW653" s="2"/>
      <c r="BX653" s="2"/>
      <c r="BY653" s="2"/>
      <c r="BZ653" s="2"/>
      <c r="CA653" s="2"/>
      <c r="CB653" s="2"/>
      <c r="CC653" s="2"/>
      <c r="CD653" s="2"/>
      <c r="CE653" s="2"/>
      <c r="CF653" s="2"/>
    </row>
    <row r="654" spans="1:84" ht="12.65" customHeight="1" x14ac:dyDescent="0.3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  <c r="BM654" s="2"/>
      <c r="BN654" s="2"/>
      <c r="BO654" s="2"/>
      <c r="BP654" s="2"/>
      <c r="BQ654" s="2"/>
      <c r="BR654" s="2"/>
      <c r="BS654" s="2"/>
      <c r="BT654" s="2"/>
      <c r="BU654" s="2"/>
      <c r="BV654" s="2"/>
      <c r="BW654" s="2"/>
      <c r="BX654" s="2"/>
      <c r="BY654" s="2"/>
      <c r="BZ654" s="2"/>
      <c r="CA654" s="2"/>
      <c r="CB654" s="2"/>
      <c r="CC654" s="2"/>
      <c r="CD654" s="2"/>
      <c r="CE654" s="2"/>
      <c r="CF654" s="2"/>
    </row>
    <row r="655" spans="1:84" ht="12.65" customHeight="1" x14ac:dyDescent="0.3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  <c r="BM655" s="2"/>
      <c r="BN655" s="2"/>
      <c r="BO655" s="2"/>
      <c r="BP655" s="2"/>
      <c r="BQ655" s="2"/>
      <c r="BR655" s="2"/>
      <c r="BS655" s="2"/>
      <c r="BT655" s="2"/>
      <c r="BU655" s="2"/>
      <c r="BV655" s="2"/>
      <c r="BW655" s="2"/>
      <c r="BX655" s="2"/>
      <c r="BY655" s="2"/>
      <c r="BZ655" s="2"/>
      <c r="CA655" s="2"/>
      <c r="CB655" s="2"/>
      <c r="CC655" s="2"/>
      <c r="CD655" s="2"/>
      <c r="CE655" s="2"/>
      <c r="CF655" s="2"/>
    </row>
    <row r="656" spans="1:84" ht="12.65" customHeight="1" x14ac:dyDescent="0.3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  <c r="BM656" s="2"/>
      <c r="BN656" s="2"/>
      <c r="BO656" s="2"/>
      <c r="BP656" s="2"/>
      <c r="BQ656" s="2"/>
      <c r="BR656" s="2"/>
      <c r="BS656" s="2"/>
      <c r="BT656" s="2"/>
      <c r="BU656" s="2"/>
      <c r="BV656" s="2"/>
      <c r="BW656" s="2"/>
      <c r="BX656" s="2"/>
      <c r="BY656" s="2"/>
      <c r="BZ656" s="2"/>
      <c r="CA656" s="2"/>
      <c r="CB656" s="2"/>
      <c r="CC656" s="2"/>
      <c r="CD656" s="2"/>
      <c r="CE656" s="2"/>
      <c r="CF656" s="2"/>
    </row>
    <row r="657" spans="1:84" ht="12.65" customHeight="1" x14ac:dyDescent="0.3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  <c r="BM657" s="2"/>
      <c r="BN657" s="2"/>
      <c r="BO657" s="2"/>
      <c r="BP657" s="2"/>
      <c r="BQ657" s="2"/>
      <c r="BR657" s="2"/>
      <c r="BS657" s="2"/>
      <c r="BT657" s="2"/>
      <c r="BU657" s="2"/>
      <c r="BV657" s="2"/>
      <c r="BW657" s="2"/>
      <c r="BX657" s="2"/>
      <c r="BY657" s="2"/>
      <c r="BZ657" s="2"/>
      <c r="CA657" s="2"/>
      <c r="CB657" s="2"/>
      <c r="CC657" s="2"/>
      <c r="CD657" s="2"/>
      <c r="CE657" s="2"/>
      <c r="CF657" s="2"/>
    </row>
    <row r="658" spans="1:84" ht="12.65" customHeight="1" x14ac:dyDescent="0.3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  <c r="BM658" s="2"/>
      <c r="BN658" s="2"/>
      <c r="BO658" s="2"/>
      <c r="BP658" s="2"/>
      <c r="BQ658" s="2"/>
      <c r="BR658" s="2"/>
      <c r="BS658" s="2"/>
      <c r="BT658" s="2"/>
      <c r="BU658" s="2"/>
      <c r="BV658" s="2"/>
      <c r="BW658" s="2"/>
      <c r="BX658" s="2"/>
      <c r="BY658" s="2"/>
      <c r="BZ658" s="2"/>
      <c r="CA658" s="2"/>
      <c r="CB658" s="2"/>
      <c r="CC658" s="2"/>
      <c r="CD658" s="2"/>
      <c r="CE658" s="2"/>
      <c r="CF658" s="2"/>
    </row>
    <row r="659" spans="1:84" ht="12.65" customHeight="1" x14ac:dyDescent="0.3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  <c r="BM659" s="2"/>
      <c r="BN659" s="2"/>
      <c r="BO659" s="2"/>
      <c r="BP659" s="2"/>
      <c r="BQ659" s="2"/>
      <c r="BR659" s="2"/>
      <c r="BS659" s="2"/>
      <c r="BT659" s="2"/>
      <c r="BU659" s="2"/>
      <c r="BV659" s="2"/>
      <c r="BW659" s="2"/>
      <c r="BX659" s="2"/>
      <c r="BY659" s="2"/>
      <c r="BZ659" s="2"/>
      <c r="CA659" s="2"/>
      <c r="CB659" s="2"/>
      <c r="CC659" s="2"/>
      <c r="CD659" s="2"/>
      <c r="CE659" s="2"/>
      <c r="CF659" s="2"/>
    </row>
    <row r="660" spans="1:84" ht="12.65" customHeight="1" x14ac:dyDescent="0.3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  <c r="BM660" s="2"/>
      <c r="BN660" s="2"/>
      <c r="BO660" s="2"/>
      <c r="BP660" s="2"/>
      <c r="BQ660" s="2"/>
      <c r="BR660" s="2"/>
      <c r="BS660" s="2"/>
      <c r="BT660" s="2"/>
      <c r="BU660" s="2"/>
      <c r="BV660" s="2"/>
      <c r="BW660" s="2"/>
      <c r="BX660" s="2"/>
      <c r="BY660" s="2"/>
      <c r="BZ660" s="2"/>
      <c r="CA660" s="2"/>
      <c r="CB660" s="2"/>
      <c r="CC660" s="2"/>
      <c r="CD660" s="2"/>
      <c r="CE660" s="2"/>
      <c r="CF660" s="2"/>
    </row>
    <row r="661" spans="1:84" ht="12.65" customHeight="1" x14ac:dyDescent="0.3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  <c r="BM661" s="2"/>
      <c r="BN661" s="2"/>
      <c r="BO661" s="2"/>
      <c r="BP661" s="2"/>
      <c r="BQ661" s="2"/>
      <c r="BR661" s="2"/>
      <c r="BS661" s="2"/>
      <c r="BT661" s="2"/>
      <c r="BU661" s="2"/>
      <c r="BV661" s="2"/>
      <c r="BW661" s="2"/>
      <c r="BX661" s="2"/>
      <c r="BY661" s="2"/>
      <c r="BZ661" s="2"/>
      <c r="CA661" s="2"/>
      <c r="CB661" s="2"/>
      <c r="CC661" s="2"/>
      <c r="CD661" s="2"/>
      <c r="CE661" s="2"/>
      <c r="CF661" s="2"/>
    </row>
    <row r="662" spans="1:84" ht="12.65" customHeight="1" x14ac:dyDescent="0.3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  <c r="BM662" s="2"/>
      <c r="BN662" s="2"/>
      <c r="BO662" s="2"/>
      <c r="BP662" s="2"/>
      <c r="BQ662" s="2"/>
      <c r="BR662" s="2"/>
      <c r="BS662" s="2"/>
      <c r="BT662" s="2"/>
      <c r="BU662" s="2"/>
      <c r="BV662" s="2"/>
      <c r="BW662" s="2"/>
      <c r="BX662" s="2"/>
      <c r="BY662" s="2"/>
      <c r="BZ662" s="2"/>
      <c r="CA662" s="2"/>
      <c r="CB662" s="2"/>
      <c r="CC662" s="2"/>
      <c r="CD662" s="2"/>
      <c r="CE662" s="2"/>
      <c r="CF662" s="2"/>
    </row>
    <row r="663" spans="1:84" ht="12.65" customHeight="1" x14ac:dyDescent="0.3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  <c r="BM663" s="2"/>
      <c r="BN663" s="2"/>
      <c r="BO663" s="2"/>
      <c r="BP663" s="2"/>
      <c r="BQ663" s="2"/>
      <c r="BR663" s="2"/>
      <c r="BS663" s="2"/>
      <c r="BT663" s="2"/>
      <c r="BU663" s="2"/>
      <c r="BV663" s="2"/>
      <c r="BW663" s="2"/>
      <c r="BX663" s="2"/>
      <c r="BY663" s="2"/>
      <c r="BZ663" s="2"/>
      <c r="CA663" s="2"/>
      <c r="CB663" s="2"/>
      <c r="CC663" s="2"/>
      <c r="CD663" s="2"/>
      <c r="CE663" s="2"/>
      <c r="CF663" s="2"/>
    </row>
    <row r="664" spans="1:84" ht="12.65" customHeight="1" x14ac:dyDescent="0.3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  <c r="BM664" s="2"/>
      <c r="BN664" s="2"/>
      <c r="BO664" s="2"/>
      <c r="BP664" s="2"/>
      <c r="BQ664" s="2"/>
      <c r="BR664" s="2"/>
      <c r="BS664" s="2"/>
      <c r="BT664" s="2"/>
      <c r="BU664" s="2"/>
      <c r="BV664" s="2"/>
      <c r="BW664" s="2"/>
      <c r="BX664" s="2"/>
      <c r="BY664" s="2"/>
      <c r="BZ664" s="2"/>
      <c r="CA664" s="2"/>
      <c r="CB664" s="2"/>
      <c r="CC664" s="2"/>
      <c r="CD664" s="2"/>
      <c r="CE664" s="2"/>
      <c r="CF664" s="2"/>
    </row>
    <row r="665" spans="1:84" ht="12.65" customHeight="1" x14ac:dyDescent="0.3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  <c r="BM665" s="2"/>
      <c r="BN665" s="2"/>
      <c r="BO665" s="2"/>
      <c r="BP665" s="2"/>
      <c r="BQ665" s="2"/>
      <c r="BR665" s="2"/>
      <c r="BS665" s="2"/>
      <c r="BT665" s="2"/>
      <c r="BU665" s="2"/>
      <c r="BV665" s="2"/>
      <c r="BW665" s="2"/>
      <c r="BX665" s="2"/>
      <c r="BY665" s="2"/>
      <c r="BZ665" s="2"/>
      <c r="CA665" s="2"/>
      <c r="CB665" s="2"/>
      <c r="CC665" s="2"/>
      <c r="CD665" s="2"/>
      <c r="CE665" s="2"/>
      <c r="CF665" s="2"/>
    </row>
    <row r="666" spans="1:84" ht="12.65" customHeight="1" x14ac:dyDescent="0.35">
      <c r="A666" s="2"/>
      <c r="B666" s="2"/>
      <c r="C666" s="329" t="s">
        <v>660</v>
      </c>
      <c r="D666" s="2"/>
      <c r="E666" s="2"/>
      <c r="F666" s="2"/>
      <c r="G666" s="2"/>
      <c r="H666" s="2"/>
      <c r="I666" s="2"/>
      <c r="J666" s="2"/>
      <c r="K666" s="2"/>
      <c r="L666" s="2"/>
      <c r="M666" s="329" t="s">
        <v>661</v>
      </c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  <c r="BK666" s="2"/>
      <c r="BL666" s="2"/>
      <c r="BM666" s="2"/>
      <c r="BN666" s="2"/>
      <c r="BO666" s="2"/>
      <c r="BP666" s="2"/>
      <c r="BQ666" s="2"/>
      <c r="BR666" s="2"/>
      <c r="BS666" s="2"/>
      <c r="BT666" s="2"/>
      <c r="BU666" s="2"/>
      <c r="BV666" s="2"/>
      <c r="BW666" s="2"/>
      <c r="BX666" s="2"/>
      <c r="BY666" s="2"/>
      <c r="BZ666" s="2"/>
      <c r="CA666" s="2"/>
      <c r="CB666" s="2"/>
      <c r="CC666" s="2"/>
      <c r="CD666" s="2"/>
      <c r="CE666" s="2"/>
      <c r="CF666" s="2"/>
    </row>
    <row r="667" spans="1:84" ht="12.65" customHeight="1" x14ac:dyDescent="0.35">
      <c r="A667" s="2"/>
      <c r="B667" s="2"/>
      <c r="C667" s="329" t="s">
        <v>590</v>
      </c>
      <c r="D667" s="329" t="s">
        <v>591</v>
      </c>
      <c r="E667" s="332" t="s">
        <v>592</v>
      </c>
      <c r="F667" s="329" t="s">
        <v>593</v>
      </c>
      <c r="G667" s="329" t="s">
        <v>594</v>
      </c>
      <c r="H667" s="329" t="s">
        <v>595</v>
      </c>
      <c r="I667" s="329" t="s">
        <v>596</v>
      </c>
      <c r="J667" s="329" t="s">
        <v>597</v>
      </c>
      <c r="K667" s="329" t="s">
        <v>598</v>
      </c>
      <c r="L667" s="332" t="s">
        <v>599</v>
      </c>
      <c r="M667" s="329" t="s">
        <v>662</v>
      </c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  <c r="BJ667" s="2"/>
      <c r="BK667" s="2"/>
      <c r="BL667" s="2"/>
      <c r="BM667" s="2"/>
      <c r="BN667" s="2"/>
      <c r="BO667" s="2"/>
      <c r="BP667" s="2"/>
      <c r="BQ667" s="2"/>
      <c r="BR667" s="2"/>
      <c r="BS667" s="2"/>
      <c r="BT667" s="2"/>
      <c r="BU667" s="2"/>
      <c r="BV667" s="2"/>
      <c r="BW667" s="2"/>
      <c r="BX667" s="2"/>
      <c r="BY667" s="2"/>
      <c r="BZ667" s="2"/>
      <c r="CA667" s="2"/>
      <c r="CB667" s="2"/>
      <c r="CC667" s="2"/>
      <c r="CD667" s="2"/>
      <c r="CE667" s="2"/>
      <c r="CF667" s="2"/>
    </row>
    <row r="668" spans="1:84" ht="12.65" customHeight="1" x14ac:dyDescent="0.35">
      <c r="A668" s="338">
        <v>6010</v>
      </c>
      <c r="B668" s="332" t="s">
        <v>283</v>
      </c>
      <c r="C668" s="2">
        <f>C71</f>
        <v>0</v>
      </c>
      <c r="D668" s="2">
        <f>(D615/D612)*C76</f>
        <v>0</v>
      </c>
      <c r="E668" s="2">
        <f>(E623/E612)*SUM(C668:D668)</f>
        <v>0</v>
      </c>
      <c r="F668" s="2">
        <f>(F624/F612)*C64</f>
        <v>0</v>
      </c>
      <c r="G668" s="2">
        <f>(G625/G612)*C77</f>
        <v>0</v>
      </c>
      <c r="H668" s="2" t="e">
        <f>(H628/H612)*C60</f>
        <v>#DIV/0!</v>
      </c>
      <c r="I668" s="2" t="e">
        <f>(I629/I612)*C78</f>
        <v>#DIV/0!</v>
      </c>
      <c r="J668" s="2" t="e">
        <f>(J630/J612)*C79</f>
        <v>#DIV/0!</v>
      </c>
      <c r="K668" s="2" t="e">
        <f>(K644/K612)*C75</f>
        <v>#DIV/0!</v>
      </c>
      <c r="L668" s="2" t="e">
        <f>(L647/L612)*C80</f>
        <v>#DIV/0!</v>
      </c>
      <c r="M668" s="2" t="e">
        <f t="shared" ref="M668:M713" si="20">ROUND(SUM(D668:L668),0)</f>
        <v>#DIV/0!</v>
      </c>
      <c r="N668" s="332" t="s">
        <v>663</v>
      </c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  <c r="BK668" s="2"/>
      <c r="BL668" s="2"/>
      <c r="BM668" s="2"/>
      <c r="BN668" s="2"/>
      <c r="BO668" s="2"/>
      <c r="BP668" s="2"/>
      <c r="BQ668" s="2"/>
      <c r="BR668" s="2"/>
      <c r="BS668" s="2"/>
      <c r="BT668" s="2"/>
      <c r="BU668" s="2"/>
      <c r="BV668" s="2"/>
      <c r="BW668" s="2"/>
      <c r="BX668" s="2"/>
      <c r="BY668" s="2"/>
      <c r="BZ668" s="2"/>
      <c r="CA668" s="2"/>
      <c r="CB668" s="2"/>
      <c r="CC668" s="2"/>
      <c r="CD668" s="2"/>
      <c r="CE668" s="2"/>
      <c r="CF668" s="2"/>
    </row>
    <row r="669" spans="1:84" ht="12.65" customHeight="1" x14ac:dyDescent="0.35">
      <c r="A669" s="338">
        <v>6030</v>
      </c>
      <c r="B669" s="332" t="s">
        <v>284</v>
      </c>
      <c r="C669" s="2">
        <f>D71</f>
        <v>0</v>
      </c>
      <c r="D669" s="2">
        <f>(D615/D612)*D76</f>
        <v>0</v>
      </c>
      <c r="E669" s="2">
        <f>(E623/E612)*SUM(C669:D669)</f>
        <v>0</v>
      </c>
      <c r="F669" s="2">
        <f>(F624/F612)*D64</f>
        <v>0</v>
      </c>
      <c r="G669" s="2">
        <f>(G625/G612)*D77</f>
        <v>0</v>
      </c>
      <c r="H669" s="2" t="e">
        <f>(H628/H612)*D60</f>
        <v>#DIV/0!</v>
      </c>
      <c r="I669" s="2" t="e">
        <f>(I629/I612)*D78</f>
        <v>#DIV/0!</v>
      </c>
      <c r="J669" s="2" t="e">
        <f>(J630/J612)*D79</f>
        <v>#DIV/0!</v>
      </c>
      <c r="K669" s="2" t="e">
        <f>(K644/K612)*D75</f>
        <v>#DIV/0!</v>
      </c>
      <c r="L669" s="2" t="e">
        <f>(L647/L612)*D80</f>
        <v>#DIV/0!</v>
      </c>
      <c r="M669" s="2" t="e">
        <f t="shared" si="20"/>
        <v>#DIV/0!</v>
      </c>
      <c r="N669" s="332" t="s">
        <v>664</v>
      </c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  <c r="BK669" s="2"/>
      <c r="BL669" s="2"/>
      <c r="BM669" s="2"/>
      <c r="BN669" s="2"/>
      <c r="BO669" s="2"/>
      <c r="BP669" s="2"/>
      <c r="BQ669" s="2"/>
      <c r="BR669" s="2"/>
      <c r="BS669" s="2"/>
      <c r="BT669" s="2"/>
      <c r="BU669" s="2"/>
      <c r="BV669" s="2"/>
      <c r="BW669" s="2"/>
      <c r="BX669" s="2"/>
      <c r="BY669" s="2"/>
      <c r="BZ669" s="2"/>
      <c r="CA669" s="2"/>
      <c r="CB669" s="2"/>
      <c r="CC669" s="2"/>
      <c r="CD669" s="2"/>
      <c r="CE669" s="2"/>
      <c r="CF669" s="2"/>
    </row>
    <row r="670" spans="1:84" ht="12.65" customHeight="1" x14ac:dyDescent="0.35">
      <c r="A670" s="338">
        <v>6070</v>
      </c>
      <c r="B670" s="332" t="s">
        <v>665</v>
      </c>
      <c r="C670" s="2">
        <f>E71</f>
        <v>2870973</v>
      </c>
      <c r="D670" s="2">
        <f>(D615/D612)*E76</f>
        <v>107251.75981099457</v>
      </c>
      <c r="E670" s="2">
        <f>(E623/E612)*SUM(C670:D670)</f>
        <v>510995.46366758674</v>
      </c>
      <c r="F670" s="2">
        <f>(F624/F612)*E64</f>
        <v>6468.5489479994521</v>
      </c>
      <c r="G670" s="2">
        <f>(G625/G612)*E77</f>
        <v>695107.33837402449</v>
      </c>
      <c r="H670" s="2" t="e">
        <f>(H628/H612)*E60</f>
        <v>#DIV/0!</v>
      </c>
      <c r="I670" s="2" t="e">
        <f>(I629/I612)*E78</f>
        <v>#DIV/0!</v>
      </c>
      <c r="J670" s="2" t="e">
        <f>(J630/J612)*E79</f>
        <v>#DIV/0!</v>
      </c>
      <c r="K670" s="2" t="e">
        <f>(K644/K612)*E75</f>
        <v>#DIV/0!</v>
      </c>
      <c r="L670" s="2" t="e">
        <f>(L647/L612)*E80</f>
        <v>#DIV/0!</v>
      </c>
      <c r="M670" s="2" t="e">
        <f t="shared" si="20"/>
        <v>#DIV/0!</v>
      </c>
      <c r="N670" s="332" t="s">
        <v>666</v>
      </c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  <c r="BJ670" s="2"/>
      <c r="BK670" s="2"/>
      <c r="BL670" s="2"/>
      <c r="BM670" s="2"/>
      <c r="BN670" s="2"/>
      <c r="BO670" s="2"/>
      <c r="BP670" s="2"/>
      <c r="BQ670" s="2"/>
      <c r="BR670" s="2"/>
      <c r="BS670" s="2"/>
      <c r="BT670" s="2"/>
      <c r="BU670" s="2"/>
      <c r="BV670" s="2"/>
      <c r="BW670" s="2"/>
      <c r="BX670" s="2"/>
      <c r="BY670" s="2"/>
      <c r="BZ670" s="2"/>
      <c r="CA670" s="2"/>
      <c r="CB670" s="2"/>
      <c r="CC670" s="2"/>
      <c r="CD670" s="2"/>
      <c r="CE670" s="2"/>
      <c r="CF670" s="2"/>
    </row>
    <row r="671" spans="1:84" ht="12.65" customHeight="1" x14ac:dyDescent="0.35">
      <c r="A671" s="338">
        <v>6100</v>
      </c>
      <c r="B671" s="332" t="s">
        <v>667</v>
      </c>
      <c r="C671" s="2">
        <f>F71</f>
        <v>0</v>
      </c>
      <c r="D671" s="2">
        <f>(D615/D612)*F76</f>
        <v>0</v>
      </c>
      <c r="E671" s="2">
        <f>(E623/E612)*SUM(C671:D671)</f>
        <v>0</v>
      </c>
      <c r="F671" s="2">
        <f>(F624/F612)*F64</f>
        <v>0</v>
      </c>
      <c r="G671" s="2">
        <f>(G625/G612)*F77</f>
        <v>0</v>
      </c>
      <c r="H671" s="2" t="e">
        <f>(H628/H612)*F60</f>
        <v>#DIV/0!</v>
      </c>
      <c r="I671" s="2" t="e">
        <f>(I629/I612)*F78</f>
        <v>#DIV/0!</v>
      </c>
      <c r="J671" s="2" t="e">
        <f>(J630/J612)*F79</f>
        <v>#DIV/0!</v>
      </c>
      <c r="K671" s="2" t="e">
        <f>(K644/K612)*F75</f>
        <v>#DIV/0!</v>
      </c>
      <c r="L671" s="2" t="e">
        <f>(L647/L612)*F80</f>
        <v>#DIV/0!</v>
      </c>
      <c r="M671" s="2" t="e">
        <f t="shared" si="20"/>
        <v>#DIV/0!</v>
      </c>
      <c r="N671" s="332" t="s">
        <v>668</v>
      </c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  <c r="BK671" s="2"/>
      <c r="BL671" s="2"/>
      <c r="BM671" s="2"/>
      <c r="BN671" s="2"/>
      <c r="BO671" s="2"/>
      <c r="BP671" s="2"/>
      <c r="BQ671" s="2"/>
      <c r="BR671" s="2"/>
      <c r="BS671" s="2"/>
      <c r="BT671" s="2"/>
      <c r="BU671" s="2"/>
      <c r="BV671" s="2"/>
      <c r="BW671" s="2"/>
      <c r="BX671" s="2"/>
      <c r="BY671" s="2"/>
      <c r="BZ671" s="2"/>
      <c r="CA671" s="2"/>
      <c r="CB671" s="2"/>
      <c r="CC671" s="2"/>
      <c r="CD671" s="2"/>
      <c r="CE671" s="2"/>
      <c r="CF671" s="2"/>
    </row>
    <row r="672" spans="1:84" ht="12.65" customHeight="1" x14ac:dyDescent="0.35">
      <c r="A672" s="338">
        <v>6120</v>
      </c>
      <c r="B672" s="332" t="s">
        <v>669</v>
      </c>
      <c r="C672" s="2">
        <f>G71</f>
        <v>0</v>
      </c>
      <c r="D672" s="2">
        <f>(D615/D612)*G76</f>
        <v>0</v>
      </c>
      <c r="E672" s="2">
        <f>(E623/E612)*SUM(C672:D672)</f>
        <v>0</v>
      </c>
      <c r="F672" s="2">
        <f>(F624/F612)*G64</f>
        <v>0</v>
      </c>
      <c r="G672" s="2">
        <f>(G625/G612)*G77</f>
        <v>0</v>
      </c>
      <c r="H672" s="2" t="e">
        <f>(H628/H612)*G60</f>
        <v>#DIV/0!</v>
      </c>
      <c r="I672" s="2" t="e">
        <f>(I629/I612)*G78</f>
        <v>#DIV/0!</v>
      </c>
      <c r="J672" s="2" t="e">
        <f>(J630/J612)*G79</f>
        <v>#DIV/0!</v>
      </c>
      <c r="K672" s="2" t="e">
        <f>(K644/K612)*G75</f>
        <v>#DIV/0!</v>
      </c>
      <c r="L672" s="2" t="e">
        <f>(L647/L612)*G80</f>
        <v>#DIV/0!</v>
      </c>
      <c r="M672" s="2" t="e">
        <f t="shared" si="20"/>
        <v>#DIV/0!</v>
      </c>
      <c r="N672" s="332" t="s">
        <v>670</v>
      </c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  <c r="BK672" s="2"/>
      <c r="BL672" s="2"/>
      <c r="BM672" s="2"/>
      <c r="BN672" s="2"/>
      <c r="BO672" s="2"/>
      <c r="BP672" s="2"/>
      <c r="BQ672" s="2"/>
      <c r="BR672" s="2"/>
      <c r="BS672" s="2"/>
      <c r="BT672" s="2"/>
      <c r="BU672" s="2"/>
      <c r="BV672" s="2"/>
      <c r="BW672" s="2"/>
      <c r="BX672" s="2"/>
      <c r="BY672" s="2"/>
      <c r="BZ672" s="2"/>
      <c r="CA672" s="2"/>
      <c r="CB672" s="2"/>
      <c r="CC672" s="2"/>
      <c r="CD672" s="2"/>
      <c r="CE672" s="2"/>
      <c r="CF672" s="2"/>
    </row>
    <row r="673" spans="1:84" ht="12.65" customHeight="1" x14ac:dyDescent="0.35">
      <c r="A673" s="338">
        <v>6140</v>
      </c>
      <c r="B673" s="332" t="s">
        <v>671</v>
      </c>
      <c r="C673" s="2">
        <f>H71</f>
        <v>0</v>
      </c>
      <c r="D673" s="2">
        <f>(D615/D612)*H76</f>
        <v>0</v>
      </c>
      <c r="E673" s="2">
        <f>(E623/E612)*SUM(C673:D673)</f>
        <v>0</v>
      </c>
      <c r="F673" s="2">
        <f>(F624/F612)*H64</f>
        <v>0</v>
      </c>
      <c r="G673" s="2">
        <f>(G625/G612)*H77</f>
        <v>0</v>
      </c>
      <c r="H673" s="2" t="e">
        <f>(H628/H612)*H60</f>
        <v>#DIV/0!</v>
      </c>
      <c r="I673" s="2" t="e">
        <f>(I629/I612)*H78</f>
        <v>#DIV/0!</v>
      </c>
      <c r="J673" s="2" t="e">
        <f>(J630/J612)*H79</f>
        <v>#DIV/0!</v>
      </c>
      <c r="K673" s="2" t="e">
        <f>(K644/K612)*H75</f>
        <v>#DIV/0!</v>
      </c>
      <c r="L673" s="2" t="e">
        <f>(L647/L612)*H80</f>
        <v>#DIV/0!</v>
      </c>
      <c r="M673" s="2" t="e">
        <f t="shared" si="20"/>
        <v>#DIV/0!</v>
      </c>
      <c r="N673" s="332" t="s">
        <v>672</v>
      </c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  <c r="BK673" s="2"/>
      <c r="BL673" s="2"/>
      <c r="BM673" s="2"/>
      <c r="BN673" s="2"/>
      <c r="BO673" s="2"/>
      <c r="BP673" s="2"/>
      <c r="BQ673" s="2"/>
      <c r="BR673" s="2"/>
      <c r="BS673" s="2"/>
      <c r="BT673" s="2"/>
      <c r="BU673" s="2"/>
      <c r="BV673" s="2"/>
      <c r="BW673" s="2"/>
      <c r="BX673" s="2"/>
      <c r="BY673" s="2"/>
      <c r="BZ673" s="2"/>
      <c r="CA673" s="2"/>
      <c r="CB673" s="2"/>
      <c r="CC673" s="2"/>
      <c r="CD673" s="2"/>
      <c r="CE673" s="2"/>
      <c r="CF673" s="2"/>
    </row>
    <row r="674" spans="1:84" ht="12.65" customHeight="1" x14ac:dyDescent="0.35">
      <c r="A674" s="338">
        <v>6150</v>
      </c>
      <c r="B674" s="332" t="s">
        <v>673</v>
      </c>
      <c r="C674" s="2">
        <f>I71</f>
        <v>0</v>
      </c>
      <c r="D674" s="2">
        <f>(D615/D612)*I76</f>
        <v>0</v>
      </c>
      <c r="E674" s="2">
        <f>(E623/E612)*SUM(C674:D674)</f>
        <v>0</v>
      </c>
      <c r="F674" s="2">
        <f>(F624/F612)*I64</f>
        <v>0</v>
      </c>
      <c r="G674" s="2">
        <f>(G625/G612)*I77</f>
        <v>0</v>
      </c>
      <c r="H674" s="2" t="e">
        <f>(H628/H612)*I60</f>
        <v>#DIV/0!</v>
      </c>
      <c r="I674" s="2" t="e">
        <f>(I629/I612)*I78</f>
        <v>#DIV/0!</v>
      </c>
      <c r="J674" s="2" t="e">
        <f>(J630/J612)*I79</f>
        <v>#DIV/0!</v>
      </c>
      <c r="K674" s="2" t="e">
        <f>(K644/K612)*I75</f>
        <v>#DIV/0!</v>
      </c>
      <c r="L674" s="2" t="e">
        <f>(L647/L612)*I80</f>
        <v>#DIV/0!</v>
      </c>
      <c r="M674" s="2" t="e">
        <f t="shared" si="20"/>
        <v>#DIV/0!</v>
      </c>
      <c r="N674" s="332" t="s">
        <v>674</v>
      </c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  <c r="BK674" s="2"/>
      <c r="BL674" s="2"/>
      <c r="BM674" s="2"/>
      <c r="BN674" s="2"/>
      <c r="BO674" s="2"/>
      <c r="BP674" s="2"/>
      <c r="BQ674" s="2"/>
      <c r="BR674" s="2"/>
      <c r="BS674" s="2"/>
      <c r="BT674" s="2"/>
      <c r="BU674" s="2"/>
      <c r="BV674" s="2"/>
      <c r="BW674" s="2"/>
      <c r="BX674" s="2"/>
      <c r="BY674" s="2"/>
      <c r="BZ674" s="2"/>
      <c r="CA674" s="2"/>
      <c r="CB674" s="2"/>
      <c r="CC674" s="2"/>
      <c r="CD674" s="2"/>
      <c r="CE674" s="2"/>
      <c r="CF674" s="2"/>
    </row>
    <row r="675" spans="1:84" ht="12.65" customHeight="1" x14ac:dyDescent="0.35">
      <c r="A675" s="338">
        <v>6170</v>
      </c>
      <c r="B675" s="332" t="s">
        <v>99</v>
      </c>
      <c r="C675" s="2">
        <f>J71</f>
        <v>0</v>
      </c>
      <c r="D675" s="2">
        <f>(D615/D612)*J76</f>
        <v>0</v>
      </c>
      <c r="E675" s="2">
        <f>(E623/E612)*SUM(C675:D675)</f>
        <v>0</v>
      </c>
      <c r="F675" s="2">
        <f>(F624/F612)*J64</f>
        <v>0</v>
      </c>
      <c r="G675" s="2">
        <f>(G625/G612)*J77</f>
        <v>0</v>
      </c>
      <c r="H675" s="2" t="e">
        <f>(H628/H612)*J60</f>
        <v>#DIV/0!</v>
      </c>
      <c r="I675" s="2" t="e">
        <f>(I629/I612)*J78</f>
        <v>#DIV/0!</v>
      </c>
      <c r="J675" s="2" t="e">
        <f>(J630/J612)*J79</f>
        <v>#DIV/0!</v>
      </c>
      <c r="K675" s="2" t="e">
        <f>(K644/K612)*J75</f>
        <v>#DIV/0!</v>
      </c>
      <c r="L675" s="2" t="e">
        <f>(L647/L612)*J80</f>
        <v>#DIV/0!</v>
      </c>
      <c r="M675" s="2" t="e">
        <f t="shared" si="20"/>
        <v>#DIV/0!</v>
      </c>
      <c r="N675" s="332" t="s">
        <v>675</v>
      </c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  <c r="BK675" s="2"/>
      <c r="BL675" s="2"/>
      <c r="BM675" s="2"/>
      <c r="BN675" s="2"/>
      <c r="BO675" s="2"/>
      <c r="BP675" s="2"/>
      <c r="BQ675" s="2"/>
      <c r="BR675" s="2"/>
      <c r="BS675" s="2"/>
      <c r="BT675" s="2"/>
      <c r="BU675" s="2"/>
      <c r="BV675" s="2"/>
      <c r="BW675" s="2"/>
      <c r="BX675" s="2"/>
      <c r="BY675" s="2"/>
      <c r="BZ675" s="2"/>
      <c r="CA675" s="2"/>
      <c r="CB675" s="2"/>
      <c r="CC675" s="2"/>
      <c r="CD675" s="2"/>
      <c r="CE675" s="2"/>
      <c r="CF675" s="2"/>
    </row>
    <row r="676" spans="1:84" ht="12.65" customHeight="1" x14ac:dyDescent="0.35">
      <c r="A676" s="338">
        <v>6200</v>
      </c>
      <c r="B676" s="332" t="s">
        <v>288</v>
      </c>
      <c r="C676" s="2">
        <f>K71</f>
        <v>0</v>
      </c>
      <c r="D676" s="2">
        <f>(D615/D612)*K76</f>
        <v>0</v>
      </c>
      <c r="E676" s="2">
        <f>(E623/E612)*SUM(C676:D676)</f>
        <v>0</v>
      </c>
      <c r="F676" s="2">
        <f>(F624/F612)*K64</f>
        <v>0</v>
      </c>
      <c r="G676" s="2">
        <f>(G625/G612)*K77</f>
        <v>0</v>
      </c>
      <c r="H676" s="2" t="e">
        <f>(H628/H612)*K60</f>
        <v>#DIV/0!</v>
      </c>
      <c r="I676" s="2" t="e">
        <f>(I629/I612)*K78</f>
        <v>#DIV/0!</v>
      </c>
      <c r="J676" s="2" t="e">
        <f>(J630/J612)*K79</f>
        <v>#DIV/0!</v>
      </c>
      <c r="K676" s="2" t="e">
        <f>(K644/K612)*K75</f>
        <v>#DIV/0!</v>
      </c>
      <c r="L676" s="2" t="e">
        <f>(L647/L612)*K80</f>
        <v>#DIV/0!</v>
      </c>
      <c r="M676" s="2" t="e">
        <f t="shared" si="20"/>
        <v>#DIV/0!</v>
      </c>
      <c r="N676" s="332" t="s">
        <v>676</v>
      </c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  <c r="BK676" s="2"/>
      <c r="BL676" s="2"/>
      <c r="BM676" s="2"/>
      <c r="BN676" s="2"/>
      <c r="BO676" s="2"/>
      <c r="BP676" s="2"/>
      <c r="BQ676" s="2"/>
      <c r="BR676" s="2"/>
      <c r="BS676" s="2"/>
      <c r="BT676" s="2"/>
      <c r="BU676" s="2"/>
      <c r="BV676" s="2"/>
      <c r="BW676" s="2"/>
      <c r="BX676" s="2"/>
      <c r="BY676" s="2"/>
      <c r="BZ676" s="2"/>
      <c r="CA676" s="2"/>
      <c r="CB676" s="2"/>
      <c r="CC676" s="2"/>
      <c r="CD676" s="2"/>
      <c r="CE676" s="2"/>
      <c r="CF676" s="2"/>
    </row>
    <row r="677" spans="1:84" ht="12.65" customHeight="1" x14ac:dyDescent="0.35">
      <c r="A677" s="338">
        <v>6210</v>
      </c>
      <c r="B677" s="332" t="s">
        <v>289</v>
      </c>
      <c r="C677" s="2">
        <f>L71</f>
        <v>0</v>
      </c>
      <c r="D677" s="2">
        <f>(D615/D612)*L76</f>
        <v>0</v>
      </c>
      <c r="E677" s="2">
        <f>(E623/E612)*SUM(C677:D677)</f>
        <v>0</v>
      </c>
      <c r="F677" s="2">
        <f>(F624/F612)*L64</f>
        <v>0</v>
      </c>
      <c r="G677" s="2">
        <f>(G625/G612)*L77</f>
        <v>0</v>
      </c>
      <c r="H677" s="2" t="e">
        <f>(H628/H612)*L60</f>
        <v>#DIV/0!</v>
      </c>
      <c r="I677" s="2" t="e">
        <f>(I629/I612)*L78</f>
        <v>#DIV/0!</v>
      </c>
      <c r="J677" s="2" t="e">
        <f>(J630/J612)*L79</f>
        <v>#DIV/0!</v>
      </c>
      <c r="K677" s="2" t="e">
        <f>(K644/K612)*L75</f>
        <v>#DIV/0!</v>
      </c>
      <c r="L677" s="2" t="e">
        <f>(L647/L612)*L80</f>
        <v>#DIV/0!</v>
      </c>
      <c r="M677" s="2" t="e">
        <f t="shared" si="20"/>
        <v>#DIV/0!</v>
      </c>
      <c r="N677" s="332" t="s">
        <v>677</v>
      </c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  <c r="BK677" s="2"/>
      <c r="BL677" s="2"/>
      <c r="BM677" s="2"/>
      <c r="BN677" s="2"/>
      <c r="BO677" s="2"/>
      <c r="BP677" s="2"/>
      <c r="BQ677" s="2"/>
      <c r="BR677" s="2"/>
      <c r="BS677" s="2"/>
      <c r="BT677" s="2"/>
      <c r="BU677" s="2"/>
      <c r="BV677" s="2"/>
      <c r="BW677" s="2"/>
      <c r="BX677" s="2"/>
      <c r="BY677" s="2"/>
      <c r="BZ677" s="2"/>
      <c r="CA677" s="2"/>
      <c r="CB677" s="2"/>
      <c r="CC677" s="2"/>
      <c r="CD677" s="2"/>
      <c r="CE677" s="2"/>
      <c r="CF677" s="2"/>
    </row>
    <row r="678" spans="1:84" ht="12.65" customHeight="1" x14ac:dyDescent="0.35">
      <c r="A678" s="338">
        <v>6330</v>
      </c>
      <c r="B678" s="332" t="s">
        <v>678</v>
      </c>
      <c r="C678" s="2">
        <f>M71</f>
        <v>397165.72200000007</v>
      </c>
      <c r="D678" s="2">
        <f>(D615/D612)*M76</f>
        <v>0</v>
      </c>
      <c r="E678" s="2">
        <f>(E623/E612)*SUM(C678:D678)</f>
        <v>68144.582304507334</v>
      </c>
      <c r="F678" s="2">
        <f>(F624/F612)*M64</f>
        <v>4415.2402119257231</v>
      </c>
      <c r="G678" s="2">
        <f>(G625/G612)*M77</f>
        <v>0</v>
      </c>
      <c r="H678" s="2" t="e">
        <f>(H628/H612)*M60</f>
        <v>#DIV/0!</v>
      </c>
      <c r="I678" s="2" t="e">
        <f>(I629/I612)*M78</f>
        <v>#DIV/0!</v>
      </c>
      <c r="J678" s="2" t="e">
        <f>(J630/J612)*M79</f>
        <v>#DIV/0!</v>
      </c>
      <c r="K678" s="2" t="e">
        <f>(K644/K612)*M75</f>
        <v>#DIV/0!</v>
      </c>
      <c r="L678" s="2" t="e">
        <f>(L647/L612)*M80</f>
        <v>#DIV/0!</v>
      </c>
      <c r="M678" s="2" t="e">
        <f t="shared" si="20"/>
        <v>#DIV/0!</v>
      </c>
      <c r="N678" s="332" t="s">
        <v>679</v>
      </c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  <c r="BK678" s="2"/>
      <c r="BL678" s="2"/>
      <c r="BM678" s="2"/>
      <c r="BN678" s="2"/>
      <c r="BO678" s="2"/>
      <c r="BP678" s="2"/>
      <c r="BQ678" s="2"/>
      <c r="BR678" s="2"/>
      <c r="BS678" s="2"/>
      <c r="BT678" s="2"/>
      <c r="BU678" s="2"/>
      <c r="BV678" s="2"/>
      <c r="BW678" s="2"/>
      <c r="BX678" s="2"/>
      <c r="BY678" s="2"/>
      <c r="BZ678" s="2"/>
      <c r="CA678" s="2"/>
      <c r="CB678" s="2"/>
      <c r="CC678" s="2"/>
      <c r="CD678" s="2"/>
      <c r="CE678" s="2"/>
      <c r="CF678" s="2"/>
    </row>
    <row r="679" spans="1:84" ht="12.65" customHeight="1" x14ac:dyDescent="0.35">
      <c r="A679" s="338">
        <v>6400</v>
      </c>
      <c r="B679" s="332" t="s">
        <v>680</v>
      </c>
      <c r="C679" s="2">
        <f>N71</f>
        <v>295126.48</v>
      </c>
      <c r="D679" s="2">
        <f>(D615/D612)*N76</f>
        <v>0</v>
      </c>
      <c r="E679" s="2">
        <f>(E623/E612)*SUM(C679:D679)</f>
        <v>50636.974926551018</v>
      </c>
      <c r="F679" s="2">
        <f>(F624/F612)*N64</f>
        <v>38.800922712685598</v>
      </c>
      <c r="G679" s="2">
        <f>(G625/G612)*N77</f>
        <v>0</v>
      </c>
      <c r="H679" s="2" t="e">
        <f>(H628/H612)*N60</f>
        <v>#DIV/0!</v>
      </c>
      <c r="I679" s="2" t="e">
        <f>(I629/I612)*N78</f>
        <v>#DIV/0!</v>
      </c>
      <c r="J679" s="2" t="e">
        <f>(J630/J612)*N79</f>
        <v>#DIV/0!</v>
      </c>
      <c r="K679" s="2" t="e">
        <f>(K644/K612)*N75</f>
        <v>#DIV/0!</v>
      </c>
      <c r="L679" s="2" t="e">
        <f>(L647/L612)*N80</f>
        <v>#DIV/0!</v>
      </c>
      <c r="M679" s="2" t="e">
        <f t="shared" si="20"/>
        <v>#DIV/0!</v>
      </c>
      <c r="N679" s="332" t="s">
        <v>681</v>
      </c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  <c r="BK679" s="2"/>
      <c r="BL679" s="2"/>
      <c r="BM679" s="2"/>
      <c r="BN679" s="2"/>
      <c r="BO679" s="2"/>
      <c r="BP679" s="2"/>
      <c r="BQ679" s="2"/>
      <c r="BR679" s="2"/>
      <c r="BS679" s="2"/>
      <c r="BT679" s="2"/>
      <c r="BU679" s="2"/>
      <c r="BV679" s="2"/>
      <c r="BW679" s="2"/>
      <c r="BX679" s="2"/>
      <c r="BY679" s="2"/>
      <c r="BZ679" s="2"/>
      <c r="CA679" s="2"/>
      <c r="CB679" s="2"/>
      <c r="CC679" s="2"/>
      <c r="CD679" s="2"/>
      <c r="CE679" s="2"/>
      <c r="CF679" s="2"/>
    </row>
    <row r="680" spans="1:84" ht="12.65" customHeight="1" x14ac:dyDescent="0.35">
      <c r="A680" s="338">
        <v>7010</v>
      </c>
      <c r="B680" s="332" t="s">
        <v>682</v>
      </c>
      <c r="C680" s="2">
        <f>O71</f>
        <v>0</v>
      </c>
      <c r="D680" s="2">
        <f>(D615/D612)*O76</f>
        <v>0</v>
      </c>
      <c r="E680" s="2">
        <f>(E623/E612)*SUM(C680:D680)</f>
        <v>0</v>
      </c>
      <c r="F680" s="2">
        <f>(F624/F612)*O64</f>
        <v>0</v>
      </c>
      <c r="G680" s="2">
        <f>(G625/G612)*O77</f>
        <v>0</v>
      </c>
      <c r="H680" s="2" t="e">
        <f>(H628/H612)*O60</f>
        <v>#DIV/0!</v>
      </c>
      <c r="I680" s="2" t="e">
        <f>(I629/I612)*O78</f>
        <v>#DIV/0!</v>
      </c>
      <c r="J680" s="2" t="e">
        <f>(J630/J612)*O79</f>
        <v>#DIV/0!</v>
      </c>
      <c r="K680" s="2" t="e">
        <f>(K644/K612)*O75</f>
        <v>#DIV/0!</v>
      </c>
      <c r="L680" s="2" t="e">
        <f>(L647/L612)*O80</f>
        <v>#DIV/0!</v>
      </c>
      <c r="M680" s="2" t="e">
        <f t="shared" si="20"/>
        <v>#DIV/0!</v>
      </c>
      <c r="N680" s="332" t="s">
        <v>683</v>
      </c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  <c r="BK680" s="2"/>
      <c r="BL680" s="2"/>
      <c r="BM680" s="2"/>
      <c r="BN680" s="2"/>
      <c r="BO680" s="2"/>
      <c r="BP680" s="2"/>
      <c r="BQ680" s="2"/>
      <c r="BR680" s="2"/>
      <c r="BS680" s="2"/>
      <c r="BT680" s="2"/>
      <c r="BU680" s="2"/>
      <c r="BV680" s="2"/>
      <c r="BW680" s="2"/>
      <c r="BX680" s="2"/>
      <c r="BY680" s="2"/>
      <c r="BZ680" s="2"/>
      <c r="CA680" s="2"/>
      <c r="CB680" s="2"/>
      <c r="CC680" s="2"/>
      <c r="CD680" s="2"/>
      <c r="CE680" s="2"/>
      <c r="CF680" s="2"/>
    </row>
    <row r="681" spans="1:84" ht="12.65" customHeight="1" x14ac:dyDescent="0.35">
      <c r="A681" s="338">
        <v>7020</v>
      </c>
      <c r="B681" s="332" t="s">
        <v>684</v>
      </c>
      <c r="C681" s="2">
        <f>P71</f>
        <v>1583058.94</v>
      </c>
      <c r="D681" s="2">
        <f>(D615/D612)*P76</f>
        <v>109150.53023683299</v>
      </c>
      <c r="E681" s="2">
        <f>(E623/E612)*SUM(C681:D681)</f>
        <v>290344.56181246327</v>
      </c>
      <c r="F681" s="2">
        <f>(F624/F612)*P64</f>
        <v>17333.838656797685</v>
      </c>
      <c r="G681" s="2">
        <f>(G625/G612)*P77</f>
        <v>0</v>
      </c>
      <c r="H681" s="2" t="e">
        <f>(H628/H612)*P60</f>
        <v>#DIV/0!</v>
      </c>
      <c r="I681" s="2" t="e">
        <f>(I629/I612)*P78</f>
        <v>#DIV/0!</v>
      </c>
      <c r="J681" s="2" t="e">
        <f>(J630/J612)*P79</f>
        <v>#DIV/0!</v>
      </c>
      <c r="K681" s="2" t="e">
        <f>(K644/K612)*P75</f>
        <v>#DIV/0!</v>
      </c>
      <c r="L681" s="2" t="e">
        <f>(L647/L612)*P80</f>
        <v>#DIV/0!</v>
      </c>
      <c r="M681" s="2" t="e">
        <f t="shared" si="20"/>
        <v>#DIV/0!</v>
      </c>
      <c r="N681" s="332" t="s">
        <v>685</v>
      </c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  <c r="BK681" s="2"/>
      <c r="BL681" s="2"/>
      <c r="BM681" s="2"/>
      <c r="BN681" s="2"/>
      <c r="BO681" s="2"/>
      <c r="BP681" s="2"/>
      <c r="BQ681" s="2"/>
      <c r="BR681" s="2"/>
      <c r="BS681" s="2"/>
      <c r="BT681" s="2"/>
      <c r="BU681" s="2"/>
      <c r="BV681" s="2"/>
      <c r="BW681" s="2"/>
      <c r="BX681" s="2"/>
      <c r="BY681" s="2"/>
      <c r="BZ681" s="2"/>
      <c r="CA681" s="2"/>
      <c r="CB681" s="2"/>
      <c r="CC681" s="2"/>
      <c r="CD681" s="2"/>
      <c r="CE681" s="2"/>
      <c r="CF681" s="2"/>
    </row>
    <row r="682" spans="1:84" ht="12.65" customHeight="1" x14ac:dyDescent="0.35">
      <c r="A682" s="338">
        <v>7030</v>
      </c>
      <c r="B682" s="332" t="s">
        <v>686</v>
      </c>
      <c r="C682" s="2">
        <f>Q71</f>
        <v>0</v>
      </c>
      <c r="D682" s="2">
        <f>(D615/D612)*Q76</f>
        <v>0</v>
      </c>
      <c r="E682" s="2">
        <f>(E623/E612)*SUM(C682:D682)</f>
        <v>0</v>
      </c>
      <c r="F682" s="2">
        <f>(F624/F612)*Q64</f>
        <v>0</v>
      </c>
      <c r="G682" s="2">
        <f>(G625/G612)*Q77</f>
        <v>0</v>
      </c>
      <c r="H682" s="2" t="e">
        <f>(H628/H612)*Q60</f>
        <v>#DIV/0!</v>
      </c>
      <c r="I682" s="2" t="e">
        <f>(I629/I612)*Q78</f>
        <v>#DIV/0!</v>
      </c>
      <c r="J682" s="2" t="e">
        <f>(J630/J612)*Q79</f>
        <v>#DIV/0!</v>
      </c>
      <c r="K682" s="2" t="e">
        <f>(K644/K612)*Q75</f>
        <v>#DIV/0!</v>
      </c>
      <c r="L682" s="2" t="e">
        <f>(L647/L612)*Q80</f>
        <v>#DIV/0!</v>
      </c>
      <c r="M682" s="2" t="e">
        <f t="shared" si="20"/>
        <v>#DIV/0!</v>
      </c>
      <c r="N682" s="332" t="s">
        <v>687</v>
      </c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  <c r="BK682" s="2"/>
      <c r="BL682" s="2"/>
      <c r="BM682" s="2"/>
      <c r="BN682" s="2"/>
      <c r="BO682" s="2"/>
      <c r="BP682" s="2"/>
      <c r="BQ682" s="2"/>
      <c r="BR682" s="2"/>
      <c r="BS682" s="2"/>
      <c r="BT682" s="2"/>
      <c r="BU682" s="2"/>
      <c r="BV682" s="2"/>
      <c r="BW682" s="2"/>
      <c r="BX682" s="2"/>
      <c r="BY682" s="2"/>
      <c r="BZ682" s="2"/>
      <c r="CA682" s="2"/>
      <c r="CB682" s="2"/>
      <c r="CC682" s="2"/>
      <c r="CD682" s="2"/>
      <c r="CE682" s="2"/>
      <c r="CF682" s="2"/>
    </row>
    <row r="683" spans="1:84" ht="12.65" customHeight="1" x14ac:dyDescent="0.35">
      <c r="A683" s="338">
        <v>7040</v>
      </c>
      <c r="B683" s="332" t="s">
        <v>107</v>
      </c>
      <c r="C683" s="2">
        <f>R71</f>
        <v>373615.72</v>
      </c>
      <c r="D683" s="2">
        <f>(D615/D612)*R76</f>
        <v>0</v>
      </c>
      <c r="E683" s="2">
        <f>(E623/E612)*SUM(C683:D683)</f>
        <v>64103.938913937192</v>
      </c>
      <c r="F683" s="2">
        <f>(F624/F612)*R64</f>
        <v>951.36854668038995</v>
      </c>
      <c r="G683" s="2">
        <f>(G625/G612)*R77</f>
        <v>0</v>
      </c>
      <c r="H683" s="2" t="e">
        <f>(H628/H612)*R60</f>
        <v>#DIV/0!</v>
      </c>
      <c r="I683" s="2" t="e">
        <f>(I629/I612)*R78</f>
        <v>#DIV/0!</v>
      </c>
      <c r="J683" s="2" t="e">
        <f>(J630/J612)*R79</f>
        <v>#DIV/0!</v>
      </c>
      <c r="K683" s="2" t="e">
        <f>(K644/K612)*R75</f>
        <v>#DIV/0!</v>
      </c>
      <c r="L683" s="2" t="e">
        <f>(L647/L612)*R80</f>
        <v>#DIV/0!</v>
      </c>
      <c r="M683" s="2" t="e">
        <f t="shared" si="20"/>
        <v>#DIV/0!</v>
      </c>
      <c r="N683" s="332" t="s">
        <v>688</v>
      </c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  <c r="BJ683" s="2"/>
      <c r="BK683" s="2"/>
      <c r="BL683" s="2"/>
      <c r="BM683" s="2"/>
      <c r="BN683" s="2"/>
      <c r="BO683" s="2"/>
      <c r="BP683" s="2"/>
      <c r="BQ683" s="2"/>
      <c r="BR683" s="2"/>
      <c r="BS683" s="2"/>
      <c r="BT683" s="2"/>
      <c r="BU683" s="2"/>
      <c r="BV683" s="2"/>
      <c r="BW683" s="2"/>
      <c r="BX683" s="2"/>
      <c r="BY683" s="2"/>
      <c r="BZ683" s="2"/>
      <c r="CA683" s="2"/>
      <c r="CB683" s="2"/>
      <c r="CC683" s="2"/>
      <c r="CD683" s="2"/>
      <c r="CE683" s="2"/>
      <c r="CF683" s="2"/>
    </row>
    <row r="684" spans="1:84" ht="12.65" customHeight="1" x14ac:dyDescent="0.35">
      <c r="A684" s="338">
        <v>7050</v>
      </c>
      <c r="B684" s="332" t="s">
        <v>689</v>
      </c>
      <c r="C684" s="2">
        <f>S71</f>
        <v>0</v>
      </c>
      <c r="D684" s="2">
        <f>(D615/D612)*S76</f>
        <v>0</v>
      </c>
      <c r="E684" s="2">
        <f>(E623/E612)*SUM(C684:D684)</f>
        <v>0</v>
      </c>
      <c r="F684" s="2">
        <f>(F624/F612)*S64</f>
        <v>0</v>
      </c>
      <c r="G684" s="2">
        <f>(G625/G612)*S77</f>
        <v>0</v>
      </c>
      <c r="H684" s="2" t="e">
        <f>(H628/H612)*S60</f>
        <v>#DIV/0!</v>
      </c>
      <c r="I684" s="2" t="e">
        <f>(I629/I612)*S78</f>
        <v>#DIV/0!</v>
      </c>
      <c r="J684" s="2" t="e">
        <f>(J630/J612)*S79</f>
        <v>#DIV/0!</v>
      </c>
      <c r="K684" s="2" t="e">
        <f>(K644/K612)*S75</f>
        <v>#DIV/0!</v>
      </c>
      <c r="L684" s="2" t="e">
        <f>(L647/L612)*S80</f>
        <v>#DIV/0!</v>
      </c>
      <c r="M684" s="2" t="e">
        <f t="shared" si="20"/>
        <v>#DIV/0!</v>
      </c>
      <c r="N684" s="332" t="s">
        <v>690</v>
      </c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  <c r="BK684" s="2"/>
      <c r="BL684" s="2"/>
      <c r="BM684" s="2"/>
      <c r="BN684" s="2"/>
      <c r="BO684" s="2"/>
      <c r="BP684" s="2"/>
      <c r="BQ684" s="2"/>
      <c r="BR684" s="2"/>
      <c r="BS684" s="2"/>
      <c r="BT684" s="2"/>
      <c r="BU684" s="2"/>
      <c r="BV684" s="2"/>
      <c r="BW684" s="2"/>
      <c r="BX684" s="2"/>
      <c r="BY684" s="2"/>
      <c r="BZ684" s="2"/>
      <c r="CA684" s="2"/>
      <c r="CB684" s="2"/>
      <c r="CC684" s="2"/>
      <c r="CD684" s="2"/>
      <c r="CE684" s="2"/>
      <c r="CF684" s="2"/>
    </row>
    <row r="685" spans="1:84" ht="12.65" customHeight="1" x14ac:dyDescent="0.35">
      <c r="A685" s="338">
        <v>7060</v>
      </c>
      <c r="B685" s="332" t="s">
        <v>691</v>
      </c>
      <c r="C685" s="2">
        <f>T71</f>
        <v>0</v>
      </c>
      <c r="D685" s="2">
        <f>(D615/D612)*T76</f>
        <v>0</v>
      </c>
      <c r="E685" s="2">
        <f>(E623/E612)*SUM(C685:D685)</f>
        <v>0</v>
      </c>
      <c r="F685" s="2">
        <f>(F624/F612)*T64</f>
        <v>0</v>
      </c>
      <c r="G685" s="2">
        <f>(G625/G612)*T77</f>
        <v>0</v>
      </c>
      <c r="H685" s="2" t="e">
        <f>(H628/H612)*T60</f>
        <v>#DIV/0!</v>
      </c>
      <c r="I685" s="2" t="e">
        <f>(I629/I612)*T78</f>
        <v>#DIV/0!</v>
      </c>
      <c r="J685" s="2" t="e">
        <f>(J630/J612)*T79</f>
        <v>#DIV/0!</v>
      </c>
      <c r="K685" s="2" t="e">
        <f>(K644/K612)*T75</f>
        <v>#DIV/0!</v>
      </c>
      <c r="L685" s="2" t="e">
        <f>(L647/L612)*T80</f>
        <v>#DIV/0!</v>
      </c>
      <c r="M685" s="2" t="e">
        <f t="shared" si="20"/>
        <v>#DIV/0!</v>
      </c>
      <c r="N685" s="332" t="s">
        <v>692</v>
      </c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  <c r="BK685" s="2"/>
      <c r="BL685" s="2"/>
      <c r="BM685" s="2"/>
      <c r="BN685" s="2"/>
      <c r="BO685" s="2"/>
      <c r="BP685" s="2"/>
      <c r="BQ685" s="2"/>
      <c r="BR685" s="2"/>
      <c r="BS685" s="2"/>
      <c r="BT685" s="2"/>
      <c r="BU685" s="2"/>
      <c r="BV685" s="2"/>
      <c r="BW685" s="2"/>
      <c r="BX685" s="2"/>
      <c r="BY685" s="2"/>
      <c r="BZ685" s="2"/>
      <c r="CA685" s="2"/>
      <c r="CB685" s="2"/>
      <c r="CC685" s="2"/>
      <c r="CD685" s="2"/>
      <c r="CE685" s="2"/>
      <c r="CF685" s="2"/>
    </row>
    <row r="686" spans="1:84" ht="12.65" customHeight="1" x14ac:dyDescent="0.35">
      <c r="A686" s="338">
        <v>7070</v>
      </c>
      <c r="B686" s="332" t="s">
        <v>109</v>
      </c>
      <c r="C686" s="2">
        <f>U71</f>
        <v>1302113.7300000002</v>
      </c>
      <c r="D686" s="2">
        <f>(D615/D612)*U76</f>
        <v>34216.226663593399</v>
      </c>
      <c r="E686" s="2">
        <f>(E623/E612)*SUM(C686:D686)</f>
        <v>229283.75152637408</v>
      </c>
      <c r="F686" s="2">
        <f>(F624/F612)*U64</f>
        <v>23196.47426725044</v>
      </c>
      <c r="G686" s="2">
        <f>(G625/G612)*U77</f>
        <v>0</v>
      </c>
      <c r="H686" s="2" t="e">
        <f>(H628/H612)*U60</f>
        <v>#DIV/0!</v>
      </c>
      <c r="I686" s="2" t="e">
        <f>(I629/I612)*U78</f>
        <v>#DIV/0!</v>
      </c>
      <c r="J686" s="2" t="e">
        <f>(J630/J612)*U79</f>
        <v>#DIV/0!</v>
      </c>
      <c r="K686" s="2" t="e">
        <f>(K644/K612)*U75</f>
        <v>#DIV/0!</v>
      </c>
      <c r="L686" s="2" t="e">
        <f>(L647/L612)*U80</f>
        <v>#DIV/0!</v>
      </c>
      <c r="M686" s="2" t="e">
        <f t="shared" si="20"/>
        <v>#DIV/0!</v>
      </c>
      <c r="N686" s="332" t="s">
        <v>693</v>
      </c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L686" s="2"/>
      <c r="BM686" s="2"/>
      <c r="BN686" s="2"/>
      <c r="BO686" s="2"/>
      <c r="BP686" s="2"/>
      <c r="BQ686" s="2"/>
      <c r="BR686" s="2"/>
      <c r="BS686" s="2"/>
      <c r="BT686" s="2"/>
      <c r="BU686" s="2"/>
      <c r="BV686" s="2"/>
      <c r="BW686" s="2"/>
      <c r="BX686" s="2"/>
      <c r="BY686" s="2"/>
      <c r="BZ686" s="2"/>
      <c r="CA686" s="2"/>
      <c r="CB686" s="2"/>
      <c r="CC686" s="2"/>
      <c r="CD686" s="2"/>
      <c r="CE686" s="2"/>
      <c r="CF686" s="2"/>
    </row>
    <row r="687" spans="1:84" ht="12.65" customHeight="1" x14ac:dyDescent="0.35">
      <c r="A687" s="338">
        <v>7110</v>
      </c>
      <c r="B687" s="332" t="s">
        <v>694</v>
      </c>
      <c r="C687" s="2">
        <f>V71</f>
        <v>0</v>
      </c>
      <c r="D687" s="2">
        <f>(D615/D612)*V76</f>
        <v>0</v>
      </c>
      <c r="E687" s="2">
        <f>(E623/E612)*SUM(C687:D687)</f>
        <v>0</v>
      </c>
      <c r="F687" s="2">
        <f>(F624/F612)*V64</f>
        <v>0</v>
      </c>
      <c r="G687" s="2">
        <f>(G625/G612)*V77</f>
        <v>0</v>
      </c>
      <c r="H687" s="2" t="e">
        <f>(H628/H612)*V60</f>
        <v>#DIV/0!</v>
      </c>
      <c r="I687" s="2" t="e">
        <f>(I629/I612)*V78</f>
        <v>#DIV/0!</v>
      </c>
      <c r="J687" s="2" t="e">
        <f>(J630/J612)*V79</f>
        <v>#DIV/0!</v>
      </c>
      <c r="K687" s="2" t="e">
        <f>(K644/K612)*V75</f>
        <v>#DIV/0!</v>
      </c>
      <c r="L687" s="2" t="e">
        <f>(L647/L612)*V80</f>
        <v>#DIV/0!</v>
      </c>
      <c r="M687" s="2" t="e">
        <f t="shared" si="20"/>
        <v>#DIV/0!</v>
      </c>
      <c r="N687" s="332" t="s">
        <v>695</v>
      </c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  <c r="BJ687" s="2"/>
      <c r="BK687" s="2"/>
      <c r="BL687" s="2"/>
      <c r="BM687" s="2"/>
      <c r="BN687" s="2"/>
      <c r="BO687" s="2"/>
      <c r="BP687" s="2"/>
      <c r="BQ687" s="2"/>
      <c r="BR687" s="2"/>
      <c r="BS687" s="2"/>
      <c r="BT687" s="2"/>
      <c r="BU687" s="2"/>
      <c r="BV687" s="2"/>
      <c r="BW687" s="2"/>
      <c r="BX687" s="2"/>
      <c r="BY687" s="2"/>
      <c r="BZ687" s="2"/>
      <c r="CA687" s="2"/>
      <c r="CB687" s="2"/>
      <c r="CC687" s="2"/>
      <c r="CD687" s="2"/>
      <c r="CE687" s="2"/>
      <c r="CF687" s="2"/>
    </row>
    <row r="688" spans="1:84" ht="12.65" customHeight="1" x14ac:dyDescent="0.35">
      <c r="A688" s="338">
        <v>7120</v>
      </c>
      <c r="B688" s="332" t="s">
        <v>696</v>
      </c>
      <c r="C688" s="2">
        <f>W71</f>
        <v>302186.56</v>
      </c>
      <c r="D688" s="2">
        <f>(D615/D612)*W76</f>
        <v>0</v>
      </c>
      <c r="E688" s="2">
        <f>(E623/E612)*SUM(C688:D688)</f>
        <v>51848.323680954367</v>
      </c>
      <c r="F688" s="2">
        <f>(F624/F612)*W64</f>
        <v>0</v>
      </c>
      <c r="G688" s="2">
        <f>(G625/G612)*W77</f>
        <v>0</v>
      </c>
      <c r="H688" s="2" t="e">
        <f>(H628/H612)*W60</f>
        <v>#DIV/0!</v>
      </c>
      <c r="I688" s="2" t="e">
        <f>(I629/I612)*W78</f>
        <v>#DIV/0!</v>
      </c>
      <c r="J688" s="2" t="e">
        <f>(J630/J612)*W79</f>
        <v>#DIV/0!</v>
      </c>
      <c r="K688" s="2" t="e">
        <f>(K644/K612)*W75</f>
        <v>#DIV/0!</v>
      </c>
      <c r="L688" s="2" t="e">
        <f>(L647/L612)*W80</f>
        <v>#DIV/0!</v>
      </c>
      <c r="M688" s="2" t="e">
        <f t="shared" si="20"/>
        <v>#DIV/0!</v>
      </c>
      <c r="N688" s="332" t="s">
        <v>697</v>
      </c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  <c r="BK688" s="2"/>
      <c r="BL688" s="2"/>
      <c r="BM688" s="2"/>
      <c r="BN688" s="2"/>
      <c r="BO688" s="2"/>
      <c r="BP688" s="2"/>
      <c r="BQ688" s="2"/>
      <c r="BR688" s="2"/>
      <c r="BS688" s="2"/>
      <c r="BT688" s="2"/>
      <c r="BU688" s="2"/>
      <c r="BV688" s="2"/>
      <c r="BW688" s="2"/>
      <c r="BX688" s="2"/>
      <c r="BY688" s="2"/>
      <c r="BZ688" s="2"/>
      <c r="CA688" s="2"/>
      <c r="CB688" s="2"/>
      <c r="CC688" s="2"/>
      <c r="CD688" s="2"/>
      <c r="CE688" s="2"/>
      <c r="CF688" s="2"/>
    </row>
    <row r="689" spans="1:84" ht="12.65" customHeight="1" x14ac:dyDescent="0.35">
      <c r="A689" s="338">
        <v>7130</v>
      </c>
      <c r="B689" s="332" t="s">
        <v>698</v>
      </c>
      <c r="C689" s="2">
        <f>X71</f>
        <v>370106.49</v>
      </c>
      <c r="D689" s="2">
        <f>(D615/D612)*X76</f>
        <v>11910.469034804653</v>
      </c>
      <c r="E689" s="2">
        <f>(E623/E612)*SUM(C689:D689)</f>
        <v>65545.399979570357</v>
      </c>
      <c r="F689" s="2">
        <f>(F624/F612)*X64</f>
        <v>3201.9477241965164</v>
      </c>
      <c r="G689" s="2">
        <f>(G625/G612)*X77</f>
        <v>0</v>
      </c>
      <c r="H689" s="2" t="e">
        <f>(H628/H612)*X60</f>
        <v>#DIV/0!</v>
      </c>
      <c r="I689" s="2" t="e">
        <f>(I629/I612)*X78</f>
        <v>#DIV/0!</v>
      </c>
      <c r="J689" s="2" t="e">
        <f>(J630/J612)*X79</f>
        <v>#DIV/0!</v>
      </c>
      <c r="K689" s="2" t="e">
        <f>(K644/K612)*X75</f>
        <v>#DIV/0!</v>
      </c>
      <c r="L689" s="2" t="e">
        <f>(L647/L612)*X80</f>
        <v>#DIV/0!</v>
      </c>
      <c r="M689" s="2" t="e">
        <f t="shared" si="20"/>
        <v>#DIV/0!</v>
      </c>
      <c r="N689" s="332" t="s">
        <v>699</v>
      </c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  <c r="BJ689" s="2"/>
      <c r="BK689" s="2"/>
      <c r="BL689" s="2"/>
      <c r="BM689" s="2"/>
      <c r="BN689" s="2"/>
      <c r="BO689" s="2"/>
      <c r="BP689" s="2"/>
      <c r="BQ689" s="2"/>
      <c r="BR689" s="2"/>
      <c r="BS689" s="2"/>
      <c r="BT689" s="2"/>
      <c r="BU689" s="2"/>
      <c r="BV689" s="2"/>
      <c r="BW689" s="2"/>
      <c r="BX689" s="2"/>
      <c r="BY689" s="2"/>
      <c r="BZ689" s="2"/>
      <c r="CA689" s="2"/>
      <c r="CB689" s="2"/>
      <c r="CC689" s="2"/>
      <c r="CD689" s="2"/>
      <c r="CE689" s="2"/>
      <c r="CF689" s="2"/>
    </row>
    <row r="690" spans="1:84" ht="12.65" customHeight="1" x14ac:dyDescent="0.35">
      <c r="A690" s="338">
        <v>7140</v>
      </c>
      <c r="B690" s="332" t="s">
        <v>1249</v>
      </c>
      <c r="C690" s="2">
        <f>Y71</f>
        <v>1216779.8999999999</v>
      </c>
      <c r="D690" s="2">
        <f>(D615/D612)*Y76</f>
        <v>43288.129809265869</v>
      </c>
      <c r="E690" s="2">
        <f>(E623/E612)*SUM(C690:D690)</f>
        <v>216198.94369085532</v>
      </c>
      <c r="F690" s="2">
        <f>(F624/F612)*Y64</f>
        <v>1994.8700681534858</v>
      </c>
      <c r="G690" s="2">
        <f>(G625/G612)*Y77</f>
        <v>0</v>
      </c>
      <c r="H690" s="2" t="e">
        <f>(H628/H612)*Y60</f>
        <v>#DIV/0!</v>
      </c>
      <c r="I690" s="2" t="e">
        <f>(I629/I612)*Y78</f>
        <v>#DIV/0!</v>
      </c>
      <c r="J690" s="2" t="e">
        <f>(J630/J612)*Y79</f>
        <v>#DIV/0!</v>
      </c>
      <c r="K690" s="2" t="e">
        <f>(K644/K612)*Y75</f>
        <v>#DIV/0!</v>
      </c>
      <c r="L690" s="2" t="e">
        <f>(L647/L612)*Y80</f>
        <v>#DIV/0!</v>
      </c>
      <c r="M690" s="2" t="e">
        <f t="shared" si="20"/>
        <v>#DIV/0!</v>
      </c>
      <c r="N690" s="332" t="s">
        <v>700</v>
      </c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  <c r="BK690" s="2"/>
      <c r="BL690" s="2"/>
      <c r="BM690" s="2"/>
      <c r="BN690" s="2"/>
      <c r="BO690" s="2"/>
      <c r="BP690" s="2"/>
      <c r="BQ690" s="2"/>
      <c r="BR690" s="2"/>
      <c r="BS690" s="2"/>
      <c r="BT690" s="2"/>
      <c r="BU690" s="2"/>
      <c r="BV690" s="2"/>
      <c r="BW690" s="2"/>
      <c r="BX690" s="2"/>
      <c r="BY690" s="2"/>
      <c r="BZ690" s="2"/>
      <c r="CA690" s="2"/>
      <c r="CB690" s="2"/>
      <c r="CC690" s="2"/>
      <c r="CD690" s="2"/>
      <c r="CE690" s="2"/>
      <c r="CF690" s="2"/>
    </row>
    <row r="691" spans="1:84" ht="12.65" customHeight="1" x14ac:dyDescent="0.35">
      <c r="A691" s="338">
        <v>7150</v>
      </c>
      <c r="B691" s="332" t="s">
        <v>701</v>
      </c>
      <c r="C691" s="2">
        <f>Z71</f>
        <v>0</v>
      </c>
      <c r="D691" s="2">
        <f>(D615/D612)*Z76</f>
        <v>0</v>
      </c>
      <c r="E691" s="2">
        <f>(E623/E612)*SUM(C691:D691)</f>
        <v>0</v>
      </c>
      <c r="F691" s="2">
        <f>(F624/F612)*Z64</f>
        <v>0</v>
      </c>
      <c r="G691" s="2">
        <f>(G625/G612)*Z77</f>
        <v>0</v>
      </c>
      <c r="H691" s="2" t="e">
        <f>(H628/H612)*Z60</f>
        <v>#DIV/0!</v>
      </c>
      <c r="I691" s="2" t="e">
        <f>(I629/I612)*Z78</f>
        <v>#DIV/0!</v>
      </c>
      <c r="J691" s="2" t="e">
        <f>(J630/J612)*Z79</f>
        <v>#DIV/0!</v>
      </c>
      <c r="K691" s="2" t="e">
        <f>(K644/K612)*Z75</f>
        <v>#DIV/0!</v>
      </c>
      <c r="L691" s="2" t="e">
        <f>(L647/L612)*Z80</f>
        <v>#DIV/0!</v>
      </c>
      <c r="M691" s="2" t="e">
        <f t="shared" si="20"/>
        <v>#DIV/0!</v>
      </c>
      <c r="N691" s="332" t="s">
        <v>702</v>
      </c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  <c r="BJ691" s="2"/>
      <c r="BK691" s="2"/>
      <c r="BL691" s="2"/>
      <c r="BM691" s="2"/>
      <c r="BN691" s="2"/>
      <c r="BO691" s="2"/>
      <c r="BP691" s="2"/>
      <c r="BQ691" s="2"/>
      <c r="BR691" s="2"/>
      <c r="BS691" s="2"/>
      <c r="BT691" s="2"/>
      <c r="BU691" s="2"/>
      <c r="BV691" s="2"/>
      <c r="BW691" s="2"/>
      <c r="BX691" s="2"/>
      <c r="BY691" s="2"/>
      <c r="BZ691" s="2"/>
      <c r="CA691" s="2"/>
      <c r="CB691" s="2"/>
      <c r="CC691" s="2"/>
      <c r="CD691" s="2"/>
      <c r="CE691" s="2"/>
      <c r="CF691" s="2"/>
    </row>
    <row r="692" spans="1:84" ht="12.65" customHeight="1" x14ac:dyDescent="0.35">
      <c r="A692" s="338">
        <v>7160</v>
      </c>
      <c r="B692" s="332" t="s">
        <v>703</v>
      </c>
      <c r="C692" s="2">
        <f>AA71</f>
        <v>0</v>
      </c>
      <c r="D692" s="2">
        <f>(D615/D612)*AA76</f>
        <v>0</v>
      </c>
      <c r="E692" s="2">
        <f>(E623/E612)*SUM(C692:D692)</f>
        <v>0</v>
      </c>
      <c r="F692" s="2">
        <f>(F624/F612)*AA64</f>
        <v>0</v>
      </c>
      <c r="G692" s="2">
        <f>(G625/G612)*AA77</f>
        <v>0</v>
      </c>
      <c r="H692" s="2" t="e">
        <f>(H628/H612)*AA60</f>
        <v>#DIV/0!</v>
      </c>
      <c r="I692" s="2" t="e">
        <f>(I629/I612)*AA78</f>
        <v>#DIV/0!</v>
      </c>
      <c r="J692" s="2" t="e">
        <f>(J630/J612)*AA79</f>
        <v>#DIV/0!</v>
      </c>
      <c r="K692" s="2" t="e">
        <f>(K644/K612)*AA75</f>
        <v>#DIV/0!</v>
      </c>
      <c r="L692" s="2" t="e">
        <f>(L647/L612)*AA80</f>
        <v>#DIV/0!</v>
      </c>
      <c r="M692" s="2" t="e">
        <f t="shared" si="20"/>
        <v>#DIV/0!</v>
      </c>
      <c r="N692" s="332" t="s">
        <v>704</v>
      </c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  <c r="BK692" s="2"/>
      <c r="BL692" s="2"/>
      <c r="BM692" s="2"/>
      <c r="BN692" s="2"/>
      <c r="BO692" s="2"/>
      <c r="BP692" s="2"/>
      <c r="BQ692" s="2"/>
      <c r="BR692" s="2"/>
      <c r="BS692" s="2"/>
      <c r="BT692" s="2"/>
      <c r="BU692" s="2"/>
      <c r="BV692" s="2"/>
      <c r="BW692" s="2"/>
      <c r="BX692" s="2"/>
      <c r="BY692" s="2"/>
      <c r="BZ692" s="2"/>
      <c r="CA692" s="2"/>
      <c r="CB692" s="2"/>
      <c r="CC692" s="2"/>
      <c r="CD692" s="2"/>
      <c r="CE692" s="2"/>
      <c r="CF692" s="2"/>
    </row>
    <row r="693" spans="1:84" ht="12.65" customHeight="1" x14ac:dyDescent="0.35">
      <c r="A693" s="338">
        <v>7170</v>
      </c>
      <c r="B693" s="332" t="s">
        <v>115</v>
      </c>
      <c r="C693" s="2">
        <f>AB71</f>
        <v>561211.72</v>
      </c>
      <c r="D693" s="2">
        <f>(D615/D612)*AB76</f>
        <v>4583.9003209634657</v>
      </c>
      <c r="E693" s="2">
        <f>(E623/E612)*SUM(C693:D693)</f>
        <v>97077.628004593178</v>
      </c>
      <c r="F693" s="2">
        <f>(F624/F612)*AB64</f>
        <v>12058.318155633719</v>
      </c>
      <c r="G693" s="2">
        <f>(G625/G612)*AB77</f>
        <v>0</v>
      </c>
      <c r="H693" s="2" t="e">
        <f>(H628/H612)*AB60</f>
        <v>#DIV/0!</v>
      </c>
      <c r="I693" s="2" t="e">
        <f>(I629/I612)*AB78</f>
        <v>#DIV/0!</v>
      </c>
      <c r="J693" s="2" t="e">
        <f>(J630/J612)*AB79</f>
        <v>#DIV/0!</v>
      </c>
      <c r="K693" s="2" t="e">
        <f>(K644/K612)*AB75</f>
        <v>#DIV/0!</v>
      </c>
      <c r="L693" s="2" t="e">
        <f>(L647/L612)*AB80</f>
        <v>#DIV/0!</v>
      </c>
      <c r="M693" s="2" t="e">
        <f t="shared" si="20"/>
        <v>#DIV/0!</v>
      </c>
      <c r="N693" s="332" t="s">
        <v>705</v>
      </c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  <c r="BK693" s="2"/>
      <c r="BL693" s="2"/>
      <c r="BM693" s="2"/>
      <c r="BN693" s="2"/>
      <c r="BO693" s="2"/>
      <c r="BP693" s="2"/>
      <c r="BQ693" s="2"/>
      <c r="BR693" s="2"/>
      <c r="BS693" s="2"/>
      <c r="BT693" s="2"/>
      <c r="BU693" s="2"/>
      <c r="BV693" s="2"/>
      <c r="BW693" s="2"/>
      <c r="BX693" s="2"/>
      <c r="BY693" s="2"/>
      <c r="BZ693" s="2"/>
      <c r="CA693" s="2"/>
      <c r="CB693" s="2"/>
      <c r="CC693" s="2"/>
      <c r="CD693" s="2"/>
      <c r="CE693" s="2"/>
      <c r="CF693" s="2"/>
    </row>
    <row r="694" spans="1:84" ht="12.65" customHeight="1" x14ac:dyDescent="0.35">
      <c r="A694" s="338">
        <v>7180</v>
      </c>
      <c r="B694" s="332" t="s">
        <v>706</v>
      </c>
      <c r="C694" s="2">
        <f>AC71</f>
        <v>63584.81</v>
      </c>
      <c r="D694" s="2">
        <f>(D615/D612)*AC76</f>
        <v>6559.3887438054617</v>
      </c>
      <c r="E694" s="2">
        <f>(E623/E612)*SUM(C694:D694)</f>
        <v>12035.145179223122</v>
      </c>
      <c r="F694" s="2">
        <f>(F624/F612)*AC64</f>
        <v>-114.1502425645555</v>
      </c>
      <c r="G694" s="2">
        <f>(G625/G612)*AC77</f>
        <v>0</v>
      </c>
      <c r="H694" s="2" t="e">
        <f>(H628/H612)*AC60</f>
        <v>#DIV/0!</v>
      </c>
      <c r="I694" s="2" t="e">
        <f>(I629/I612)*AC78</f>
        <v>#DIV/0!</v>
      </c>
      <c r="J694" s="2" t="e">
        <f>(J630/J612)*AC79</f>
        <v>#DIV/0!</v>
      </c>
      <c r="K694" s="2" t="e">
        <f>(K644/K612)*AC75</f>
        <v>#DIV/0!</v>
      </c>
      <c r="L694" s="2" t="e">
        <f>(L647/L612)*AC80</f>
        <v>#DIV/0!</v>
      </c>
      <c r="M694" s="2" t="e">
        <f t="shared" si="20"/>
        <v>#DIV/0!</v>
      </c>
      <c r="N694" s="332" t="s">
        <v>707</v>
      </c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  <c r="BK694" s="2"/>
      <c r="BL694" s="2"/>
      <c r="BM694" s="2"/>
      <c r="BN694" s="2"/>
      <c r="BO694" s="2"/>
      <c r="BP694" s="2"/>
      <c r="BQ694" s="2"/>
      <c r="BR694" s="2"/>
      <c r="BS694" s="2"/>
      <c r="BT694" s="2"/>
      <c r="BU694" s="2"/>
      <c r="BV694" s="2"/>
      <c r="BW694" s="2"/>
      <c r="BX694" s="2"/>
      <c r="BY694" s="2"/>
      <c r="BZ694" s="2"/>
      <c r="CA694" s="2"/>
      <c r="CB694" s="2"/>
      <c r="CC694" s="2"/>
      <c r="CD694" s="2"/>
      <c r="CE694" s="2"/>
      <c r="CF694" s="2"/>
    </row>
    <row r="695" spans="1:84" ht="12.65" customHeight="1" x14ac:dyDescent="0.35">
      <c r="A695" s="338">
        <v>7190</v>
      </c>
      <c r="B695" s="332" t="s">
        <v>117</v>
      </c>
      <c r="C695" s="2">
        <f>AD71</f>
        <v>0</v>
      </c>
      <c r="D695" s="2">
        <f>(D615/D612)*AD76</f>
        <v>0</v>
      </c>
      <c r="E695" s="2">
        <f>(E623/E612)*SUM(C695:D695)</f>
        <v>0</v>
      </c>
      <c r="F695" s="2">
        <f>(F624/F612)*AD64</f>
        <v>0</v>
      </c>
      <c r="G695" s="2">
        <f>(G625/G612)*AD77</f>
        <v>0</v>
      </c>
      <c r="H695" s="2" t="e">
        <f>(H628/H612)*AD60</f>
        <v>#DIV/0!</v>
      </c>
      <c r="I695" s="2" t="e">
        <f>(I629/I612)*AD78</f>
        <v>#DIV/0!</v>
      </c>
      <c r="J695" s="2" t="e">
        <f>(J630/J612)*AD79</f>
        <v>#DIV/0!</v>
      </c>
      <c r="K695" s="2" t="e">
        <f>(K644/K612)*AD75</f>
        <v>#DIV/0!</v>
      </c>
      <c r="L695" s="2" t="e">
        <f>(L647/L612)*AD80</f>
        <v>#DIV/0!</v>
      </c>
      <c r="M695" s="2" t="e">
        <f t="shared" si="20"/>
        <v>#DIV/0!</v>
      </c>
      <c r="N695" s="332" t="s">
        <v>708</v>
      </c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  <c r="BK695" s="2"/>
      <c r="BL695" s="2"/>
      <c r="BM695" s="2"/>
      <c r="BN695" s="2"/>
      <c r="BO695" s="2"/>
      <c r="BP695" s="2"/>
      <c r="BQ695" s="2"/>
      <c r="BR695" s="2"/>
      <c r="BS695" s="2"/>
      <c r="BT695" s="2"/>
      <c r="BU695" s="2"/>
      <c r="BV695" s="2"/>
      <c r="BW695" s="2"/>
      <c r="BX695" s="2"/>
      <c r="BY695" s="2"/>
      <c r="BZ695" s="2"/>
      <c r="CA695" s="2"/>
      <c r="CB695" s="2"/>
      <c r="CC695" s="2"/>
      <c r="CD695" s="2"/>
      <c r="CE695" s="2"/>
      <c r="CF695" s="2"/>
    </row>
    <row r="696" spans="1:84" ht="12.65" customHeight="1" x14ac:dyDescent="0.35">
      <c r="A696" s="338">
        <v>7200</v>
      </c>
      <c r="B696" s="332" t="s">
        <v>709</v>
      </c>
      <c r="C696" s="2">
        <f>AE71</f>
        <v>923406.32</v>
      </c>
      <c r="D696" s="2">
        <f>(D615/D612)*AE76</f>
        <v>88436.671045868366</v>
      </c>
      <c r="E696" s="2">
        <f>(E623/E612)*SUM(C696:D696)</f>
        <v>173609.18670258264</v>
      </c>
      <c r="F696" s="2">
        <f>(F624/F612)*AE64</f>
        <v>1012.3130657505012</v>
      </c>
      <c r="G696" s="2">
        <f>(G625/G612)*AE77</f>
        <v>0</v>
      </c>
      <c r="H696" s="2" t="e">
        <f>(H628/H612)*AE60</f>
        <v>#DIV/0!</v>
      </c>
      <c r="I696" s="2" t="e">
        <f>(I629/I612)*AE78</f>
        <v>#DIV/0!</v>
      </c>
      <c r="J696" s="2" t="e">
        <f>(J630/J612)*AE79</f>
        <v>#DIV/0!</v>
      </c>
      <c r="K696" s="2" t="e">
        <f>(K644/K612)*AE75</f>
        <v>#DIV/0!</v>
      </c>
      <c r="L696" s="2" t="e">
        <f>(L647/L612)*AE80</f>
        <v>#DIV/0!</v>
      </c>
      <c r="M696" s="2" t="e">
        <f t="shared" si="20"/>
        <v>#DIV/0!</v>
      </c>
      <c r="N696" s="332" t="s">
        <v>710</v>
      </c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  <c r="BK696" s="2"/>
      <c r="BL696" s="2"/>
      <c r="BM696" s="2"/>
      <c r="BN696" s="2"/>
      <c r="BO696" s="2"/>
      <c r="BP696" s="2"/>
      <c r="BQ696" s="2"/>
      <c r="BR696" s="2"/>
      <c r="BS696" s="2"/>
      <c r="BT696" s="2"/>
      <c r="BU696" s="2"/>
      <c r="BV696" s="2"/>
      <c r="BW696" s="2"/>
      <c r="BX696" s="2"/>
      <c r="BY696" s="2"/>
      <c r="BZ696" s="2"/>
      <c r="CA696" s="2"/>
      <c r="CB696" s="2"/>
      <c r="CC696" s="2"/>
      <c r="CD696" s="2"/>
      <c r="CE696" s="2"/>
      <c r="CF696" s="2"/>
    </row>
    <row r="697" spans="1:84" ht="12.65" customHeight="1" x14ac:dyDescent="0.35">
      <c r="A697" s="338">
        <v>7220</v>
      </c>
      <c r="B697" s="332" t="s">
        <v>711</v>
      </c>
      <c r="C697" s="2">
        <f>AF71</f>
        <v>0</v>
      </c>
      <c r="D697" s="2">
        <f>(D615/D612)*AF76</f>
        <v>0</v>
      </c>
      <c r="E697" s="2">
        <f>(E623/E612)*SUM(C697:D697)</f>
        <v>0</v>
      </c>
      <c r="F697" s="2">
        <f>(F624/F612)*AF64</f>
        <v>0</v>
      </c>
      <c r="G697" s="2">
        <f>(G625/G612)*AF77</f>
        <v>0</v>
      </c>
      <c r="H697" s="2" t="e">
        <f>(H628/H612)*AF60</f>
        <v>#DIV/0!</v>
      </c>
      <c r="I697" s="2" t="e">
        <f>(I629/I612)*AF78</f>
        <v>#DIV/0!</v>
      </c>
      <c r="J697" s="2" t="e">
        <f>(J630/J612)*AF79</f>
        <v>#DIV/0!</v>
      </c>
      <c r="K697" s="2" t="e">
        <f>(K644/K612)*AF75</f>
        <v>#DIV/0!</v>
      </c>
      <c r="L697" s="2" t="e">
        <f>(L647/L612)*AF80</f>
        <v>#DIV/0!</v>
      </c>
      <c r="M697" s="2" t="e">
        <f t="shared" si="20"/>
        <v>#DIV/0!</v>
      </c>
      <c r="N697" s="332" t="s">
        <v>712</v>
      </c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  <c r="BJ697" s="2"/>
      <c r="BK697" s="2"/>
      <c r="BL697" s="2"/>
      <c r="BM697" s="2"/>
      <c r="BN697" s="2"/>
      <c r="BO697" s="2"/>
      <c r="BP697" s="2"/>
      <c r="BQ697" s="2"/>
      <c r="BR697" s="2"/>
      <c r="BS697" s="2"/>
      <c r="BT697" s="2"/>
      <c r="BU697" s="2"/>
      <c r="BV697" s="2"/>
      <c r="BW697" s="2"/>
      <c r="BX697" s="2"/>
      <c r="BY697" s="2"/>
      <c r="BZ697" s="2"/>
      <c r="CA697" s="2"/>
      <c r="CB697" s="2"/>
      <c r="CC697" s="2"/>
      <c r="CD697" s="2"/>
      <c r="CE697" s="2"/>
      <c r="CF697" s="2"/>
    </row>
    <row r="698" spans="1:84" ht="12.65" customHeight="1" x14ac:dyDescent="0.35">
      <c r="A698" s="338">
        <v>7230</v>
      </c>
      <c r="B698" s="332" t="s">
        <v>713</v>
      </c>
      <c r="C698" s="2">
        <f>AG71</f>
        <v>2585212.2200000002</v>
      </c>
      <c r="D698" s="2">
        <f>(D615/D612)*AG76</f>
        <v>39394.691461334558</v>
      </c>
      <c r="E698" s="2">
        <f>(E623/E612)*SUM(C698:D698)</f>
        <v>450322.70356668817</v>
      </c>
      <c r="F698" s="2">
        <f>(F624/F612)*AG64</f>
        <v>4542.398956778552</v>
      </c>
      <c r="G698" s="2">
        <f>(G625/G612)*AG77</f>
        <v>0</v>
      </c>
      <c r="H698" s="2" t="e">
        <f>(H628/H612)*AG60</f>
        <v>#DIV/0!</v>
      </c>
      <c r="I698" s="2" t="e">
        <f>(I629/I612)*AG78</f>
        <v>#DIV/0!</v>
      </c>
      <c r="J698" s="2" t="e">
        <f>(J630/J612)*AG79</f>
        <v>#DIV/0!</v>
      </c>
      <c r="K698" s="2" t="e">
        <f>(K644/K612)*AG75</f>
        <v>#DIV/0!</v>
      </c>
      <c r="L698" s="2" t="e">
        <f>(L647/L612)*AG80</f>
        <v>#DIV/0!</v>
      </c>
      <c r="M698" s="2" t="e">
        <f t="shared" si="20"/>
        <v>#DIV/0!</v>
      </c>
      <c r="N698" s="332" t="s">
        <v>714</v>
      </c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  <c r="BK698" s="2"/>
      <c r="BL698" s="2"/>
      <c r="BM698" s="2"/>
      <c r="BN698" s="2"/>
      <c r="BO698" s="2"/>
      <c r="BP698" s="2"/>
      <c r="BQ698" s="2"/>
      <c r="BR698" s="2"/>
      <c r="BS698" s="2"/>
      <c r="BT698" s="2"/>
      <c r="BU698" s="2"/>
      <c r="BV698" s="2"/>
      <c r="BW698" s="2"/>
      <c r="BX698" s="2"/>
      <c r="BY698" s="2"/>
      <c r="BZ698" s="2"/>
      <c r="CA698" s="2"/>
      <c r="CB698" s="2"/>
      <c r="CC698" s="2"/>
      <c r="CD698" s="2"/>
      <c r="CE698" s="2"/>
      <c r="CF698" s="2"/>
    </row>
    <row r="699" spans="1:84" ht="12.65" customHeight="1" x14ac:dyDescent="0.35">
      <c r="A699" s="338">
        <v>7240</v>
      </c>
      <c r="B699" s="332" t="s">
        <v>119</v>
      </c>
      <c r="C699" s="2">
        <f>AH71</f>
        <v>0</v>
      </c>
      <c r="D699" s="2">
        <f>(D615/D612)*AH76</f>
        <v>0</v>
      </c>
      <c r="E699" s="2">
        <f>(E623/E612)*SUM(C699:D699)</f>
        <v>0</v>
      </c>
      <c r="F699" s="2">
        <f>(F624/F612)*AH64</f>
        <v>0</v>
      </c>
      <c r="G699" s="2">
        <f>(G625/G612)*AH77</f>
        <v>0</v>
      </c>
      <c r="H699" s="2" t="e">
        <f>(H628/H612)*AH60</f>
        <v>#DIV/0!</v>
      </c>
      <c r="I699" s="2" t="e">
        <f>(I629/I612)*AH78</f>
        <v>#DIV/0!</v>
      </c>
      <c r="J699" s="2" t="e">
        <f>(J630/J612)*AH79</f>
        <v>#DIV/0!</v>
      </c>
      <c r="K699" s="2" t="e">
        <f>(K644/K612)*AH75</f>
        <v>#DIV/0!</v>
      </c>
      <c r="L699" s="2" t="e">
        <f>(L647/L612)*AH80</f>
        <v>#DIV/0!</v>
      </c>
      <c r="M699" s="2" t="e">
        <f t="shared" si="20"/>
        <v>#DIV/0!</v>
      </c>
      <c r="N699" s="332" t="s">
        <v>715</v>
      </c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  <c r="BK699" s="2"/>
      <c r="BL699" s="2"/>
      <c r="BM699" s="2"/>
      <c r="BN699" s="2"/>
      <c r="BO699" s="2"/>
      <c r="BP699" s="2"/>
      <c r="BQ699" s="2"/>
      <c r="BR699" s="2"/>
      <c r="BS699" s="2"/>
      <c r="BT699" s="2"/>
      <c r="BU699" s="2"/>
      <c r="BV699" s="2"/>
      <c r="BW699" s="2"/>
      <c r="BX699" s="2"/>
      <c r="BY699" s="2"/>
      <c r="BZ699" s="2"/>
      <c r="CA699" s="2"/>
      <c r="CB699" s="2"/>
      <c r="CC699" s="2"/>
      <c r="CD699" s="2"/>
      <c r="CE699" s="2"/>
      <c r="CF699" s="2"/>
    </row>
    <row r="700" spans="1:84" ht="12.65" customHeight="1" x14ac:dyDescent="0.35">
      <c r="A700" s="338">
        <v>7250</v>
      </c>
      <c r="B700" s="332" t="s">
        <v>716</v>
      </c>
      <c r="C700" s="2">
        <f>AI71</f>
        <v>0</v>
      </c>
      <c r="D700" s="2">
        <f>(D615/D612)*AI76</f>
        <v>0</v>
      </c>
      <c r="E700" s="2">
        <f>(E623/E612)*SUM(C700:D700)</f>
        <v>0</v>
      </c>
      <c r="F700" s="2">
        <f>(F624/F612)*AI64</f>
        <v>0</v>
      </c>
      <c r="G700" s="2">
        <f>(G625/G612)*AI77</f>
        <v>0</v>
      </c>
      <c r="H700" s="2" t="e">
        <f>(H628/H612)*AI60</f>
        <v>#DIV/0!</v>
      </c>
      <c r="I700" s="2" t="e">
        <f>(I629/I612)*AI78</f>
        <v>#DIV/0!</v>
      </c>
      <c r="J700" s="2" t="e">
        <f>(J630/J612)*AI79</f>
        <v>#DIV/0!</v>
      </c>
      <c r="K700" s="2" t="e">
        <f>(K644/K612)*AI75</f>
        <v>#DIV/0!</v>
      </c>
      <c r="L700" s="2" t="e">
        <f>(L647/L612)*AI80</f>
        <v>#DIV/0!</v>
      </c>
      <c r="M700" s="2" t="e">
        <f t="shared" si="20"/>
        <v>#DIV/0!</v>
      </c>
      <c r="N700" s="332" t="s">
        <v>717</v>
      </c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  <c r="BK700" s="2"/>
      <c r="BL700" s="2"/>
      <c r="BM700" s="2"/>
      <c r="BN700" s="2"/>
      <c r="BO700" s="2"/>
      <c r="BP700" s="2"/>
      <c r="BQ700" s="2"/>
      <c r="BR700" s="2"/>
      <c r="BS700" s="2"/>
      <c r="BT700" s="2"/>
      <c r="BU700" s="2"/>
      <c r="BV700" s="2"/>
      <c r="BW700" s="2"/>
      <c r="BX700" s="2"/>
      <c r="BY700" s="2"/>
      <c r="BZ700" s="2"/>
      <c r="CA700" s="2"/>
      <c r="CB700" s="2"/>
      <c r="CC700" s="2"/>
      <c r="CD700" s="2"/>
      <c r="CE700" s="2"/>
      <c r="CF700" s="2"/>
    </row>
    <row r="701" spans="1:84" ht="12.65" customHeight="1" x14ac:dyDescent="0.35">
      <c r="A701" s="338">
        <v>7260</v>
      </c>
      <c r="B701" s="332" t="s">
        <v>121</v>
      </c>
      <c r="C701" s="2">
        <f>AJ71</f>
        <v>4120269.63</v>
      </c>
      <c r="D701" s="2">
        <f>(D615/D612)*AJ76</f>
        <v>247377.18133802002</v>
      </c>
      <c r="E701" s="2">
        <f>(E623/E612)*SUM(C701:D701)</f>
        <v>749388.60814439226</v>
      </c>
      <c r="F701" s="2">
        <f>(F624/F612)*AJ64</f>
        <v>12453.159152459908</v>
      </c>
      <c r="G701" s="2">
        <f>(G625/G612)*AJ77</f>
        <v>0</v>
      </c>
      <c r="H701" s="2" t="e">
        <f>(H628/H612)*AJ60</f>
        <v>#DIV/0!</v>
      </c>
      <c r="I701" s="2" t="e">
        <f>(I629/I612)*AJ78</f>
        <v>#DIV/0!</v>
      </c>
      <c r="J701" s="2" t="e">
        <f>(J630/J612)*AJ79</f>
        <v>#DIV/0!</v>
      </c>
      <c r="K701" s="2" t="e">
        <f>(K644/K612)*AJ75</f>
        <v>#DIV/0!</v>
      </c>
      <c r="L701" s="2" t="e">
        <f>(L647/L612)*AJ80</f>
        <v>#DIV/0!</v>
      </c>
      <c r="M701" s="2" t="e">
        <f t="shared" si="20"/>
        <v>#DIV/0!</v>
      </c>
      <c r="N701" s="332" t="s">
        <v>718</v>
      </c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  <c r="BJ701" s="2"/>
      <c r="BK701" s="2"/>
      <c r="BL701" s="2"/>
      <c r="BM701" s="2"/>
      <c r="BN701" s="2"/>
      <c r="BO701" s="2"/>
      <c r="BP701" s="2"/>
      <c r="BQ701" s="2"/>
      <c r="BR701" s="2"/>
      <c r="BS701" s="2"/>
      <c r="BT701" s="2"/>
      <c r="BU701" s="2"/>
      <c r="BV701" s="2"/>
      <c r="BW701" s="2"/>
      <c r="BX701" s="2"/>
      <c r="BY701" s="2"/>
      <c r="BZ701" s="2"/>
      <c r="CA701" s="2"/>
      <c r="CB701" s="2"/>
      <c r="CC701" s="2"/>
      <c r="CD701" s="2"/>
      <c r="CE701" s="2"/>
      <c r="CF701" s="2"/>
    </row>
    <row r="702" spans="1:84" ht="12.65" customHeight="1" x14ac:dyDescent="0.35">
      <c r="A702" s="338">
        <v>7310</v>
      </c>
      <c r="B702" s="332" t="s">
        <v>719</v>
      </c>
      <c r="C702" s="2">
        <f>AK71</f>
        <v>0</v>
      </c>
      <c r="D702" s="2">
        <f>(D615/D612)*AK76</f>
        <v>0</v>
      </c>
      <c r="E702" s="2">
        <f>(E623/E612)*SUM(C702:D702)</f>
        <v>0</v>
      </c>
      <c r="F702" s="2">
        <f>(F624/F612)*AK64</f>
        <v>0</v>
      </c>
      <c r="G702" s="2">
        <f>(G625/G612)*AK77</f>
        <v>0</v>
      </c>
      <c r="H702" s="2" t="e">
        <f>(H628/H612)*AK60</f>
        <v>#DIV/0!</v>
      </c>
      <c r="I702" s="2" t="e">
        <f>(I629/I612)*AK78</f>
        <v>#DIV/0!</v>
      </c>
      <c r="J702" s="2" t="e">
        <f>(J630/J612)*AK79</f>
        <v>#DIV/0!</v>
      </c>
      <c r="K702" s="2" t="e">
        <f>(K644/K612)*AK75</f>
        <v>#DIV/0!</v>
      </c>
      <c r="L702" s="2" t="e">
        <f>(L647/L612)*AK80</f>
        <v>#DIV/0!</v>
      </c>
      <c r="M702" s="2" t="e">
        <f t="shared" si="20"/>
        <v>#DIV/0!</v>
      </c>
      <c r="N702" s="332" t="s">
        <v>720</v>
      </c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  <c r="BK702" s="2"/>
      <c r="BL702" s="2"/>
      <c r="BM702" s="2"/>
      <c r="BN702" s="2"/>
      <c r="BO702" s="2"/>
      <c r="BP702" s="2"/>
      <c r="BQ702" s="2"/>
      <c r="BR702" s="2"/>
      <c r="BS702" s="2"/>
      <c r="BT702" s="2"/>
      <c r="BU702" s="2"/>
      <c r="BV702" s="2"/>
      <c r="BW702" s="2"/>
      <c r="BX702" s="2"/>
      <c r="BY702" s="2"/>
      <c r="BZ702" s="2"/>
      <c r="CA702" s="2"/>
      <c r="CB702" s="2"/>
      <c r="CC702" s="2"/>
      <c r="CD702" s="2"/>
      <c r="CE702" s="2"/>
      <c r="CF702" s="2"/>
    </row>
    <row r="703" spans="1:84" ht="12.65" customHeight="1" x14ac:dyDescent="0.35">
      <c r="A703" s="338">
        <v>7320</v>
      </c>
      <c r="B703" s="332" t="s">
        <v>721</v>
      </c>
      <c r="C703" s="2">
        <f>AL71</f>
        <v>0</v>
      </c>
      <c r="D703" s="2">
        <f>(D615/D612)*AL76</f>
        <v>0</v>
      </c>
      <c r="E703" s="2">
        <f>(E623/E612)*SUM(C703:D703)</f>
        <v>0</v>
      </c>
      <c r="F703" s="2">
        <f>(F624/F612)*AL64</f>
        <v>0</v>
      </c>
      <c r="G703" s="2">
        <f>(G625/G612)*AL77</f>
        <v>0</v>
      </c>
      <c r="H703" s="2" t="e">
        <f>(H628/H612)*AL60</f>
        <v>#DIV/0!</v>
      </c>
      <c r="I703" s="2" t="e">
        <f>(I629/I612)*AL78</f>
        <v>#DIV/0!</v>
      </c>
      <c r="J703" s="2" t="e">
        <f>(J630/J612)*AL79</f>
        <v>#DIV/0!</v>
      </c>
      <c r="K703" s="2" t="e">
        <f>(K644/K612)*AL75</f>
        <v>#DIV/0!</v>
      </c>
      <c r="L703" s="2" t="e">
        <f>(L647/L612)*AL80</f>
        <v>#DIV/0!</v>
      </c>
      <c r="M703" s="2" t="e">
        <f t="shared" si="20"/>
        <v>#DIV/0!</v>
      </c>
      <c r="N703" s="332" t="s">
        <v>722</v>
      </c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  <c r="BJ703" s="2"/>
      <c r="BK703" s="2"/>
      <c r="BL703" s="2"/>
      <c r="BM703" s="2"/>
      <c r="BN703" s="2"/>
      <c r="BO703" s="2"/>
      <c r="BP703" s="2"/>
      <c r="BQ703" s="2"/>
      <c r="BR703" s="2"/>
      <c r="BS703" s="2"/>
      <c r="BT703" s="2"/>
      <c r="BU703" s="2"/>
      <c r="BV703" s="2"/>
      <c r="BW703" s="2"/>
      <c r="BX703" s="2"/>
      <c r="BY703" s="2"/>
      <c r="BZ703" s="2"/>
      <c r="CA703" s="2"/>
      <c r="CB703" s="2"/>
      <c r="CC703" s="2"/>
      <c r="CD703" s="2"/>
      <c r="CE703" s="2"/>
      <c r="CF703" s="2"/>
    </row>
    <row r="704" spans="1:84" ht="12.65" customHeight="1" x14ac:dyDescent="0.35">
      <c r="A704" s="338">
        <v>7330</v>
      </c>
      <c r="B704" s="332" t="s">
        <v>723</v>
      </c>
      <c r="C704" s="2">
        <f>AM71</f>
        <v>0</v>
      </c>
      <c r="D704" s="2">
        <f>(D615/D612)*AM76</f>
        <v>0</v>
      </c>
      <c r="E704" s="2">
        <f>(E623/E612)*SUM(C704:D704)</f>
        <v>0</v>
      </c>
      <c r="F704" s="2">
        <f>(F624/F612)*AM64</f>
        <v>0</v>
      </c>
      <c r="G704" s="2">
        <f>(G625/G612)*AM77</f>
        <v>0</v>
      </c>
      <c r="H704" s="2" t="e">
        <f>(H628/H612)*AM60</f>
        <v>#DIV/0!</v>
      </c>
      <c r="I704" s="2" t="e">
        <f>(I629/I612)*AM78</f>
        <v>#DIV/0!</v>
      </c>
      <c r="J704" s="2" t="e">
        <f>(J630/J612)*AM79</f>
        <v>#DIV/0!</v>
      </c>
      <c r="K704" s="2" t="e">
        <f>(K644/K612)*AM75</f>
        <v>#DIV/0!</v>
      </c>
      <c r="L704" s="2" t="e">
        <f>(L647/L612)*AM80</f>
        <v>#DIV/0!</v>
      </c>
      <c r="M704" s="2" t="e">
        <f t="shared" si="20"/>
        <v>#DIV/0!</v>
      </c>
      <c r="N704" s="332" t="s">
        <v>724</v>
      </c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  <c r="BK704" s="2"/>
      <c r="BL704" s="2"/>
      <c r="BM704" s="2"/>
      <c r="BN704" s="2"/>
      <c r="BO704" s="2"/>
      <c r="BP704" s="2"/>
      <c r="BQ704" s="2"/>
      <c r="BR704" s="2"/>
      <c r="BS704" s="2"/>
      <c r="BT704" s="2"/>
      <c r="BU704" s="2"/>
      <c r="BV704" s="2"/>
      <c r="BW704" s="2"/>
      <c r="BX704" s="2"/>
      <c r="BY704" s="2"/>
      <c r="BZ704" s="2"/>
      <c r="CA704" s="2"/>
      <c r="CB704" s="2"/>
      <c r="CC704" s="2"/>
      <c r="CD704" s="2"/>
      <c r="CE704" s="2"/>
      <c r="CF704" s="2"/>
    </row>
    <row r="705" spans="1:84" ht="12.65" customHeight="1" x14ac:dyDescent="0.35">
      <c r="A705" s="338">
        <v>7340</v>
      </c>
      <c r="B705" s="332" t="s">
        <v>725</v>
      </c>
      <c r="C705" s="2">
        <f>AN71</f>
        <v>0</v>
      </c>
      <c r="D705" s="2">
        <f>(D615/D612)*AN76</f>
        <v>0</v>
      </c>
      <c r="E705" s="2">
        <f>(E623/E612)*SUM(C705:D705)</f>
        <v>0</v>
      </c>
      <c r="F705" s="2">
        <f>(F624/F612)*AN64</f>
        <v>0</v>
      </c>
      <c r="G705" s="2">
        <f>(G625/G612)*AN77</f>
        <v>0</v>
      </c>
      <c r="H705" s="2" t="e">
        <f>(H628/H612)*AN60</f>
        <v>#DIV/0!</v>
      </c>
      <c r="I705" s="2" t="e">
        <f>(I629/I612)*AN78</f>
        <v>#DIV/0!</v>
      </c>
      <c r="J705" s="2" t="e">
        <f>(J630/J612)*AN79</f>
        <v>#DIV/0!</v>
      </c>
      <c r="K705" s="2" t="e">
        <f>(K644/K612)*AN75</f>
        <v>#DIV/0!</v>
      </c>
      <c r="L705" s="2" t="e">
        <f>(L647/L612)*AN80</f>
        <v>#DIV/0!</v>
      </c>
      <c r="M705" s="2" t="e">
        <f t="shared" si="20"/>
        <v>#DIV/0!</v>
      </c>
      <c r="N705" s="332" t="s">
        <v>726</v>
      </c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  <c r="BJ705" s="2"/>
      <c r="BK705" s="2"/>
      <c r="BL705" s="2"/>
      <c r="BM705" s="2"/>
      <c r="BN705" s="2"/>
      <c r="BO705" s="2"/>
      <c r="BP705" s="2"/>
      <c r="BQ705" s="2"/>
      <c r="BR705" s="2"/>
      <c r="BS705" s="2"/>
      <c r="BT705" s="2"/>
      <c r="BU705" s="2"/>
      <c r="BV705" s="2"/>
      <c r="BW705" s="2"/>
      <c r="BX705" s="2"/>
      <c r="BY705" s="2"/>
      <c r="BZ705" s="2"/>
      <c r="CA705" s="2"/>
      <c r="CB705" s="2"/>
      <c r="CC705" s="2"/>
      <c r="CD705" s="2"/>
      <c r="CE705" s="2"/>
      <c r="CF705" s="2"/>
    </row>
    <row r="706" spans="1:84" ht="12.65" customHeight="1" x14ac:dyDescent="0.35">
      <c r="A706" s="338">
        <v>7350</v>
      </c>
      <c r="B706" s="332" t="s">
        <v>727</v>
      </c>
      <c r="C706" s="2">
        <f>AO71</f>
        <v>0</v>
      </c>
      <c r="D706" s="2">
        <f>(D615/D612)*AO76</f>
        <v>0</v>
      </c>
      <c r="E706" s="2">
        <f>(E623/E612)*SUM(C706:D706)</f>
        <v>0</v>
      </c>
      <c r="F706" s="2">
        <f>(F624/F612)*AO64</f>
        <v>0</v>
      </c>
      <c r="G706" s="2">
        <f>(G625/G612)*AO77</f>
        <v>0</v>
      </c>
      <c r="H706" s="2" t="e">
        <f>(H628/H612)*AO60</f>
        <v>#DIV/0!</v>
      </c>
      <c r="I706" s="2" t="e">
        <f>(I629/I612)*AO78</f>
        <v>#DIV/0!</v>
      </c>
      <c r="J706" s="2" t="e">
        <f>(J630/J612)*AO79</f>
        <v>#DIV/0!</v>
      </c>
      <c r="K706" s="2" t="e">
        <f>(K644/K612)*AO75</f>
        <v>#DIV/0!</v>
      </c>
      <c r="L706" s="2" t="e">
        <f>(L647/L612)*AO80</f>
        <v>#DIV/0!</v>
      </c>
      <c r="M706" s="2" t="e">
        <f t="shared" si="20"/>
        <v>#DIV/0!</v>
      </c>
      <c r="N706" s="332" t="s">
        <v>728</v>
      </c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  <c r="BJ706" s="2"/>
      <c r="BK706" s="2"/>
      <c r="BL706" s="2"/>
      <c r="BM706" s="2"/>
      <c r="BN706" s="2"/>
      <c r="BO706" s="2"/>
      <c r="BP706" s="2"/>
      <c r="BQ706" s="2"/>
      <c r="BR706" s="2"/>
      <c r="BS706" s="2"/>
      <c r="BT706" s="2"/>
      <c r="BU706" s="2"/>
      <c r="BV706" s="2"/>
      <c r="BW706" s="2"/>
      <c r="BX706" s="2"/>
      <c r="BY706" s="2"/>
      <c r="BZ706" s="2"/>
      <c r="CA706" s="2"/>
      <c r="CB706" s="2"/>
      <c r="CC706" s="2"/>
      <c r="CD706" s="2"/>
      <c r="CE706" s="2"/>
      <c r="CF706" s="2"/>
    </row>
    <row r="707" spans="1:84" ht="12.65" customHeight="1" x14ac:dyDescent="0.35">
      <c r="A707" s="338">
        <v>7380</v>
      </c>
      <c r="B707" s="332" t="s">
        <v>729</v>
      </c>
      <c r="C707" s="2">
        <f>AP71</f>
        <v>0</v>
      </c>
      <c r="D707" s="2">
        <f>(D615/D612)*AP76</f>
        <v>0</v>
      </c>
      <c r="E707" s="2">
        <f>(E623/E612)*SUM(C707:D707)</f>
        <v>0</v>
      </c>
      <c r="F707" s="2">
        <f>(F624/F612)*AP64</f>
        <v>0</v>
      </c>
      <c r="G707" s="2">
        <f>(G625/G612)*AP77</f>
        <v>0</v>
      </c>
      <c r="H707" s="2" t="e">
        <f>(H628/H612)*AP60</f>
        <v>#DIV/0!</v>
      </c>
      <c r="I707" s="2" t="e">
        <f>(I629/I612)*AP78</f>
        <v>#DIV/0!</v>
      </c>
      <c r="J707" s="2" t="e">
        <f>(J630/J612)*AP79</f>
        <v>#DIV/0!</v>
      </c>
      <c r="K707" s="2" t="e">
        <f>(K644/K612)*AP75</f>
        <v>#DIV/0!</v>
      </c>
      <c r="L707" s="2" t="e">
        <f>(L647/L612)*AP80</f>
        <v>#DIV/0!</v>
      </c>
      <c r="M707" s="2" t="e">
        <f t="shared" si="20"/>
        <v>#DIV/0!</v>
      </c>
      <c r="N707" s="332" t="s">
        <v>730</v>
      </c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  <c r="BJ707" s="2"/>
      <c r="BK707" s="2"/>
      <c r="BL707" s="2"/>
      <c r="BM707" s="2"/>
      <c r="BN707" s="2"/>
      <c r="BO707" s="2"/>
      <c r="BP707" s="2"/>
      <c r="BQ707" s="2"/>
      <c r="BR707" s="2"/>
      <c r="BS707" s="2"/>
      <c r="BT707" s="2"/>
      <c r="BU707" s="2"/>
      <c r="BV707" s="2"/>
      <c r="BW707" s="2"/>
      <c r="BX707" s="2"/>
      <c r="BY707" s="2"/>
      <c r="BZ707" s="2"/>
      <c r="CA707" s="2"/>
      <c r="CB707" s="2"/>
      <c r="CC707" s="2"/>
      <c r="CD707" s="2"/>
      <c r="CE707" s="2"/>
      <c r="CF707" s="2"/>
    </row>
    <row r="708" spans="1:84" ht="12.65" customHeight="1" x14ac:dyDescent="0.35">
      <c r="A708" s="338">
        <v>7390</v>
      </c>
      <c r="B708" s="332" t="s">
        <v>731</v>
      </c>
      <c r="C708" s="2">
        <f>AQ71</f>
        <v>0</v>
      </c>
      <c r="D708" s="2">
        <f>(D615/D612)*AQ76</f>
        <v>0</v>
      </c>
      <c r="E708" s="2">
        <f>(E623/E612)*SUM(C708:D708)</f>
        <v>0</v>
      </c>
      <c r="F708" s="2">
        <f>(F624/F612)*AQ64</f>
        <v>0</v>
      </c>
      <c r="G708" s="2">
        <f>(G625/G612)*AQ77</f>
        <v>0</v>
      </c>
      <c r="H708" s="2" t="e">
        <f>(H628/H612)*AQ60</f>
        <v>#DIV/0!</v>
      </c>
      <c r="I708" s="2" t="e">
        <f>(I629/I612)*AQ78</f>
        <v>#DIV/0!</v>
      </c>
      <c r="J708" s="2" t="e">
        <f>(J630/J612)*AQ79</f>
        <v>#DIV/0!</v>
      </c>
      <c r="K708" s="2" t="e">
        <f>(K644/K612)*AQ75</f>
        <v>#DIV/0!</v>
      </c>
      <c r="L708" s="2" t="e">
        <f>(L647/L612)*AQ80</f>
        <v>#DIV/0!</v>
      </c>
      <c r="M708" s="2" t="e">
        <f t="shared" si="20"/>
        <v>#DIV/0!</v>
      </c>
      <c r="N708" s="332" t="s">
        <v>732</v>
      </c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  <c r="BK708" s="2"/>
      <c r="BL708" s="2"/>
      <c r="BM708" s="2"/>
      <c r="BN708" s="2"/>
      <c r="BO708" s="2"/>
      <c r="BP708" s="2"/>
      <c r="BQ708" s="2"/>
      <c r="BR708" s="2"/>
      <c r="BS708" s="2"/>
      <c r="BT708" s="2"/>
      <c r="BU708" s="2"/>
      <c r="BV708" s="2"/>
      <c r="BW708" s="2"/>
      <c r="BX708" s="2"/>
      <c r="BY708" s="2"/>
      <c r="BZ708" s="2"/>
      <c r="CA708" s="2"/>
      <c r="CB708" s="2"/>
      <c r="CC708" s="2"/>
      <c r="CD708" s="2"/>
      <c r="CE708" s="2"/>
      <c r="CF708" s="2"/>
    </row>
    <row r="709" spans="1:84" ht="12.65" customHeight="1" x14ac:dyDescent="0.35">
      <c r="A709" s="338">
        <v>7400</v>
      </c>
      <c r="B709" s="332" t="s">
        <v>733</v>
      </c>
      <c r="C709" s="2">
        <f>AR71</f>
        <v>396737.60000000003</v>
      </c>
      <c r="D709" s="2">
        <f>(D615/D612)*AR76</f>
        <v>18930.165760631549</v>
      </c>
      <c r="E709" s="2">
        <f>(E623/E612)*SUM(C709:D709)</f>
        <v>71319.111157347128</v>
      </c>
      <c r="F709" s="2">
        <f>(F624/F612)*AR64</f>
        <v>1073.6018135061772</v>
      </c>
      <c r="G709" s="2">
        <f>(G625/G612)*AR77</f>
        <v>0</v>
      </c>
      <c r="H709" s="2" t="e">
        <f>(H628/H612)*AR60</f>
        <v>#DIV/0!</v>
      </c>
      <c r="I709" s="2" t="e">
        <f>(I629/I612)*AR78</f>
        <v>#DIV/0!</v>
      </c>
      <c r="J709" s="2" t="e">
        <f>(J630/J612)*AR79</f>
        <v>#DIV/0!</v>
      </c>
      <c r="K709" s="2" t="e">
        <f>(K644/K612)*AR75</f>
        <v>#DIV/0!</v>
      </c>
      <c r="L709" s="2" t="e">
        <f>(L647/L612)*AR80</f>
        <v>#DIV/0!</v>
      </c>
      <c r="M709" s="2" t="e">
        <f t="shared" si="20"/>
        <v>#DIV/0!</v>
      </c>
      <c r="N709" s="332" t="s">
        <v>734</v>
      </c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2"/>
      <c r="BJ709" s="2"/>
      <c r="BK709" s="2"/>
      <c r="BL709" s="2"/>
      <c r="BM709" s="2"/>
      <c r="BN709" s="2"/>
      <c r="BO709" s="2"/>
      <c r="BP709" s="2"/>
      <c r="BQ709" s="2"/>
      <c r="BR709" s="2"/>
      <c r="BS709" s="2"/>
      <c r="BT709" s="2"/>
      <c r="BU709" s="2"/>
      <c r="BV709" s="2"/>
      <c r="BW709" s="2"/>
      <c r="BX709" s="2"/>
      <c r="BY709" s="2"/>
      <c r="BZ709" s="2"/>
      <c r="CA709" s="2"/>
      <c r="CB709" s="2"/>
      <c r="CC709" s="2"/>
      <c r="CD709" s="2"/>
      <c r="CE709" s="2"/>
      <c r="CF709" s="2"/>
    </row>
    <row r="710" spans="1:84" ht="12.65" customHeight="1" x14ac:dyDescent="0.35">
      <c r="A710" s="338">
        <v>7410</v>
      </c>
      <c r="B710" s="332" t="s">
        <v>129</v>
      </c>
      <c r="C710" s="2">
        <f>AS71</f>
        <v>0</v>
      </c>
      <c r="D710" s="2">
        <f>(D615/D612)*AS76</f>
        <v>0</v>
      </c>
      <c r="E710" s="2">
        <f>(E623/E612)*SUM(C710:D710)</f>
        <v>0</v>
      </c>
      <c r="F710" s="2">
        <f>(F624/F612)*AS64</f>
        <v>0</v>
      </c>
      <c r="G710" s="2">
        <f>(G625/G612)*AS77</f>
        <v>0</v>
      </c>
      <c r="H710" s="2" t="e">
        <f>(H628/H612)*AS60</f>
        <v>#DIV/0!</v>
      </c>
      <c r="I710" s="2" t="e">
        <f>(I629/I612)*AS78</f>
        <v>#DIV/0!</v>
      </c>
      <c r="J710" s="2" t="e">
        <f>(J630/J612)*AS79</f>
        <v>#DIV/0!</v>
      </c>
      <c r="K710" s="2" t="e">
        <f>(K644/K612)*AS75</f>
        <v>#DIV/0!</v>
      </c>
      <c r="L710" s="2" t="e">
        <f>(L647/L612)*AS80</f>
        <v>#DIV/0!</v>
      </c>
      <c r="M710" s="2" t="e">
        <f t="shared" si="20"/>
        <v>#DIV/0!</v>
      </c>
      <c r="N710" s="332" t="s">
        <v>735</v>
      </c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  <c r="BJ710" s="2"/>
      <c r="BK710" s="2"/>
      <c r="BL710" s="2"/>
      <c r="BM710" s="2"/>
      <c r="BN710" s="2"/>
      <c r="BO710" s="2"/>
      <c r="BP710" s="2"/>
      <c r="BQ710" s="2"/>
      <c r="BR710" s="2"/>
      <c r="BS710" s="2"/>
      <c r="BT710" s="2"/>
      <c r="BU710" s="2"/>
      <c r="BV710" s="2"/>
      <c r="BW710" s="2"/>
      <c r="BX710" s="2"/>
      <c r="BY710" s="2"/>
      <c r="BZ710" s="2"/>
      <c r="CA710" s="2"/>
      <c r="CB710" s="2"/>
      <c r="CC710" s="2"/>
      <c r="CD710" s="2"/>
      <c r="CE710" s="2"/>
      <c r="CF710" s="2"/>
    </row>
    <row r="711" spans="1:84" ht="12.65" customHeight="1" x14ac:dyDescent="0.35">
      <c r="A711" s="338">
        <v>7420</v>
      </c>
      <c r="B711" s="332" t="s">
        <v>736</v>
      </c>
      <c r="C711" s="2">
        <f>AT71</f>
        <v>0</v>
      </c>
      <c r="D711" s="2">
        <f>(D615/D612)*AT76</f>
        <v>0</v>
      </c>
      <c r="E711" s="2">
        <f>(E623/E612)*SUM(C711:D711)</f>
        <v>0</v>
      </c>
      <c r="F711" s="2">
        <f>(F624/F612)*AT64</f>
        <v>0</v>
      </c>
      <c r="G711" s="2">
        <f>(G625/G612)*AT77</f>
        <v>0</v>
      </c>
      <c r="H711" s="2" t="e">
        <f>(H628/H612)*AT60</f>
        <v>#DIV/0!</v>
      </c>
      <c r="I711" s="2" t="e">
        <f>(I629/I612)*AT78</f>
        <v>#DIV/0!</v>
      </c>
      <c r="J711" s="2" t="e">
        <f>(J630/J612)*AT79</f>
        <v>#DIV/0!</v>
      </c>
      <c r="K711" s="2" t="e">
        <f>(K644/K612)*AT75</f>
        <v>#DIV/0!</v>
      </c>
      <c r="L711" s="2" t="e">
        <f>(L647/L612)*AT80</f>
        <v>#DIV/0!</v>
      </c>
      <c r="M711" s="2" t="e">
        <f t="shared" si="20"/>
        <v>#DIV/0!</v>
      </c>
      <c r="N711" s="332" t="s">
        <v>737</v>
      </c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2"/>
      <c r="BJ711" s="2"/>
      <c r="BK711" s="2"/>
      <c r="BL711" s="2"/>
      <c r="BM711" s="2"/>
      <c r="BN711" s="2"/>
      <c r="BO711" s="2"/>
      <c r="BP711" s="2"/>
      <c r="BQ711" s="2"/>
      <c r="BR711" s="2"/>
      <c r="BS711" s="2"/>
      <c r="BT711" s="2"/>
      <c r="BU711" s="2"/>
      <c r="BV711" s="2"/>
      <c r="BW711" s="2"/>
      <c r="BX711" s="2"/>
      <c r="BY711" s="2"/>
      <c r="BZ711" s="2"/>
      <c r="CA711" s="2"/>
      <c r="CB711" s="2"/>
      <c r="CC711" s="2"/>
      <c r="CD711" s="2"/>
      <c r="CE711" s="2"/>
      <c r="CF711" s="2"/>
    </row>
    <row r="712" spans="1:84" ht="12.65" customHeight="1" x14ac:dyDescent="0.35">
      <c r="A712" s="338">
        <v>7430</v>
      </c>
      <c r="B712" s="332" t="s">
        <v>738</v>
      </c>
      <c r="C712" s="2">
        <f>AU71</f>
        <v>0</v>
      </c>
      <c r="D712" s="2">
        <f>(D615/D612)*AU76</f>
        <v>0</v>
      </c>
      <c r="E712" s="2">
        <f>(E623/E612)*SUM(C712:D712)</f>
        <v>0</v>
      </c>
      <c r="F712" s="2">
        <f>(F624/F612)*AU64</f>
        <v>0</v>
      </c>
      <c r="G712" s="2">
        <f>(G625/G612)*AU77</f>
        <v>0</v>
      </c>
      <c r="H712" s="2" t="e">
        <f>(H628/H612)*AU60</f>
        <v>#DIV/0!</v>
      </c>
      <c r="I712" s="2" t="e">
        <f>(I629/I612)*AU78</f>
        <v>#DIV/0!</v>
      </c>
      <c r="J712" s="2" t="e">
        <f>(J630/J612)*AU79</f>
        <v>#DIV/0!</v>
      </c>
      <c r="K712" s="2" t="e">
        <f>(K644/K612)*AU75</f>
        <v>#DIV/0!</v>
      </c>
      <c r="L712" s="2" t="e">
        <f>(L647/L612)*AU80</f>
        <v>#DIV/0!</v>
      </c>
      <c r="M712" s="2" t="e">
        <f t="shared" si="20"/>
        <v>#DIV/0!</v>
      </c>
      <c r="N712" s="332" t="s">
        <v>739</v>
      </c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  <c r="BJ712" s="2"/>
      <c r="BK712" s="2"/>
      <c r="BL712" s="2"/>
      <c r="BM712" s="2"/>
      <c r="BN712" s="2"/>
      <c r="BO712" s="2"/>
      <c r="BP712" s="2"/>
      <c r="BQ712" s="2"/>
      <c r="BR712" s="2"/>
      <c r="BS712" s="2"/>
      <c r="BT712" s="2"/>
      <c r="BU712" s="2"/>
      <c r="BV712" s="2"/>
      <c r="BW712" s="2"/>
      <c r="BX712" s="2"/>
      <c r="BY712" s="2"/>
      <c r="BZ712" s="2"/>
      <c r="CA712" s="2"/>
      <c r="CB712" s="2"/>
      <c r="CC712" s="2"/>
      <c r="CD712" s="2"/>
      <c r="CE712" s="2"/>
      <c r="CF712" s="2"/>
    </row>
    <row r="713" spans="1:84" ht="12.65" customHeight="1" x14ac:dyDescent="0.35">
      <c r="A713" s="338">
        <v>7490</v>
      </c>
      <c r="B713" s="332" t="s">
        <v>740</v>
      </c>
      <c r="C713" s="2">
        <f>AV71</f>
        <v>0</v>
      </c>
      <c r="D713" s="2">
        <f>(D615/D612)*AV76</f>
        <v>0</v>
      </c>
      <c r="E713" s="2">
        <f>(E623/E612)*SUM(C713:D713)</f>
        <v>0</v>
      </c>
      <c r="F713" s="2">
        <f>(F624/F612)*AV64</f>
        <v>0</v>
      </c>
      <c r="G713" s="2">
        <f>(G625/G612)*AV77</f>
        <v>0</v>
      </c>
      <c r="H713" s="2" t="e">
        <f>(H628/H612)*AV60</f>
        <v>#DIV/0!</v>
      </c>
      <c r="I713" s="2" t="e">
        <f>(I629/I612)*AV78</f>
        <v>#DIV/0!</v>
      </c>
      <c r="J713" s="2" t="e">
        <f>(J630/J612)*AV79</f>
        <v>#DIV/0!</v>
      </c>
      <c r="K713" s="2" t="e">
        <f>(K644/K612)*AV75</f>
        <v>#DIV/0!</v>
      </c>
      <c r="L713" s="2" t="e">
        <f>(L647/L612)*AV80</f>
        <v>#DIV/0!</v>
      </c>
      <c r="M713" s="2" t="e">
        <f t="shared" si="20"/>
        <v>#DIV/0!</v>
      </c>
      <c r="N713" s="324" t="s">
        <v>741</v>
      </c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2"/>
      <c r="BJ713" s="2"/>
      <c r="BK713" s="2"/>
      <c r="BL713" s="2"/>
      <c r="BM713" s="2"/>
      <c r="BN713" s="2"/>
      <c r="BO713" s="2"/>
      <c r="BP713" s="2"/>
      <c r="BQ713" s="2"/>
      <c r="BR713" s="2"/>
      <c r="BS713" s="2"/>
      <c r="BT713" s="2"/>
      <c r="BU713" s="2"/>
      <c r="BV713" s="2"/>
      <c r="BW713" s="2"/>
      <c r="BX713" s="2"/>
      <c r="BY713" s="2"/>
      <c r="BZ713" s="2"/>
      <c r="CA713" s="2"/>
      <c r="CB713" s="2"/>
      <c r="CC713" s="2"/>
      <c r="CD713" s="2"/>
      <c r="CE713" s="2"/>
      <c r="CF713" s="2"/>
    </row>
    <row r="714" spans="1:84" ht="12.65" customHeight="1" x14ac:dyDescent="0.3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  <c r="BK714" s="2"/>
      <c r="BL714" s="2"/>
      <c r="BM714" s="2"/>
      <c r="BN714" s="2"/>
      <c r="BO714" s="2"/>
      <c r="BP714" s="2"/>
      <c r="BQ714" s="2"/>
      <c r="BR714" s="2"/>
      <c r="BS714" s="2"/>
      <c r="BT714" s="2"/>
      <c r="BU714" s="2"/>
      <c r="BV714" s="2"/>
      <c r="BW714" s="2"/>
      <c r="BX714" s="2"/>
      <c r="BY714" s="2"/>
      <c r="BZ714" s="2"/>
      <c r="CA714" s="2"/>
      <c r="CB714" s="2"/>
      <c r="CC714" s="2"/>
      <c r="CD714" s="2"/>
      <c r="CE714" s="2"/>
      <c r="CF714" s="2"/>
    </row>
    <row r="715" spans="1:84" ht="12.65" customHeight="1" x14ac:dyDescent="0.35">
      <c r="A715" s="2"/>
      <c r="B715" s="2"/>
      <c r="C715" s="2">
        <f>SUM(C614:C647)+SUM(C668:C713)</f>
        <v>26400749.422000002</v>
      </c>
      <c r="D715" s="2">
        <f>SUM(D616:D647)+SUM(D668:D713)</f>
        <v>998523.08999999985</v>
      </c>
      <c r="E715" s="2">
        <f>SUM(E624:E647)+SUM(E668:E713)</f>
        <v>3866383.4117690432</v>
      </c>
      <c r="F715" s="2">
        <f>SUM(F625:F648)+SUM(F668:F713)</f>
        <v>108449.79414263653</v>
      </c>
      <c r="G715" s="2">
        <f>SUM(G626:G647)+SUM(G668:G713)</f>
        <v>695107.33837402449</v>
      </c>
      <c r="H715" s="2" t="e">
        <f>SUM(H629:H647)+SUM(H668:H713)</f>
        <v>#DIV/0!</v>
      </c>
      <c r="I715" s="2" t="e">
        <f>SUM(I630:I647)+SUM(I668:I713)</f>
        <v>#DIV/0!</v>
      </c>
      <c r="J715" s="2" t="e">
        <f>SUM(J631:J647)+SUM(J668:J713)</f>
        <v>#DIV/0!</v>
      </c>
      <c r="K715" s="2" t="e">
        <f>SUM(K668:K713)</f>
        <v>#DIV/0!</v>
      </c>
      <c r="L715" s="2" t="e">
        <f>SUM(L668:L713)</f>
        <v>#DIV/0!</v>
      </c>
      <c r="M715" s="2" t="e">
        <f>SUM(M668:M713)</f>
        <v>#DIV/0!</v>
      </c>
      <c r="N715" s="332" t="s">
        <v>742</v>
      </c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  <c r="BJ715" s="2"/>
      <c r="BK715" s="2"/>
      <c r="BL715" s="2"/>
      <c r="BM715" s="2"/>
      <c r="BN715" s="2"/>
      <c r="BO715" s="2"/>
      <c r="BP715" s="2"/>
      <c r="BQ715" s="2"/>
      <c r="BR715" s="2"/>
      <c r="BS715" s="2"/>
      <c r="BT715" s="2"/>
      <c r="BU715" s="2"/>
      <c r="BV715" s="2"/>
      <c r="BW715" s="2"/>
      <c r="BX715" s="2"/>
      <c r="BY715" s="2"/>
      <c r="BZ715" s="2"/>
      <c r="CA715" s="2"/>
      <c r="CB715" s="2"/>
      <c r="CC715" s="2"/>
      <c r="CD715" s="2"/>
      <c r="CE715" s="2"/>
      <c r="CF715" s="2"/>
    </row>
    <row r="716" spans="1:84" ht="12.65" customHeight="1" x14ac:dyDescent="0.35">
      <c r="A716" s="2"/>
      <c r="B716" s="2"/>
      <c r="C716" s="2">
        <f>CE71</f>
        <v>26400749.421999991</v>
      </c>
      <c r="D716" s="2">
        <f>D615</f>
        <v>998523.08999999985</v>
      </c>
      <c r="E716" s="2">
        <f>E623</f>
        <v>3866383.4117690441</v>
      </c>
      <c r="F716" s="2">
        <f>F624</f>
        <v>108449.7941426365</v>
      </c>
      <c r="G716" s="2">
        <f>G625</f>
        <v>695107.33837402449</v>
      </c>
      <c r="H716" s="2">
        <f>H628</f>
        <v>23975.771708822158</v>
      </c>
      <c r="I716" s="2" t="e">
        <f>I629</f>
        <v>#DIV/0!</v>
      </c>
      <c r="J716" s="2" t="e">
        <f>J630</f>
        <v>#DIV/0!</v>
      </c>
      <c r="K716" s="2" t="e">
        <f>K644</f>
        <v>#DIV/0!</v>
      </c>
      <c r="L716" s="2" t="e">
        <f>L647</f>
        <v>#DIV/0!</v>
      </c>
      <c r="M716" s="2">
        <f>C648</f>
        <v>9039200.5799999982</v>
      </c>
      <c r="N716" s="332" t="s">
        <v>743</v>
      </c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  <c r="BJ716" s="2"/>
      <c r="BK716" s="2"/>
      <c r="BL716" s="2"/>
      <c r="BM716" s="2"/>
      <c r="BN716" s="2"/>
      <c r="BO716" s="2"/>
      <c r="BP716" s="2"/>
      <c r="BQ716" s="2"/>
      <c r="BR716" s="2"/>
      <c r="BS716" s="2"/>
      <c r="BT716" s="2"/>
      <c r="BU716" s="2"/>
      <c r="BV716" s="2"/>
      <c r="BW716" s="2"/>
      <c r="BX716" s="2"/>
      <c r="BY716" s="2"/>
      <c r="BZ716" s="2"/>
      <c r="CA716" s="2"/>
      <c r="CB716" s="2"/>
      <c r="CC716" s="2"/>
      <c r="CD716" s="2"/>
      <c r="CE716" s="2"/>
      <c r="CF716" s="2"/>
    </row>
    <row r="717" spans="1:84" ht="12.65" customHeight="1" x14ac:dyDescent="0.35">
      <c r="O717" s="198"/>
    </row>
    <row r="718" spans="1:84" ht="12.65" customHeight="1" x14ac:dyDescent="0.35">
      <c r="O718" s="198"/>
    </row>
    <row r="719" spans="1:84" ht="12.65" customHeight="1" x14ac:dyDescent="0.35">
      <c r="A719" s="201" t="s">
        <v>744</v>
      </c>
      <c r="B719" s="201"/>
      <c r="C719" s="201"/>
      <c r="D719" s="201"/>
      <c r="E719" s="201"/>
      <c r="F719" s="201"/>
      <c r="G719" s="201"/>
      <c r="H719" s="201"/>
      <c r="I719" s="284"/>
      <c r="J719" s="284"/>
      <c r="K719" s="284"/>
      <c r="L719" s="284"/>
      <c r="M719" s="284"/>
      <c r="N719" s="284"/>
      <c r="O719" s="202"/>
      <c r="P719" s="284"/>
      <c r="Q719" s="284"/>
      <c r="R719" s="284"/>
      <c r="S719" s="284"/>
      <c r="T719" s="284"/>
      <c r="U719" s="284"/>
      <c r="V719" s="284"/>
      <c r="W719" s="284"/>
      <c r="X719" s="284"/>
      <c r="Y719" s="284"/>
      <c r="Z719" s="284"/>
      <c r="AA719" s="284"/>
      <c r="AB719" s="284"/>
      <c r="AC719" s="284"/>
      <c r="AD719" s="284"/>
      <c r="AE719" s="284"/>
      <c r="AF719" s="284"/>
      <c r="AG719" s="284"/>
      <c r="AH719" s="284"/>
      <c r="AI719" s="284"/>
      <c r="AJ719" s="284"/>
      <c r="AK719" s="284"/>
      <c r="AL719" s="284"/>
      <c r="AM719" s="284"/>
      <c r="AN719" s="284"/>
      <c r="AO719" s="284"/>
      <c r="AP719" s="284"/>
      <c r="AQ719" s="284"/>
      <c r="AR719" s="284"/>
      <c r="AS719" s="284"/>
      <c r="AT719" s="284"/>
      <c r="AU719" s="284"/>
      <c r="AV719" s="284"/>
      <c r="AW719" s="284"/>
      <c r="AX719" s="284"/>
      <c r="AY719" s="284"/>
      <c r="AZ719" s="284"/>
      <c r="BA719" s="284"/>
      <c r="BB719" s="284"/>
      <c r="BC719" s="284"/>
      <c r="BD719" s="284"/>
      <c r="BE719" s="284"/>
      <c r="BF719" s="284"/>
      <c r="BG719" s="284"/>
      <c r="BH719" s="284"/>
      <c r="BI719" s="284"/>
      <c r="BJ719" s="284"/>
      <c r="BK719" s="284"/>
      <c r="BL719" s="284"/>
      <c r="BM719" s="284"/>
      <c r="BN719" s="284"/>
      <c r="BO719" s="284"/>
      <c r="BP719" s="284"/>
      <c r="BQ719" s="284"/>
      <c r="BR719" s="284"/>
      <c r="BS719" s="284"/>
      <c r="BT719" s="284"/>
      <c r="BU719" s="284"/>
      <c r="BV719" s="284"/>
      <c r="BW719" s="284"/>
      <c r="BX719" s="284"/>
      <c r="BY719" s="284"/>
      <c r="BZ719" s="284"/>
      <c r="CA719" s="284"/>
      <c r="CB719" s="284"/>
      <c r="CC719" s="284"/>
      <c r="CD719" s="284"/>
    </row>
    <row r="720" spans="1:84" ht="12.65" customHeight="1" x14ac:dyDescent="0.35">
      <c r="A720" s="203" t="s">
        <v>745</v>
      </c>
      <c r="B720" s="203" t="s">
        <v>746</v>
      </c>
      <c r="C720" s="203" t="s">
        <v>747</v>
      </c>
      <c r="D720" s="203" t="s">
        <v>748</v>
      </c>
      <c r="E720" s="203" t="s">
        <v>749</v>
      </c>
      <c r="F720" s="203" t="s">
        <v>750</v>
      </c>
      <c r="G720" s="203" t="s">
        <v>751</v>
      </c>
      <c r="H720" s="203" t="s">
        <v>752</v>
      </c>
      <c r="I720" s="203" t="s">
        <v>753</v>
      </c>
      <c r="J720" s="203" t="s">
        <v>754</v>
      </c>
      <c r="K720" s="203" t="s">
        <v>755</v>
      </c>
      <c r="L720" s="203" t="s">
        <v>756</v>
      </c>
      <c r="M720" s="203" t="s">
        <v>757</v>
      </c>
      <c r="N720" s="203" t="s">
        <v>758</v>
      </c>
      <c r="O720" s="203" t="s">
        <v>759</v>
      </c>
      <c r="P720" s="203" t="s">
        <v>760</v>
      </c>
      <c r="Q720" s="203" t="s">
        <v>761</v>
      </c>
      <c r="R720" s="203" t="s">
        <v>762</v>
      </c>
      <c r="S720" s="203" t="s">
        <v>763</v>
      </c>
      <c r="T720" s="203" t="s">
        <v>764</v>
      </c>
      <c r="U720" s="203" t="s">
        <v>765</v>
      </c>
      <c r="V720" s="203" t="s">
        <v>766</v>
      </c>
      <c r="W720" s="203" t="s">
        <v>767</v>
      </c>
      <c r="X720" s="203" t="s">
        <v>768</v>
      </c>
      <c r="Y720" s="203" t="s">
        <v>769</v>
      </c>
      <c r="Z720" s="203" t="s">
        <v>770</v>
      </c>
      <c r="AA720" s="203" t="s">
        <v>771</v>
      </c>
      <c r="AB720" s="203" t="s">
        <v>772</v>
      </c>
      <c r="AC720" s="203" t="s">
        <v>773</v>
      </c>
      <c r="AD720" s="203" t="s">
        <v>774</v>
      </c>
      <c r="AE720" s="203" t="s">
        <v>775</v>
      </c>
      <c r="AF720" s="203" t="s">
        <v>776</v>
      </c>
      <c r="AG720" s="203" t="s">
        <v>777</v>
      </c>
      <c r="AH720" s="203" t="s">
        <v>778</v>
      </c>
      <c r="AI720" s="203" t="s">
        <v>779</v>
      </c>
      <c r="AJ720" s="203" t="s">
        <v>780</v>
      </c>
      <c r="AK720" s="203" t="s">
        <v>781</v>
      </c>
      <c r="AL720" s="203" t="s">
        <v>782</v>
      </c>
      <c r="AM720" s="203" t="s">
        <v>783</v>
      </c>
      <c r="AN720" s="203" t="s">
        <v>784</v>
      </c>
      <c r="AO720" s="203" t="s">
        <v>785</v>
      </c>
      <c r="AP720" s="203" t="s">
        <v>786</v>
      </c>
      <c r="AQ720" s="203" t="s">
        <v>787</v>
      </c>
      <c r="AR720" s="203" t="s">
        <v>788</v>
      </c>
      <c r="AS720" s="203" t="s">
        <v>789</v>
      </c>
      <c r="AT720" s="203" t="s">
        <v>790</v>
      </c>
      <c r="AU720" s="203" t="s">
        <v>791</v>
      </c>
      <c r="AV720" s="203" t="s">
        <v>792</v>
      </c>
      <c r="AW720" s="203" t="s">
        <v>793</v>
      </c>
      <c r="AX720" s="203" t="s">
        <v>794</v>
      </c>
      <c r="AY720" s="203" t="s">
        <v>795</v>
      </c>
      <c r="AZ720" s="203" t="s">
        <v>796</v>
      </c>
      <c r="BA720" s="203" t="s">
        <v>797</v>
      </c>
      <c r="BB720" s="203" t="s">
        <v>798</v>
      </c>
      <c r="BC720" s="203" t="s">
        <v>799</v>
      </c>
      <c r="BD720" s="203" t="s">
        <v>800</v>
      </c>
      <c r="BE720" s="203" t="s">
        <v>801</v>
      </c>
      <c r="BF720" s="203" t="s">
        <v>802</v>
      </c>
      <c r="BG720" s="203" t="s">
        <v>803</v>
      </c>
      <c r="BH720" s="203" t="s">
        <v>804</v>
      </c>
      <c r="BI720" s="203" t="s">
        <v>805</v>
      </c>
      <c r="BJ720" s="203" t="s">
        <v>806</v>
      </c>
      <c r="BK720" s="203" t="s">
        <v>807</v>
      </c>
      <c r="BL720" s="203" t="s">
        <v>808</v>
      </c>
      <c r="BM720" s="203" t="s">
        <v>809</v>
      </c>
      <c r="BN720" s="203" t="s">
        <v>810</v>
      </c>
      <c r="BO720" s="203" t="s">
        <v>811</v>
      </c>
      <c r="BP720" s="203" t="s">
        <v>812</v>
      </c>
      <c r="BQ720" s="203" t="s">
        <v>813</v>
      </c>
      <c r="BR720" s="203" t="s">
        <v>814</v>
      </c>
      <c r="BS720" s="203" t="s">
        <v>815</v>
      </c>
      <c r="BT720" s="203" t="s">
        <v>816</v>
      </c>
      <c r="BU720" s="203" t="s">
        <v>817</v>
      </c>
      <c r="BV720" s="203" t="s">
        <v>818</v>
      </c>
      <c r="BW720" s="203" t="s">
        <v>819</v>
      </c>
      <c r="BX720" s="203" t="s">
        <v>820</v>
      </c>
      <c r="BY720" s="203" t="s">
        <v>821</v>
      </c>
      <c r="BZ720" s="285" t="s">
        <v>822</v>
      </c>
      <c r="CA720" s="203" t="s">
        <v>823</v>
      </c>
      <c r="CB720" s="203" t="s">
        <v>824</v>
      </c>
      <c r="CC720" s="203" t="s">
        <v>825</v>
      </c>
    </row>
    <row r="721" spans="1:84" ht="12.65" customHeight="1" x14ac:dyDescent="0.35">
      <c r="A721" s="286" t="str">
        <f>RIGHT(C84,3)&amp;"*"&amp;RIGHT(C83,4)&amp;"*"&amp;"A"</f>
        <v xml:space="preserve"> #1*008*A</v>
      </c>
      <c r="B721" s="284">
        <f>ROUND(C166,0)</f>
        <v>-3174</v>
      </c>
      <c r="C721" s="284">
        <f>ROUND(C167,0)</f>
        <v>91819</v>
      </c>
      <c r="D721" s="284">
        <f>ROUND(C168,0)</f>
        <v>1848964</v>
      </c>
      <c r="E721" s="284">
        <f>ROUND(C169,0)</f>
        <v>14154</v>
      </c>
      <c r="F721" s="284">
        <f>ROUND(C170,0)</f>
        <v>309390</v>
      </c>
      <c r="G721" s="284">
        <f>ROUND(C171,0)</f>
        <v>34607</v>
      </c>
      <c r="H721" s="284">
        <f>ROUND(C172+C173,0)</f>
        <v>0</v>
      </c>
      <c r="I721" s="284">
        <f>ROUND(C176,0)</f>
        <v>431893</v>
      </c>
      <c r="J721" s="284">
        <f>ROUND(C177,0)</f>
        <v>0</v>
      </c>
      <c r="K721" s="284">
        <f>ROUND(C180,0)</f>
        <v>61747</v>
      </c>
      <c r="L721" s="284">
        <f>ROUND(C181,0)</f>
        <v>0</v>
      </c>
      <c r="M721" s="284">
        <f>ROUND(C184,0)</f>
        <v>0</v>
      </c>
      <c r="N721" s="284">
        <f>ROUND(C185,0)</f>
        <v>665721</v>
      </c>
      <c r="O721" s="284">
        <f>ROUND(C186,0)</f>
        <v>0</v>
      </c>
      <c r="P721" s="284">
        <f>ROUND(C189,0)</f>
        <v>242154</v>
      </c>
      <c r="Q721" s="284">
        <f>ROUND(C190,0)</f>
        <v>0</v>
      </c>
      <c r="R721" s="284">
        <f>ROUND(B196,0)</f>
        <v>1735411</v>
      </c>
      <c r="S721" s="284">
        <f>ROUND(C196,0)</f>
        <v>47284</v>
      </c>
      <c r="T721" s="284">
        <f>ROUND(D196,0)</f>
        <v>0</v>
      </c>
      <c r="U721" s="284">
        <f>ROUND(B197,0)</f>
        <v>13441796</v>
      </c>
      <c r="V721" s="284">
        <f>ROUND(C197,0)</f>
        <v>217534</v>
      </c>
      <c r="W721" s="284">
        <f>ROUND(D197,0)</f>
        <v>0</v>
      </c>
      <c r="X721" s="284">
        <f>ROUND(B198,0)</f>
        <v>6685658</v>
      </c>
      <c r="Y721" s="284">
        <f>ROUND(C198,0)</f>
        <v>138439</v>
      </c>
      <c r="Z721" s="284">
        <f>ROUND(D198,0)</f>
        <v>0</v>
      </c>
      <c r="AA721" s="284">
        <f>ROUND(B199,0)</f>
        <v>230743</v>
      </c>
      <c r="AB721" s="284">
        <f>ROUND(C199,0)</f>
        <v>106405</v>
      </c>
      <c r="AC721" s="284">
        <f>ROUND(D199,0)</f>
        <v>0</v>
      </c>
      <c r="AD721" s="284">
        <f>ROUND(B200,0)</f>
        <v>6767507</v>
      </c>
      <c r="AE721" s="284">
        <f>ROUND(C200,0)</f>
        <v>371739</v>
      </c>
      <c r="AF721" s="284">
        <f>ROUND(D200,0)</f>
        <v>0</v>
      </c>
      <c r="AG721" s="284">
        <f>ROUND(B201,0)</f>
        <v>0</v>
      </c>
      <c r="AH721" s="284">
        <f>ROUND(C201,0)</f>
        <v>0</v>
      </c>
      <c r="AI721" s="284">
        <f>ROUND(D201,0)</f>
        <v>0</v>
      </c>
      <c r="AJ721" s="284">
        <f>ROUND(B202,0)</f>
        <v>0</v>
      </c>
      <c r="AK721" s="284">
        <f>ROUND(C202,0)</f>
        <v>0</v>
      </c>
      <c r="AL721" s="284">
        <f>ROUND(D202,0)</f>
        <v>0</v>
      </c>
      <c r="AM721" s="284">
        <f>ROUND(B203,0)</f>
        <v>176694</v>
      </c>
      <c r="AN721" s="284">
        <f>ROUND(C203,0)</f>
        <v>534303</v>
      </c>
      <c r="AO721" s="284">
        <f>ROUND(D203,0)</f>
        <v>499488</v>
      </c>
      <c r="AP721" s="284">
        <f>ROUND(B204,0)</f>
        <v>29241517</v>
      </c>
      <c r="AQ721" s="284">
        <f>ROUND(C204,0)</f>
        <v>1415705</v>
      </c>
      <c r="AR721" s="284">
        <f>ROUND(D204,0)</f>
        <v>499488</v>
      </c>
      <c r="AS721" s="284"/>
      <c r="AT721" s="284"/>
      <c r="AU721" s="284"/>
      <c r="AV721" s="284">
        <f>ROUND(B210,0)</f>
        <v>7354969</v>
      </c>
      <c r="AW721" s="284">
        <f>ROUND(C210,0)</f>
        <v>376151</v>
      </c>
      <c r="AX721" s="284">
        <f>ROUND(D210,0)</f>
        <v>0</v>
      </c>
      <c r="AY721" s="284">
        <f>ROUND(B211,0)</f>
        <v>3964653</v>
      </c>
      <c r="AZ721" s="284">
        <f>ROUND(C211,0)</f>
        <v>398600</v>
      </c>
      <c r="BA721" s="284">
        <f>ROUND(D211,0)</f>
        <v>0</v>
      </c>
      <c r="BB721" s="284">
        <f>ROUND(B212,0)</f>
        <v>222486</v>
      </c>
      <c r="BC721" s="284">
        <f>ROUND(C212,0)</f>
        <v>3431</v>
      </c>
      <c r="BD721" s="284">
        <f>ROUND(D212,0)</f>
        <v>0</v>
      </c>
      <c r="BE721" s="284">
        <f>ROUND(B213,0)</f>
        <v>5758825</v>
      </c>
      <c r="BF721" s="284">
        <f>ROUND(C213,0)</f>
        <v>365699</v>
      </c>
      <c r="BG721" s="284">
        <f>ROUND(D213,0)</f>
        <v>0</v>
      </c>
      <c r="BH721" s="284">
        <f>ROUND(B214,0)</f>
        <v>0</v>
      </c>
      <c r="BI721" s="284">
        <f>ROUND(C214,0)</f>
        <v>0</v>
      </c>
      <c r="BJ721" s="284">
        <f>ROUND(D214,0)</f>
        <v>0</v>
      </c>
      <c r="BK721" s="284">
        <f>ROUND(B215,0)</f>
        <v>0</v>
      </c>
      <c r="BL721" s="284">
        <f>ROUND(C215,0)</f>
        <v>0</v>
      </c>
      <c r="BM721" s="284">
        <f>ROUND(D215,0)</f>
        <v>0</v>
      </c>
      <c r="BN721" s="284">
        <f>ROUND(B216,0)</f>
        <v>0</v>
      </c>
      <c r="BO721" s="284">
        <f>ROUND(C216,0)</f>
        <v>0</v>
      </c>
      <c r="BP721" s="284">
        <f>ROUND(D216,0)</f>
        <v>0</v>
      </c>
      <c r="BQ721" s="284">
        <f>ROUND(B217,0)</f>
        <v>18537512</v>
      </c>
      <c r="BR721" s="284">
        <f>ROUND(C217,0)</f>
        <v>1246801</v>
      </c>
      <c r="BS721" s="284">
        <f>ROUND(D217,0)</f>
        <v>0</v>
      </c>
      <c r="BT721" s="284">
        <f>ROUND(C222,0)</f>
        <v>0</v>
      </c>
      <c r="BU721" s="284">
        <f>ROUND(C223,0)</f>
        <v>8656586</v>
      </c>
      <c r="BV721" s="284">
        <f>ROUND(C224,0)</f>
        <v>6788944</v>
      </c>
      <c r="BW721" s="284">
        <f>ROUND(C225,0)</f>
        <v>99216</v>
      </c>
      <c r="BX721" s="284">
        <f>ROUND(C226,0)</f>
        <v>0</v>
      </c>
      <c r="BY721" s="284">
        <f>ROUND(C227,0)</f>
        <v>0</v>
      </c>
      <c r="BZ721" s="284">
        <f>ROUND(C230,0)</f>
        <v>0</v>
      </c>
      <c r="CA721" s="284">
        <f>ROUND(C232,0)</f>
        <v>0</v>
      </c>
      <c r="CB721" s="284">
        <f>ROUND(C233,0)</f>
        <v>0</v>
      </c>
      <c r="CC721" s="284">
        <f>ROUND(C237+C238,0)</f>
        <v>100589</v>
      </c>
    </row>
    <row r="723" spans="1:84" ht="12.65" customHeight="1" x14ac:dyDescent="0.35">
      <c r="A723" s="201" t="s">
        <v>148</v>
      </c>
      <c r="B723" s="201"/>
      <c r="C723" s="201"/>
      <c r="D723" s="201"/>
      <c r="E723" s="201"/>
      <c r="F723" s="201"/>
      <c r="G723" s="201"/>
      <c r="H723" s="284"/>
      <c r="I723" s="284"/>
      <c r="J723" s="284"/>
      <c r="K723" s="284"/>
      <c r="L723" s="284"/>
      <c r="M723" s="284"/>
      <c r="N723" s="284"/>
      <c r="O723" s="284"/>
      <c r="P723" s="284"/>
      <c r="Q723" s="284"/>
      <c r="R723" s="284"/>
      <c r="S723" s="284"/>
      <c r="T723" s="284"/>
      <c r="U723" s="284"/>
      <c r="V723" s="284"/>
      <c r="W723" s="284"/>
      <c r="X723" s="284"/>
      <c r="Y723" s="284"/>
      <c r="Z723" s="284"/>
      <c r="AA723" s="284"/>
      <c r="AB723" s="284"/>
      <c r="AC723" s="284"/>
      <c r="AD723" s="284"/>
      <c r="AE723" s="284"/>
      <c r="AF723" s="284"/>
      <c r="AG723" s="284"/>
      <c r="AH723" s="284"/>
      <c r="AI723" s="284"/>
      <c r="AJ723" s="284"/>
      <c r="AK723" s="284"/>
      <c r="AL723" s="284"/>
      <c r="AM723" s="284"/>
      <c r="AN723" s="284"/>
      <c r="AO723" s="284"/>
      <c r="AP723" s="284"/>
      <c r="AQ723" s="284"/>
      <c r="AR723" s="284"/>
      <c r="AS723" s="284"/>
      <c r="AT723" s="284"/>
      <c r="AU723" s="284"/>
      <c r="AV723" s="284"/>
      <c r="AW723" s="284"/>
      <c r="AX723" s="284"/>
      <c r="AY723" s="284"/>
      <c r="AZ723" s="284"/>
      <c r="BA723" s="284"/>
      <c r="BB723" s="284"/>
      <c r="BC723" s="284"/>
      <c r="BD723" s="284"/>
      <c r="BE723" s="284"/>
      <c r="BF723" s="284"/>
      <c r="BG723" s="284"/>
      <c r="BH723" s="284"/>
      <c r="BI723" s="284"/>
      <c r="BJ723" s="284"/>
      <c r="BK723" s="284"/>
      <c r="BL723" s="284"/>
      <c r="BM723" s="284"/>
      <c r="BN723" s="284"/>
      <c r="BO723" s="284"/>
      <c r="BP723" s="284"/>
      <c r="BQ723" s="284"/>
      <c r="BR723" s="284"/>
    </row>
    <row r="724" spans="1:84" ht="12.65" customHeight="1" x14ac:dyDescent="0.35">
      <c r="A724" s="203" t="s">
        <v>745</v>
      </c>
      <c r="B724" s="203" t="s">
        <v>826</v>
      </c>
      <c r="C724" s="203" t="s">
        <v>827</v>
      </c>
      <c r="D724" s="203" t="s">
        <v>828</v>
      </c>
      <c r="E724" s="203" t="s">
        <v>829</v>
      </c>
      <c r="F724" s="203" t="s">
        <v>830</v>
      </c>
      <c r="G724" s="203" t="s">
        <v>831</v>
      </c>
      <c r="H724" s="203" t="s">
        <v>832</v>
      </c>
      <c r="I724" s="203" t="s">
        <v>833</v>
      </c>
      <c r="J724" s="203" t="s">
        <v>834</v>
      </c>
      <c r="K724" s="203" t="s">
        <v>835</v>
      </c>
      <c r="L724" s="203" t="s">
        <v>836</v>
      </c>
      <c r="M724" s="203" t="s">
        <v>837</v>
      </c>
      <c r="N724" s="203" t="s">
        <v>838</v>
      </c>
      <c r="O724" s="203" t="s">
        <v>839</v>
      </c>
      <c r="P724" s="203" t="s">
        <v>840</v>
      </c>
      <c r="Q724" s="203" t="s">
        <v>841</v>
      </c>
      <c r="R724" s="203" t="s">
        <v>842</v>
      </c>
      <c r="S724" s="203" t="s">
        <v>843</v>
      </c>
      <c r="T724" s="203" t="s">
        <v>844</v>
      </c>
      <c r="U724" s="203" t="s">
        <v>845</v>
      </c>
      <c r="V724" s="203" t="s">
        <v>846</v>
      </c>
      <c r="W724" s="203" t="s">
        <v>847</v>
      </c>
      <c r="X724" s="203" t="s">
        <v>848</v>
      </c>
      <c r="Y724" s="203" t="s">
        <v>849</v>
      </c>
      <c r="Z724" s="203" t="s">
        <v>850</v>
      </c>
      <c r="AA724" s="203" t="s">
        <v>851</v>
      </c>
      <c r="AB724" s="203" t="s">
        <v>852</v>
      </c>
      <c r="AC724" s="203" t="s">
        <v>853</v>
      </c>
      <c r="AD724" s="203" t="s">
        <v>854</v>
      </c>
      <c r="AE724" s="203" t="s">
        <v>855</v>
      </c>
      <c r="AF724" s="203" t="s">
        <v>856</v>
      </c>
      <c r="AG724" s="203" t="s">
        <v>857</v>
      </c>
      <c r="AH724" s="203" t="s">
        <v>858</v>
      </c>
      <c r="AI724" s="203" t="s">
        <v>859</v>
      </c>
      <c r="AJ724" s="203" t="s">
        <v>860</v>
      </c>
      <c r="AK724" s="203" t="s">
        <v>861</v>
      </c>
      <c r="AL724" s="203" t="s">
        <v>862</v>
      </c>
      <c r="AM724" s="203" t="s">
        <v>863</v>
      </c>
      <c r="AN724" s="203" t="s">
        <v>864</v>
      </c>
      <c r="AO724" s="203" t="s">
        <v>865</v>
      </c>
      <c r="AP724" s="203" t="s">
        <v>866</v>
      </c>
      <c r="AQ724" s="203" t="s">
        <v>867</v>
      </c>
      <c r="AR724" s="203" t="s">
        <v>868</v>
      </c>
      <c r="AS724" s="203" t="s">
        <v>869</v>
      </c>
      <c r="AT724" s="203" t="s">
        <v>870</v>
      </c>
      <c r="AU724" s="203" t="s">
        <v>871</v>
      </c>
      <c r="AV724" s="203" t="s">
        <v>872</v>
      </c>
      <c r="AW724" s="203" t="s">
        <v>873</v>
      </c>
      <c r="AX724" s="203" t="s">
        <v>874</v>
      </c>
      <c r="AY724" s="203" t="s">
        <v>875</v>
      </c>
      <c r="AZ724" s="203" t="s">
        <v>876</v>
      </c>
      <c r="BA724" s="203" t="s">
        <v>877</v>
      </c>
      <c r="BB724" s="203" t="s">
        <v>878</v>
      </c>
      <c r="BC724" s="203" t="s">
        <v>879</v>
      </c>
      <c r="BD724" s="203" t="s">
        <v>880</v>
      </c>
      <c r="BE724" s="203" t="s">
        <v>881</v>
      </c>
      <c r="BF724" s="203" t="s">
        <v>882</v>
      </c>
      <c r="BG724" s="203" t="s">
        <v>883</v>
      </c>
      <c r="BH724" s="203" t="s">
        <v>884</v>
      </c>
      <c r="BI724" s="203" t="s">
        <v>885</v>
      </c>
      <c r="BJ724" s="203" t="s">
        <v>886</v>
      </c>
      <c r="BK724" s="203" t="s">
        <v>887</v>
      </c>
      <c r="BL724" s="203" t="s">
        <v>888</v>
      </c>
      <c r="BM724" s="203" t="s">
        <v>889</v>
      </c>
      <c r="BN724" s="203" t="s">
        <v>890</v>
      </c>
      <c r="BO724" s="203" t="s">
        <v>891</v>
      </c>
      <c r="BP724" s="203" t="s">
        <v>892</v>
      </c>
      <c r="BQ724" s="203" t="s">
        <v>893</v>
      </c>
      <c r="BR724" s="203" t="s">
        <v>894</v>
      </c>
    </row>
    <row r="725" spans="1:84" ht="12.65" customHeight="1" x14ac:dyDescent="0.35">
      <c r="A725" s="286" t="str">
        <f>RIGHT(C84,3)&amp;"*"&amp;RIGHT(C83,4)&amp;"*"&amp;"A"</f>
        <v xml:space="preserve"> #1*008*A</v>
      </c>
      <c r="B725" s="284">
        <f>ROUND(C112,0)</f>
        <v>61</v>
      </c>
      <c r="C725" s="284">
        <f>ROUND(C113,0)</f>
        <v>0</v>
      </c>
      <c r="D725" s="284">
        <f>ROUND(C114,0)</f>
        <v>0</v>
      </c>
      <c r="E725" s="284">
        <f>ROUND(C115,0)</f>
        <v>0</v>
      </c>
      <c r="F725" s="284">
        <f>ROUND(D112,0)</f>
        <v>808</v>
      </c>
      <c r="G725" s="284">
        <f>ROUND(D113,0)</f>
        <v>0</v>
      </c>
      <c r="H725" s="284">
        <f>ROUND(D114,0)</f>
        <v>0</v>
      </c>
      <c r="I725" s="284">
        <f>ROUND(D115,0)</f>
        <v>0</v>
      </c>
      <c r="J725" s="284">
        <f>ROUND(C117,0)</f>
        <v>10</v>
      </c>
      <c r="K725" s="284">
        <f>ROUND(C118,0)</f>
        <v>0</v>
      </c>
      <c r="L725" s="284">
        <f>ROUND(C119,0)</f>
        <v>0</v>
      </c>
      <c r="M725" s="284">
        <f>ROUND(C120,0)</f>
        <v>0</v>
      </c>
      <c r="N725" s="284">
        <f>ROUND(C121,0)</f>
        <v>0</v>
      </c>
      <c r="O725" s="284">
        <f>ROUND(C122,0)</f>
        <v>0</v>
      </c>
      <c r="P725" s="284">
        <f>ROUND(C123,0)</f>
        <v>0</v>
      </c>
      <c r="Q725" s="284">
        <f>ROUND(C124,0)</f>
        <v>7</v>
      </c>
      <c r="R725" s="284">
        <f>ROUND(C125,0)</f>
        <v>0</v>
      </c>
      <c r="S725" s="284">
        <f>ROUND(C126,0)</f>
        <v>0</v>
      </c>
      <c r="T725" s="284"/>
      <c r="U725" s="284">
        <f>ROUND(C127,0)</f>
        <v>0</v>
      </c>
      <c r="V725" s="284">
        <f>ROUND(C129,0)</f>
        <v>0</v>
      </c>
      <c r="W725" s="284">
        <f>ROUND(C130,0)</f>
        <v>0</v>
      </c>
      <c r="X725" s="284">
        <f>ROUND(B139,0)</f>
        <v>368</v>
      </c>
      <c r="Y725" s="284">
        <f>ROUND(B140,0)</f>
        <v>0</v>
      </c>
      <c r="Z725" s="284">
        <f>ROUND(B141,0)</f>
        <v>2168539</v>
      </c>
      <c r="AA725" s="284">
        <f>ROUND(B142,0)</f>
        <v>19310146</v>
      </c>
      <c r="AB725" s="284">
        <f>ROUND(B143,0)</f>
        <v>0</v>
      </c>
      <c r="AC725" s="284">
        <f>ROUND(C139,0)</f>
        <v>79</v>
      </c>
      <c r="AD725" s="284">
        <f>ROUND(C140,0)</f>
        <v>0</v>
      </c>
      <c r="AE725" s="284">
        <f>ROUND(C141,0)</f>
        <v>569475</v>
      </c>
      <c r="AF725" s="284">
        <f>ROUND(C142,0)</f>
        <v>11188381</v>
      </c>
      <c r="AG725" s="284">
        <f>ROUND(C143,0)</f>
        <v>0</v>
      </c>
      <c r="AH725" s="284">
        <f>ROUND(D139,0)</f>
        <v>68</v>
      </c>
      <c r="AI725" s="284">
        <f>ROUND(D140,0)</f>
        <v>0</v>
      </c>
      <c r="AJ725" s="284">
        <f>ROUND(D141,0)</f>
        <v>500309</v>
      </c>
      <c r="AK725" s="284">
        <f>ROUND(D142,0)</f>
        <v>10335136</v>
      </c>
      <c r="AL725" s="284">
        <f>ROUND(D143,0)</f>
        <v>0</v>
      </c>
      <c r="AM725" s="284">
        <f>ROUND(B145,0)</f>
        <v>646</v>
      </c>
      <c r="AN725" s="284">
        <f>ROUND(B146,0)</f>
        <v>0</v>
      </c>
      <c r="AO725" s="284">
        <f>ROUND(B147,0)</f>
        <v>0</v>
      </c>
      <c r="AP725" s="284">
        <f>ROUND(B148,0)</f>
        <v>0</v>
      </c>
      <c r="AQ725" s="284">
        <f>ROUND(B149,0)</f>
        <v>0</v>
      </c>
      <c r="AR725" s="284">
        <f>ROUND(C145,0)</f>
        <v>76</v>
      </c>
      <c r="AS725" s="284">
        <f>ROUND(C146,0)</f>
        <v>0</v>
      </c>
      <c r="AT725" s="284">
        <f>ROUND(C147,0)</f>
        <v>0</v>
      </c>
      <c r="AU725" s="284">
        <f>ROUND(C148,0)</f>
        <v>0</v>
      </c>
      <c r="AV725" s="284">
        <f>ROUND(C149,0)</f>
        <v>0</v>
      </c>
      <c r="AW725" s="284">
        <f>ROUND(D145,0)</f>
        <v>86</v>
      </c>
      <c r="AX725" s="284">
        <f>ROUND(D146,0)</f>
        <v>0</v>
      </c>
      <c r="AY725" s="284">
        <f>ROUND(D147,0)</f>
        <v>0</v>
      </c>
      <c r="AZ725" s="284">
        <f>ROUND(D148,0)</f>
        <v>0</v>
      </c>
      <c r="BA725" s="284">
        <f>ROUND(D149,0)</f>
        <v>0</v>
      </c>
      <c r="BB725" s="284">
        <f>ROUND(B151,0)</f>
        <v>0</v>
      </c>
      <c r="BC725" s="284">
        <f>ROUND(B152,0)</f>
        <v>0</v>
      </c>
      <c r="BD725" s="284">
        <f>ROUND(B153,0)</f>
        <v>0</v>
      </c>
      <c r="BE725" s="284">
        <f>ROUND(B154,0)</f>
        <v>0</v>
      </c>
      <c r="BF725" s="284">
        <f>ROUND(B155,0)</f>
        <v>0</v>
      </c>
      <c r="BG725" s="284">
        <f>ROUND(C151,0)</f>
        <v>0</v>
      </c>
      <c r="BH725" s="284">
        <f>ROUND(C152,0)</f>
        <v>0</v>
      </c>
      <c r="BI725" s="284">
        <f>ROUND(C153,0)</f>
        <v>0</v>
      </c>
      <c r="BJ725" s="284">
        <f>ROUND(C154,0)</f>
        <v>0</v>
      </c>
      <c r="BK725" s="284">
        <f>ROUND(C155,0)</f>
        <v>0</v>
      </c>
      <c r="BL725" s="284">
        <f>ROUND(D151,0)</f>
        <v>0</v>
      </c>
      <c r="BM725" s="284">
        <f>ROUND(D152,0)</f>
        <v>0</v>
      </c>
      <c r="BN725" s="284">
        <f>ROUND(D153,0)</f>
        <v>0</v>
      </c>
      <c r="BO725" s="284">
        <f>ROUND(D154,0)</f>
        <v>0</v>
      </c>
      <c r="BP725" s="284">
        <f>ROUND(D155,0)</f>
        <v>0</v>
      </c>
      <c r="BQ725" s="284">
        <f>ROUND(B158,0)</f>
        <v>0</v>
      </c>
      <c r="BR725" s="284">
        <f>ROUND(C158,0)</f>
        <v>0</v>
      </c>
    </row>
    <row r="727" spans="1:84" ht="12.65" customHeight="1" x14ac:dyDescent="0.35">
      <c r="A727" s="201" t="s">
        <v>895</v>
      </c>
      <c r="B727" s="201"/>
      <c r="C727" s="201"/>
      <c r="D727" s="201"/>
      <c r="E727" s="201"/>
      <c r="F727" s="201"/>
      <c r="G727" s="201"/>
      <c r="H727" s="284"/>
      <c r="I727" s="284"/>
      <c r="J727" s="284"/>
      <c r="K727" s="284"/>
      <c r="L727" s="284"/>
      <c r="M727" s="284"/>
      <c r="N727" s="284"/>
      <c r="O727" s="284"/>
      <c r="P727" s="284"/>
      <c r="Q727" s="284"/>
      <c r="R727" s="284"/>
      <c r="S727" s="284"/>
      <c r="T727" s="284"/>
      <c r="U727" s="284"/>
      <c r="V727" s="284"/>
      <c r="W727" s="284"/>
      <c r="X727" s="284"/>
      <c r="Y727" s="284"/>
      <c r="Z727" s="284"/>
      <c r="AA727" s="284"/>
      <c r="AB727" s="284"/>
      <c r="AC727" s="284"/>
      <c r="AD727" s="284"/>
      <c r="AE727" s="284"/>
      <c r="AF727" s="284"/>
      <c r="AG727" s="284"/>
      <c r="AH727" s="284"/>
      <c r="AI727" s="284"/>
      <c r="AJ727" s="284"/>
      <c r="AK727" s="284"/>
      <c r="AL727" s="284"/>
      <c r="AM727" s="284"/>
      <c r="AN727" s="284"/>
      <c r="AO727" s="284"/>
      <c r="AP727" s="284"/>
      <c r="AQ727" s="284"/>
      <c r="AR727" s="284"/>
      <c r="AS727" s="284"/>
      <c r="AT727" s="284"/>
      <c r="AU727" s="284"/>
      <c r="AV727" s="284"/>
      <c r="AW727" s="284"/>
      <c r="AX727" s="284"/>
      <c r="AY727" s="284"/>
      <c r="AZ727" s="284"/>
      <c r="BA727" s="284"/>
      <c r="BB727" s="284"/>
      <c r="BC727" s="284"/>
      <c r="BD727" s="284"/>
      <c r="BE727" s="284"/>
      <c r="BF727" s="284"/>
      <c r="BG727" s="284"/>
      <c r="BH727" s="284"/>
      <c r="BI727" s="284"/>
      <c r="BJ727" s="284"/>
      <c r="BK727" s="284"/>
      <c r="BL727" s="284"/>
      <c r="BM727" s="284"/>
      <c r="BN727" s="284"/>
      <c r="BO727" s="284"/>
      <c r="BP727" s="284"/>
      <c r="BQ727" s="284"/>
      <c r="BR727" s="284"/>
      <c r="BS727" s="284"/>
      <c r="BT727" s="284"/>
      <c r="BU727" s="284"/>
      <c r="BV727" s="284"/>
      <c r="BW727" s="284"/>
      <c r="BX727" s="284"/>
      <c r="BY727" s="284"/>
      <c r="BZ727" s="284"/>
      <c r="CA727" s="284"/>
      <c r="CB727" s="284"/>
      <c r="CC727" s="284"/>
      <c r="CD727" s="284"/>
      <c r="CE727" s="284"/>
      <c r="CF727" s="284"/>
    </row>
    <row r="728" spans="1:84" ht="12.65" customHeight="1" x14ac:dyDescent="0.35">
      <c r="A728" s="203" t="s">
        <v>745</v>
      </c>
      <c r="B728" s="203" t="s">
        <v>896</v>
      </c>
      <c r="C728" s="203" t="s">
        <v>897</v>
      </c>
      <c r="D728" s="203" t="s">
        <v>898</v>
      </c>
      <c r="E728" s="203" t="s">
        <v>899</v>
      </c>
      <c r="F728" s="203" t="s">
        <v>900</v>
      </c>
      <c r="G728" s="203" t="s">
        <v>901</v>
      </c>
      <c r="H728" s="203" t="s">
        <v>902</v>
      </c>
      <c r="I728" s="203" t="s">
        <v>903</v>
      </c>
      <c r="J728" s="203" t="s">
        <v>904</v>
      </c>
      <c r="K728" s="203" t="s">
        <v>905</v>
      </c>
      <c r="L728" s="203" t="s">
        <v>906</v>
      </c>
      <c r="M728" s="203" t="s">
        <v>907</v>
      </c>
      <c r="N728" s="203" t="s">
        <v>908</v>
      </c>
      <c r="O728" s="203" t="s">
        <v>909</v>
      </c>
      <c r="P728" s="203" t="s">
        <v>910</v>
      </c>
      <c r="Q728" s="203" t="s">
        <v>911</v>
      </c>
      <c r="R728" s="203" t="s">
        <v>912</v>
      </c>
      <c r="S728" s="203" t="s">
        <v>913</v>
      </c>
      <c r="T728" s="203" t="s">
        <v>914</v>
      </c>
      <c r="U728" s="203" t="s">
        <v>915</v>
      </c>
      <c r="V728" s="203" t="s">
        <v>916</v>
      </c>
      <c r="W728" s="203" t="s">
        <v>917</v>
      </c>
      <c r="X728" s="203" t="s">
        <v>918</v>
      </c>
      <c r="Y728" s="203" t="s">
        <v>919</v>
      </c>
      <c r="Z728" s="203" t="s">
        <v>920</v>
      </c>
      <c r="AA728" s="203" t="s">
        <v>921</v>
      </c>
      <c r="AB728" s="203" t="s">
        <v>922</v>
      </c>
      <c r="AC728" s="203" t="s">
        <v>923</v>
      </c>
      <c r="AD728" s="203" t="s">
        <v>924</v>
      </c>
      <c r="AE728" s="203" t="s">
        <v>925</v>
      </c>
      <c r="AF728" s="203" t="s">
        <v>926</v>
      </c>
      <c r="AG728" s="203" t="s">
        <v>927</v>
      </c>
      <c r="AH728" s="203" t="s">
        <v>928</v>
      </c>
      <c r="AI728" s="203" t="s">
        <v>929</v>
      </c>
      <c r="AJ728" s="203" t="s">
        <v>930</v>
      </c>
      <c r="AK728" s="203" t="s">
        <v>931</v>
      </c>
      <c r="AL728" s="203" t="s">
        <v>932</v>
      </c>
      <c r="AM728" s="203" t="s">
        <v>933</v>
      </c>
      <c r="AN728" s="203" t="s">
        <v>934</v>
      </c>
      <c r="AO728" s="203" t="s">
        <v>935</v>
      </c>
      <c r="AP728" s="203" t="s">
        <v>936</v>
      </c>
      <c r="AQ728" s="203" t="s">
        <v>937</v>
      </c>
      <c r="AR728" s="203" t="s">
        <v>938</v>
      </c>
      <c r="AS728" s="203" t="s">
        <v>939</v>
      </c>
      <c r="AT728" s="203" t="s">
        <v>940</v>
      </c>
      <c r="AU728" s="203" t="s">
        <v>941</v>
      </c>
      <c r="AV728" s="203" t="s">
        <v>942</v>
      </c>
      <c r="AW728" s="203" t="s">
        <v>943</v>
      </c>
      <c r="AX728" s="203" t="s">
        <v>944</v>
      </c>
      <c r="AY728" s="203" t="s">
        <v>945</v>
      </c>
      <c r="AZ728" s="203" t="s">
        <v>946</v>
      </c>
      <c r="BA728" s="203" t="s">
        <v>947</v>
      </c>
      <c r="BB728" s="203" t="s">
        <v>948</v>
      </c>
      <c r="BC728" s="203" t="s">
        <v>949</v>
      </c>
      <c r="BD728" s="203" t="s">
        <v>950</v>
      </c>
      <c r="BE728" s="203" t="s">
        <v>951</v>
      </c>
      <c r="BF728" s="203" t="s">
        <v>952</v>
      </c>
      <c r="BG728" s="203" t="s">
        <v>953</v>
      </c>
      <c r="BH728" s="203" t="s">
        <v>954</v>
      </c>
      <c r="BI728" s="203" t="s">
        <v>955</v>
      </c>
      <c r="BJ728" s="203" t="s">
        <v>956</v>
      </c>
      <c r="BK728" s="203" t="s">
        <v>957</v>
      </c>
      <c r="BL728" s="203" t="s">
        <v>958</v>
      </c>
      <c r="BM728" s="203" t="s">
        <v>959</v>
      </c>
      <c r="BN728" s="203" t="s">
        <v>960</v>
      </c>
      <c r="BO728" s="203" t="s">
        <v>961</v>
      </c>
      <c r="BP728" s="203" t="s">
        <v>962</v>
      </c>
      <c r="BQ728" s="203" t="s">
        <v>963</v>
      </c>
      <c r="BR728" s="203" t="s">
        <v>964</v>
      </c>
      <c r="BS728" s="203" t="s">
        <v>965</v>
      </c>
      <c r="BT728" s="203" t="s">
        <v>966</v>
      </c>
      <c r="BU728" s="203" t="s">
        <v>967</v>
      </c>
      <c r="BV728" s="203" t="s">
        <v>968</v>
      </c>
      <c r="BW728" s="203" t="s">
        <v>969</v>
      </c>
      <c r="BX728" s="203" t="s">
        <v>970</v>
      </c>
      <c r="BY728" s="203" t="s">
        <v>971</v>
      </c>
      <c r="BZ728" s="203" t="s">
        <v>972</v>
      </c>
      <c r="CA728" s="203" t="s">
        <v>973</v>
      </c>
      <c r="CB728" s="203" t="s">
        <v>974</v>
      </c>
      <c r="CC728" s="203" t="s">
        <v>975</v>
      </c>
      <c r="CD728" s="203" t="s">
        <v>976</v>
      </c>
      <c r="CE728" s="203" t="s">
        <v>977</v>
      </c>
      <c r="CF728" s="203" t="s">
        <v>978</v>
      </c>
    </row>
    <row r="729" spans="1:84" ht="12.65" customHeight="1" x14ac:dyDescent="0.35">
      <c r="A729" s="286" t="str">
        <f>RIGHT(C84,3)&amp;"*"&amp;RIGHT(C83,4)&amp;"*"&amp;"A"</f>
        <v xml:space="preserve"> #1*008*A</v>
      </c>
      <c r="B729" s="284">
        <f>ROUND(C249,0)</f>
        <v>0</v>
      </c>
      <c r="C729" s="284">
        <f>ROUND(C250,0)</f>
        <v>2292544</v>
      </c>
      <c r="D729" s="284">
        <f>ROUND(C251,0)</f>
        <v>0</v>
      </c>
      <c r="E729" s="284">
        <f>ROUND(C252,0)</f>
        <v>8217652</v>
      </c>
      <c r="F729" s="284">
        <f>ROUND(C253,0)</f>
        <v>4244316</v>
      </c>
      <c r="G729" s="284">
        <f>ROUND(C254,0)</f>
        <v>111412</v>
      </c>
      <c r="H729" s="284">
        <f>ROUND(C255,0)</f>
        <v>928595</v>
      </c>
      <c r="I729" s="284">
        <f>ROUND(C256,0)</f>
        <v>0</v>
      </c>
      <c r="J729" s="284">
        <f>ROUND(C257,0)</f>
        <v>166945</v>
      </c>
      <c r="K729" s="284">
        <f>ROUND(C258,0)</f>
        <v>130525</v>
      </c>
      <c r="L729" s="284">
        <f>ROUND(C261,0)</f>
        <v>0</v>
      </c>
      <c r="M729" s="284">
        <f>ROUND(C262,0)</f>
        <v>0</v>
      </c>
      <c r="N729" s="284">
        <f>ROUND(C263,0)</f>
        <v>0</v>
      </c>
      <c r="O729" s="284">
        <f>ROUND(C266,0)</f>
        <v>0</v>
      </c>
      <c r="P729" s="284">
        <f>ROUND(C267,0)</f>
        <v>203706</v>
      </c>
      <c r="Q729" s="284">
        <f>ROUND(C268,0)</f>
        <v>1782696</v>
      </c>
      <c r="R729" s="284">
        <f>ROUND(C269,0)</f>
        <v>13659331</v>
      </c>
      <c r="S729" s="284">
        <f>ROUND(C270,0)</f>
        <v>6824098</v>
      </c>
      <c r="T729" s="284">
        <f>ROUND(C271,0)</f>
        <v>337148</v>
      </c>
      <c r="U729" s="284">
        <f>ROUND(C272,0)</f>
        <v>7139246</v>
      </c>
      <c r="V729" s="284">
        <f>ROUND(C273,0)</f>
        <v>0</v>
      </c>
      <c r="W729" s="284">
        <f>ROUND(C274,0)</f>
        <v>211510</v>
      </c>
      <c r="X729" s="284">
        <f>ROUND(C275,0)</f>
        <v>0</v>
      </c>
      <c r="Y729" s="284">
        <f>ROUND(C278,0)</f>
        <v>0</v>
      </c>
      <c r="Z729" s="284">
        <f>ROUND(C279,0)</f>
        <v>0</v>
      </c>
      <c r="AA729" s="284">
        <f>ROUND(C280,0)</f>
        <v>0</v>
      </c>
      <c r="AB729" s="284">
        <f>ROUND(C281,0)</f>
        <v>0</v>
      </c>
      <c r="AC729" s="284">
        <f>ROUND(C285,0)</f>
        <v>0</v>
      </c>
      <c r="AD729" s="284">
        <f>ROUND(C286,0)</f>
        <v>0</v>
      </c>
      <c r="AE729" s="284">
        <f>ROUND(C287,0)</f>
        <v>0</v>
      </c>
      <c r="AF729" s="284">
        <f>ROUND(C288,0)</f>
        <v>0</v>
      </c>
      <c r="AG729" s="284">
        <f>ROUND(C303,0)</f>
        <v>0</v>
      </c>
      <c r="AH729" s="284">
        <f>ROUND(C304,0)</f>
        <v>206543</v>
      </c>
      <c r="AI729" s="284">
        <f>ROUND(C305,0)</f>
        <v>865314</v>
      </c>
      <c r="AJ729" s="284">
        <f>ROUND(C306,0)</f>
        <v>1167843</v>
      </c>
      <c r="AK729" s="284">
        <f>ROUND(C307,0)</f>
        <v>16878</v>
      </c>
      <c r="AL729" s="284">
        <f>ROUND(C308,0)</f>
        <v>0</v>
      </c>
      <c r="AM729" s="284">
        <f>ROUND(C309,0)</f>
        <v>472000</v>
      </c>
      <c r="AN729" s="284">
        <f>ROUND(C310,0)</f>
        <v>0</v>
      </c>
      <c r="AO729" s="284">
        <f>ROUND(C311,0)</f>
        <v>82962</v>
      </c>
      <c r="AP729" s="284">
        <f>ROUND(C312,0)</f>
        <v>559793</v>
      </c>
      <c r="AQ729" s="284">
        <f>ROUND(C315,0)</f>
        <v>0</v>
      </c>
      <c r="AR729" s="284">
        <f>ROUND(C316,0)</f>
        <v>0</v>
      </c>
      <c r="AS729" s="284">
        <f>ROUND(C317,0)</f>
        <v>0</v>
      </c>
      <c r="AT729" s="284">
        <f>ROUND(C320,0)</f>
        <v>0</v>
      </c>
      <c r="AU729" s="284">
        <f>ROUND(C321,0)</f>
        <v>0</v>
      </c>
      <c r="AV729" s="284">
        <f>ROUND(C322,0)</f>
        <v>0</v>
      </c>
      <c r="AW729" s="284">
        <f>ROUND(C323,0)</f>
        <v>0</v>
      </c>
      <c r="AX729" s="284">
        <f>ROUND(C324,0)</f>
        <v>0</v>
      </c>
      <c r="AY729" s="284">
        <f>ROUND(C325,0)</f>
        <v>5449096</v>
      </c>
      <c r="AZ729" s="284">
        <f>ROUND(C326,0)</f>
        <v>0</v>
      </c>
      <c r="BA729" s="284">
        <f>ROUND(C327,0)</f>
        <v>57057</v>
      </c>
      <c r="BB729" s="284">
        <f>ROUND(C331,0)</f>
        <v>0</v>
      </c>
      <c r="BC729" s="284"/>
      <c r="BD729" s="284"/>
      <c r="BE729" s="284">
        <f>ROUND(C336,0)</f>
        <v>0</v>
      </c>
      <c r="BF729" s="284">
        <f>ROUND(C335,0)</f>
        <v>0</v>
      </c>
      <c r="BG729" s="284"/>
      <c r="BH729" s="284"/>
      <c r="BI729" s="287">
        <f>ROUND(CE60,2)</f>
        <v>0</v>
      </c>
      <c r="BJ729" s="284">
        <f>ROUND(C358,0)</f>
        <v>0</v>
      </c>
      <c r="BK729" s="284">
        <f>ROUND(C359,0)</f>
        <v>3417356</v>
      </c>
      <c r="BL729" s="284">
        <f>ROUND(C362,0)</f>
        <v>0</v>
      </c>
      <c r="BM729" s="284">
        <f>ROUND(C363,0)</f>
        <v>1487622</v>
      </c>
      <c r="BN729" s="284">
        <f>ROUND(C364,0)</f>
        <v>18073001</v>
      </c>
      <c r="BO729" s="284">
        <f>ROUND(C368,0)</f>
        <v>0</v>
      </c>
      <c r="BP729" s="284">
        <f>ROUND(C369,0)</f>
        <v>0</v>
      </c>
      <c r="BQ729" s="284">
        <f>ROUND(C376,0)</f>
        <v>0</v>
      </c>
      <c r="BR729" s="284">
        <f>ROUND(C377,0)</f>
        <v>0</v>
      </c>
      <c r="BS729" s="284">
        <f>ROUND(C378,0)</f>
        <v>13136786</v>
      </c>
      <c r="BT729" s="284">
        <f>ROUND(C379,0)</f>
        <v>3225722</v>
      </c>
      <c r="BU729" s="284">
        <f>ROUND(C380,0)</f>
        <v>3106398</v>
      </c>
      <c r="BV729" s="284">
        <f>ROUND(C381,0)</f>
        <v>1720315</v>
      </c>
      <c r="BW729" s="284">
        <f>ROUND(C382,0)</f>
        <v>309686</v>
      </c>
      <c r="BX729" s="284">
        <f>ROUND(C383,0)</f>
        <v>2060619</v>
      </c>
      <c r="BY729" s="284">
        <f>ROUND(C384,0)</f>
        <v>1237938</v>
      </c>
      <c r="BZ729" s="284">
        <f>ROUND(C385,0)</f>
        <v>435411</v>
      </c>
      <c r="CA729" s="284">
        <f>ROUND(C386,0)</f>
        <v>172308</v>
      </c>
      <c r="CB729" s="284">
        <f>ROUND(C387,0)</f>
        <v>28805</v>
      </c>
      <c r="CC729" s="284">
        <f>ROUND(C388,0)</f>
        <v>242154</v>
      </c>
      <c r="CD729" s="284">
        <f>ROUND(C391,0)</f>
        <v>0</v>
      </c>
      <c r="CE729" s="284">
        <f>ROUND(C393,0)</f>
        <v>0</v>
      </c>
      <c r="CF729" s="284">
        <f>ROUND(C394,0)</f>
        <v>0</v>
      </c>
    </row>
    <row r="731" spans="1:84" ht="12.65" customHeight="1" x14ac:dyDescent="0.35">
      <c r="A731" s="201" t="s">
        <v>979</v>
      </c>
      <c r="B731" s="201"/>
      <c r="C731" s="201"/>
      <c r="D731" s="201"/>
      <c r="E731" s="201"/>
      <c r="F731" s="201"/>
      <c r="G731" s="201"/>
      <c r="H731" s="284"/>
      <c r="I731" s="284"/>
      <c r="J731" s="284"/>
      <c r="K731" s="284"/>
      <c r="L731" s="284"/>
      <c r="M731" s="284"/>
      <c r="N731" s="284"/>
      <c r="O731" s="284"/>
      <c r="P731" s="284"/>
      <c r="Q731" s="284"/>
      <c r="R731" s="284"/>
      <c r="S731" s="284"/>
      <c r="T731" s="284"/>
      <c r="U731" s="284"/>
      <c r="V731" s="284"/>
      <c r="W731" s="284"/>
      <c r="X731" s="284"/>
      <c r="BL731" s="197"/>
    </row>
    <row r="732" spans="1:84" ht="12.65" customHeight="1" x14ac:dyDescent="0.35">
      <c r="A732" s="203" t="s">
        <v>745</v>
      </c>
      <c r="B732" s="203" t="s">
        <v>980</v>
      </c>
      <c r="C732" s="203" t="s">
        <v>981</v>
      </c>
      <c r="D732" s="203" t="s">
        <v>982</v>
      </c>
      <c r="E732" s="203" t="s">
        <v>983</v>
      </c>
      <c r="F732" s="203" t="s">
        <v>984</v>
      </c>
      <c r="G732" s="203" t="s">
        <v>985</v>
      </c>
      <c r="H732" s="203" t="s">
        <v>986</v>
      </c>
      <c r="I732" s="203" t="s">
        <v>987</v>
      </c>
      <c r="J732" s="203" t="s">
        <v>988</v>
      </c>
      <c r="K732" s="203" t="s">
        <v>989</v>
      </c>
      <c r="L732" s="203" t="s">
        <v>990</v>
      </c>
      <c r="M732" s="203" t="s">
        <v>991</v>
      </c>
      <c r="N732" s="203" t="s">
        <v>992</v>
      </c>
      <c r="O732" s="203" t="s">
        <v>993</v>
      </c>
      <c r="P732" s="203" t="s">
        <v>994</v>
      </c>
      <c r="Q732" s="203" t="s">
        <v>995</v>
      </c>
      <c r="R732" s="203" t="s">
        <v>996</v>
      </c>
      <c r="S732" s="203" t="s">
        <v>997</v>
      </c>
      <c r="T732" s="203" t="s">
        <v>998</v>
      </c>
      <c r="U732" s="203" t="s">
        <v>999</v>
      </c>
      <c r="V732" s="203" t="s">
        <v>1259</v>
      </c>
      <c r="W732" s="203" t="s">
        <v>1000</v>
      </c>
      <c r="X732" s="203" t="s">
        <v>1001</v>
      </c>
      <c r="Y732" s="203" t="s">
        <v>1002</v>
      </c>
      <c r="Z732" s="203" t="s">
        <v>1003</v>
      </c>
    </row>
    <row r="733" spans="1:84" ht="12.65" customHeight="1" x14ac:dyDescent="0.35">
      <c r="A733" s="209" t="str">
        <f>RIGHT($C$84,3)&amp;"*"&amp;RIGHT($C$83,4)&amp;"*"&amp;C$55&amp;"*"&amp;"A"</f>
        <v xml:space="preserve"> #1*008*6010*A</v>
      </c>
      <c r="B733" s="284">
        <f>ROUND(C59,0)</f>
        <v>0</v>
      </c>
      <c r="C733" s="287">
        <f>ROUND(C60,2)</f>
        <v>0</v>
      </c>
      <c r="D733" s="284">
        <f>ROUND(C61,0)</f>
        <v>0</v>
      </c>
      <c r="E733" s="284">
        <f>ROUND(C62,0)</f>
        <v>0</v>
      </c>
      <c r="F733" s="284">
        <f>ROUND(C63,0)</f>
        <v>0</v>
      </c>
      <c r="G733" s="284">
        <f>ROUND(C64,0)</f>
        <v>0</v>
      </c>
      <c r="H733" s="284">
        <f>ROUND(C65,0)</f>
        <v>0</v>
      </c>
      <c r="I733" s="284">
        <f>ROUND(C66,0)</f>
        <v>0</v>
      </c>
      <c r="J733" s="284">
        <f>ROUND(C67,0)</f>
        <v>0</v>
      </c>
      <c r="K733" s="284">
        <f>ROUND(C68,0)</f>
        <v>0</v>
      </c>
      <c r="L733" s="284">
        <f>ROUND(C70,0)</f>
        <v>0</v>
      </c>
      <c r="M733" s="284">
        <f>ROUND(C71,0)</f>
        <v>0</v>
      </c>
      <c r="N733" s="284">
        <f>ROUND(C76,0)</f>
        <v>0</v>
      </c>
      <c r="O733" s="284">
        <f>ROUND(C74,0)</f>
        <v>0</v>
      </c>
      <c r="P733" s="284">
        <f>IF(C77&gt;0,ROUND(C77,0),0)</f>
        <v>0</v>
      </c>
      <c r="Q733" s="284">
        <f>IF(C78&gt;0,ROUND(C78,0),0)</f>
        <v>0</v>
      </c>
      <c r="R733" s="284">
        <f>IF(C79&gt;0,ROUND(C79,0),0)</f>
        <v>0</v>
      </c>
      <c r="S733" s="284">
        <f>IF(C80&gt;0,ROUND(C80,0),0)</f>
        <v>0</v>
      </c>
      <c r="T733" s="287">
        <f>IF(C81&gt;0,ROUND(C81,2),0)</f>
        <v>0</v>
      </c>
      <c r="U733" s="284"/>
      <c r="X733" s="284"/>
      <c r="Y733" s="284"/>
      <c r="Z733" s="284">
        <f>IF(M667&lt;&gt;0,ROUND(M667,0),0)</f>
        <v>0</v>
      </c>
    </row>
    <row r="734" spans="1:84" ht="12.65" customHeight="1" x14ac:dyDescent="0.35">
      <c r="A734" s="209" t="str">
        <f>RIGHT($C$84,3)&amp;"*"&amp;RIGHT($C$83,4)&amp;"*"&amp;D$55&amp;"*"&amp;"A"</f>
        <v xml:space="preserve"> #1*008*6030*A</v>
      </c>
      <c r="B734" s="284">
        <f>ROUND(D59,0)</f>
        <v>0</v>
      </c>
      <c r="C734" s="287">
        <f>ROUND(D60,2)</f>
        <v>0</v>
      </c>
      <c r="D734" s="284">
        <f>ROUND(D61,0)</f>
        <v>0</v>
      </c>
      <c r="E734" s="284">
        <f>ROUND(D62,0)</f>
        <v>0</v>
      </c>
      <c r="F734" s="284">
        <f>ROUND(D63,0)</f>
        <v>0</v>
      </c>
      <c r="G734" s="284">
        <f>ROUND(D64,0)</f>
        <v>0</v>
      </c>
      <c r="H734" s="284">
        <f>ROUND(D65,0)</f>
        <v>0</v>
      </c>
      <c r="I734" s="284">
        <f>ROUND(D66,0)</f>
        <v>0</v>
      </c>
      <c r="J734" s="284">
        <f>ROUND(D67,0)</f>
        <v>0</v>
      </c>
      <c r="K734" s="284">
        <f>ROUND(D68,0)</f>
        <v>0</v>
      </c>
      <c r="L734" s="284">
        <f>ROUND(D70,0)</f>
        <v>0</v>
      </c>
      <c r="M734" s="284">
        <f>ROUND(D71,0)</f>
        <v>0</v>
      </c>
      <c r="N734" s="284">
        <f>ROUND(D76,0)</f>
        <v>0</v>
      </c>
      <c r="O734" s="284">
        <f>ROUND(D74,0)</f>
        <v>0</v>
      </c>
      <c r="P734" s="284">
        <f>IF(D77&gt;0,ROUND(D77,0),0)</f>
        <v>0</v>
      </c>
      <c r="Q734" s="284">
        <f>IF(D78&gt;0,ROUND(D78,0),0)</f>
        <v>0</v>
      </c>
      <c r="R734" s="284">
        <f>IF(D79&gt;0,ROUND(D79,0),0)</f>
        <v>0</v>
      </c>
      <c r="S734" s="284">
        <f>IF(D80&gt;0,ROUND(D80,0),0)</f>
        <v>0</v>
      </c>
      <c r="T734" s="287">
        <f>IF(D81&gt;0,ROUND(D81,2),0)</f>
        <v>0</v>
      </c>
      <c r="U734" s="284"/>
      <c r="X734" s="284"/>
      <c r="Y734" s="284"/>
      <c r="Z734" s="284" t="e">
        <f t="shared" ref="Z734:Z778" si="21">IF(M668&lt;&gt;0,ROUND(M668,0),0)</f>
        <v>#DIV/0!</v>
      </c>
    </row>
    <row r="735" spans="1:84" ht="12.65" customHeight="1" x14ac:dyDescent="0.35">
      <c r="A735" s="209" t="str">
        <f>RIGHT($C$84,3)&amp;"*"&amp;RIGHT($C$83,4)&amp;"*"&amp;E$55&amp;"*"&amp;"A"</f>
        <v xml:space="preserve"> #1*008*6070*A</v>
      </c>
      <c r="B735" s="284">
        <f>ROUND(E59,0)</f>
        <v>0</v>
      </c>
      <c r="C735" s="287">
        <f>ROUND(E60,2)</f>
        <v>0</v>
      </c>
      <c r="D735" s="284">
        <f>ROUND(E61,0)</f>
        <v>1346064</v>
      </c>
      <c r="E735" s="284">
        <f>ROUND(E62,0)</f>
        <v>349554</v>
      </c>
      <c r="F735" s="284">
        <f>ROUND(E63,0)</f>
        <v>952805</v>
      </c>
      <c r="G735" s="284">
        <f>ROUND(E64,0)</f>
        <v>96776</v>
      </c>
      <c r="H735" s="284">
        <f>ROUND(E65,0)</f>
        <v>8305</v>
      </c>
      <c r="I735" s="284">
        <f>ROUND(E66,0)</f>
        <v>40790</v>
      </c>
      <c r="J735" s="284">
        <f>ROUND(E67,0)</f>
        <v>0</v>
      </c>
      <c r="K735" s="284">
        <f>ROUND(E68,0)</f>
        <v>52794</v>
      </c>
      <c r="L735" s="284">
        <f>ROUND(E70,0)</f>
        <v>0</v>
      </c>
      <c r="M735" s="284">
        <f>ROUND(E71,0)</f>
        <v>2870973</v>
      </c>
      <c r="N735" s="284">
        <f>ROUND(E76,0)</f>
        <v>5592</v>
      </c>
      <c r="O735" s="284">
        <f>ROUND(E74,0)</f>
        <v>918127</v>
      </c>
      <c r="P735" s="284">
        <f>IF(E77&gt;0,ROUND(E77,0),0)</f>
        <v>4752</v>
      </c>
      <c r="Q735" s="284">
        <f>IF(E78&gt;0,ROUND(E78,0),0)</f>
        <v>0</v>
      </c>
      <c r="R735" s="284">
        <f>IF(E79&gt;0,ROUND(E79,0),0)</f>
        <v>0</v>
      </c>
      <c r="S735" s="284">
        <f>IF(E80&gt;0,ROUND(E80,0),0)</f>
        <v>10</v>
      </c>
      <c r="T735" s="287">
        <f>IF(E81&gt;0,ROUND(E81,2),0)</f>
        <v>0</v>
      </c>
      <c r="U735" s="284"/>
      <c r="X735" s="284"/>
      <c r="Y735" s="284"/>
      <c r="Z735" s="284" t="e">
        <f t="shared" si="21"/>
        <v>#DIV/0!</v>
      </c>
    </row>
    <row r="736" spans="1:84" ht="12.65" customHeight="1" x14ac:dyDescent="0.35">
      <c r="A736" s="209" t="str">
        <f>RIGHT($C$84,3)&amp;"*"&amp;RIGHT($C$83,4)&amp;"*"&amp;F$55&amp;"*"&amp;"A"</f>
        <v xml:space="preserve"> #1*008*6100*A</v>
      </c>
      <c r="B736" s="284">
        <f>ROUND(F59,0)</f>
        <v>0</v>
      </c>
      <c r="C736" s="287">
        <f>ROUND(F60,2)</f>
        <v>0</v>
      </c>
      <c r="D736" s="284">
        <f>ROUND(F61,0)</f>
        <v>0</v>
      </c>
      <c r="E736" s="284">
        <f>ROUND(F62,0)</f>
        <v>0</v>
      </c>
      <c r="F736" s="284">
        <f>ROUND(F63,0)</f>
        <v>0</v>
      </c>
      <c r="G736" s="284">
        <f>ROUND(F64,0)</f>
        <v>0</v>
      </c>
      <c r="H736" s="284">
        <f>ROUND(F65,0)</f>
        <v>0</v>
      </c>
      <c r="I736" s="284">
        <f>ROUND(F66,0)</f>
        <v>0</v>
      </c>
      <c r="J736" s="284">
        <f>ROUND(F67,0)</f>
        <v>0</v>
      </c>
      <c r="K736" s="284">
        <f>ROUND(F68,0)</f>
        <v>0</v>
      </c>
      <c r="L736" s="284">
        <f>ROUND(F70,0)</f>
        <v>0</v>
      </c>
      <c r="M736" s="284">
        <f>ROUND(F71,0)</f>
        <v>0</v>
      </c>
      <c r="N736" s="284">
        <f>ROUND(F76,0)</f>
        <v>0</v>
      </c>
      <c r="O736" s="284">
        <f>ROUND(F74,0)</f>
        <v>0</v>
      </c>
      <c r="P736" s="284">
        <f>IF(F77&gt;0,ROUND(F77,0),0)</f>
        <v>0</v>
      </c>
      <c r="Q736" s="284">
        <f>IF(F78&gt;0,ROUND(F78,0),0)</f>
        <v>0</v>
      </c>
      <c r="R736" s="284">
        <f>IF(F79&gt;0,ROUND(F79,0),0)</f>
        <v>0</v>
      </c>
      <c r="S736" s="284">
        <f>IF(F80&gt;0,ROUND(F80,0),0)</f>
        <v>0</v>
      </c>
      <c r="T736" s="287">
        <f>IF(F81&gt;0,ROUND(F81,2),0)</f>
        <v>0</v>
      </c>
      <c r="U736" s="284"/>
      <c r="X736" s="284"/>
      <c r="Y736" s="284"/>
      <c r="Z736" s="284" t="e">
        <f t="shared" si="21"/>
        <v>#DIV/0!</v>
      </c>
    </row>
    <row r="737" spans="1:26" ht="12.65" customHeight="1" x14ac:dyDescent="0.35">
      <c r="A737" s="209" t="str">
        <f>RIGHT($C$84,3)&amp;"*"&amp;RIGHT($C$83,4)&amp;"*"&amp;G$55&amp;"*"&amp;"A"</f>
        <v xml:space="preserve"> #1*008*6120*A</v>
      </c>
      <c r="B737" s="284">
        <f>ROUND(G59,0)</f>
        <v>0</v>
      </c>
      <c r="C737" s="287">
        <f>ROUND(G60,2)</f>
        <v>0</v>
      </c>
      <c r="D737" s="284">
        <f>ROUND(G61,0)</f>
        <v>0</v>
      </c>
      <c r="E737" s="284">
        <f>ROUND(G62,0)</f>
        <v>0</v>
      </c>
      <c r="F737" s="284">
        <f>ROUND(G63,0)</f>
        <v>0</v>
      </c>
      <c r="G737" s="284">
        <f>ROUND(G64,0)</f>
        <v>0</v>
      </c>
      <c r="H737" s="284">
        <f>ROUND(G65,0)</f>
        <v>0</v>
      </c>
      <c r="I737" s="284">
        <f>ROUND(G66,0)</f>
        <v>0</v>
      </c>
      <c r="J737" s="284">
        <f>ROUND(G67,0)</f>
        <v>0</v>
      </c>
      <c r="K737" s="284">
        <f>ROUND(G68,0)</f>
        <v>0</v>
      </c>
      <c r="L737" s="284">
        <f>ROUND(G70,0)</f>
        <v>0</v>
      </c>
      <c r="M737" s="284">
        <f>ROUND(G71,0)</f>
        <v>0</v>
      </c>
      <c r="N737" s="284">
        <f>ROUND(G76,0)</f>
        <v>0</v>
      </c>
      <c r="O737" s="284">
        <f>ROUND(G74,0)</f>
        <v>0</v>
      </c>
      <c r="P737" s="284">
        <f>IF(G77&gt;0,ROUND(G77,0),0)</f>
        <v>0</v>
      </c>
      <c r="Q737" s="284">
        <f>IF(G78&gt;0,ROUND(G78,0),0)</f>
        <v>0</v>
      </c>
      <c r="R737" s="284">
        <f>IF(G79&gt;0,ROUND(G79,0),0)</f>
        <v>0</v>
      </c>
      <c r="S737" s="284">
        <f>IF(G80&gt;0,ROUND(G80,0),0)</f>
        <v>0</v>
      </c>
      <c r="T737" s="287">
        <f>IF(G81&gt;0,ROUND(G81,2),0)</f>
        <v>0</v>
      </c>
      <c r="U737" s="284"/>
      <c r="X737" s="284"/>
      <c r="Y737" s="284"/>
      <c r="Z737" s="284" t="e">
        <f t="shared" si="21"/>
        <v>#DIV/0!</v>
      </c>
    </row>
    <row r="738" spans="1:26" ht="12.65" customHeight="1" x14ac:dyDescent="0.35">
      <c r="A738" s="209" t="str">
        <f>RIGHT($C$84,3)&amp;"*"&amp;RIGHT($C$83,4)&amp;"*"&amp;H$55&amp;"*"&amp;"A"</f>
        <v xml:space="preserve"> #1*008*6140*A</v>
      </c>
      <c r="B738" s="284">
        <f>ROUND(H59,0)</f>
        <v>0</v>
      </c>
      <c r="C738" s="287">
        <f>ROUND(H60,2)</f>
        <v>0</v>
      </c>
      <c r="D738" s="284">
        <f>ROUND(H61,0)</f>
        <v>0</v>
      </c>
      <c r="E738" s="284">
        <f>ROUND(H62,0)</f>
        <v>0</v>
      </c>
      <c r="F738" s="284">
        <f>ROUND(H63,0)</f>
        <v>0</v>
      </c>
      <c r="G738" s="284">
        <f>ROUND(H64,0)</f>
        <v>0</v>
      </c>
      <c r="H738" s="284">
        <f>ROUND(H65,0)</f>
        <v>0</v>
      </c>
      <c r="I738" s="284">
        <f>ROUND(H66,0)</f>
        <v>0</v>
      </c>
      <c r="J738" s="284">
        <f>ROUND(H67,0)</f>
        <v>0</v>
      </c>
      <c r="K738" s="284">
        <f>ROUND(H68,0)</f>
        <v>0</v>
      </c>
      <c r="L738" s="284">
        <f>ROUND(H70,0)</f>
        <v>0</v>
      </c>
      <c r="M738" s="284">
        <f>ROUND(H71,0)</f>
        <v>0</v>
      </c>
      <c r="N738" s="284">
        <f>ROUND(H76,0)</f>
        <v>0</v>
      </c>
      <c r="O738" s="284">
        <f>ROUND(H74,0)</f>
        <v>0</v>
      </c>
      <c r="P738" s="284">
        <f>IF(H77&gt;0,ROUND(H77,0),0)</f>
        <v>0</v>
      </c>
      <c r="Q738" s="284">
        <f>IF(H78&gt;0,ROUND(H78,0),0)</f>
        <v>0</v>
      </c>
      <c r="R738" s="284">
        <f>IF(H79&gt;0,ROUND(H79,0),0)</f>
        <v>0</v>
      </c>
      <c r="S738" s="284">
        <f>IF(H80&gt;0,ROUND(H80,0),0)</f>
        <v>0</v>
      </c>
      <c r="T738" s="287">
        <f>IF(H81&gt;0,ROUND(H81,2),0)</f>
        <v>0</v>
      </c>
      <c r="U738" s="284"/>
      <c r="X738" s="284"/>
      <c r="Y738" s="284"/>
      <c r="Z738" s="284" t="e">
        <f t="shared" si="21"/>
        <v>#DIV/0!</v>
      </c>
    </row>
    <row r="739" spans="1:26" ht="12.65" customHeight="1" x14ac:dyDescent="0.35">
      <c r="A739" s="209" t="str">
        <f>RIGHT($C$84,3)&amp;"*"&amp;RIGHT($C$83,4)&amp;"*"&amp;I$55&amp;"*"&amp;"A"</f>
        <v xml:space="preserve"> #1*008*6150*A</v>
      </c>
      <c r="B739" s="284">
        <f>ROUND(I59,0)</f>
        <v>0</v>
      </c>
      <c r="C739" s="287">
        <f>ROUND(I60,2)</f>
        <v>0</v>
      </c>
      <c r="D739" s="284">
        <f>ROUND(I61,0)</f>
        <v>0</v>
      </c>
      <c r="E739" s="284">
        <f>ROUND(I62,0)</f>
        <v>0</v>
      </c>
      <c r="F739" s="284">
        <f>ROUND(I63,0)</f>
        <v>0</v>
      </c>
      <c r="G739" s="284">
        <f>ROUND(I64,0)</f>
        <v>0</v>
      </c>
      <c r="H739" s="284">
        <f>ROUND(I65,0)</f>
        <v>0</v>
      </c>
      <c r="I739" s="284">
        <f>ROUND(I66,0)</f>
        <v>0</v>
      </c>
      <c r="J739" s="284">
        <f>ROUND(I67,0)</f>
        <v>0</v>
      </c>
      <c r="K739" s="284">
        <f>ROUND(I68,0)</f>
        <v>0</v>
      </c>
      <c r="L739" s="284">
        <f>ROUND(I70,0)</f>
        <v>0</v>
      </c>
      <c r="M739" s="284">
        <f>ROUND(I71,0)</f>
        <v>0</v>
      </c>
      <c r="N739" s="284">
        <f>ROUND(I76,0)</f>
        <v>0</v>
      </c>
      <c r="O739" s="284">
        <f>ROUND(I74,0)</f>
        <v>0</v>
      </c>
      <c r="P739" s="284">
        <f>IF(I77&gt;0,ROUND(I77,0),0)</f>
        <v>0</v>
      </c>
      <c r="Q739" s="284">
        <f>IF(I78&gt;0,ROUND(I78,0),0)</f>
        <v>0</v>
      </c>
      <c r="R739" s="284">
        <f>IF(I79&gt;0,ROUND(I79,0),0)</f>
        <v>0</v>
      </c>
      <c r="S739" s="284">
        <f>IF(I80&gt;0,ROUND(I80,0),0)</f>
        <v>0</v>
      </c>
      <c r="T739" s="287">
        <f>IF(I81&gt;0,ROUND(I81,2),0)</f>
        <v>0</v>
      </c>
      <c r="U739" s="284"/>
      <c r="X739" s="284"/>
      <c r="Y739" s="284"/>
      <c r="Z739" s="284" t="e">
        <f t="shared" si="21"/>
        <v>#DIV/0!</v>
      </c>
    </row>
    <row r="740" spans="1:26" ht="12.65" customHeight="1" x14ac:dyDescent="0.35">
      <c r="A740" s="209" t="str">
        <f>RIGHT($C$84,3)&amp;"*"&amp;RIGHT($C$83,4)&amp;"*"&amp;J$55&amp;"*"&amp;"A"</f>
        <v xml:space="preserve"> #1*008*6170*A</v>
      </c>
      <c r="B740" s="284">
        <f>ROUND(J59,0)</f>
        <v>0</v>
      </c>
      <c r="C740" s="287">
        <f>ROUND(J60,2)</f>
        <v>0</v>
      </c>
      <c r="D740" s="284">
        <f>ROUND(J61,0)</f>
        <v>0</v>
      </c>
      <c r="E740" s="284">
        <f>ROUND(J62,0)</f>
        <v>0</v>
      </c>
      <c r="F740" s="284">
        <f>ROUND(J63,0)</f>
        <v>0</v>
      </c>
      <c r="G740" s="284">
        <f>ROUND(J64,0)</f>
        <v>0</v>
      </c>
      <c r="H740" s="284">
        <f>ROUND(J65,0)</f>
        <v>0</v>
      </c>
      <c r="I740" s="284">
        <f>ROUND(J66,0)</f>
        <v>0</v>
      </c>
      <c r="J740" s="284">
        <f>ROUND(J67,0)</f>
        <v>0</v>
      </c>
      <c r="K740" s="284">
        <f>ROUND(J68,0)</f>
        <v>0</v>
      </c>
      <c r="L740" s="284">
        <f>ROUND(J70,0)</f>
        <v>0</v>
      </c>
      <c r="M740" s="284">
        <f>ROUND(J71,0)</f>
        <v>0</v>
      </c>
      <c r="N740" s="284">
        <f>ROUND(J76,0)</f>
        <v>0</v>
      </c>
      <c r="O740" s="284">
        <f>ROUND(J74,0)</f>
        <v>0</v>
      </c>
      <c r="P740" s="284">
        <f>IF(J77&gt;0,ROUND(J77,0),0)</f>
        <v>0</v>
      </c>
      <c r="Q740" s="284">
        <f>IF(J78&gt;0,ROUND(J78,0),0)</f>
        <v>0</v>
      </c>
      <c r="R740" s="284">
        <f>IF(J79&gt;0,ROUND(J79,0),0)</f>
        <v>0</v>
      </c>
      <c r="S740" s="284">
        <f>IF(J80&gt;0,ROUND(J80,0),0)</f>
        <v>0</v>
      </c>
      <c r="T740" s="287">
        <f>IF(J81&gt;0,ROUND(J81,2),0)</f>
        <v>0</v>
      </c>
      <c r="U740" s="284"/>
      <c r="X740" s="284"/>
      <c r="Y740" s="284"/>
      <c r="Z740" s="284" t="e">
        <f t="shared" si="21"/>
        <v>#DIV/0!</v>
      </c>
    </row>
    <row r="741" spans="1:26" ht="12.65" customHeight="1" x14ac:dyDescent="0.35">
      <c r="A741" s="209" t="str">
        <f>RIGHT($C$84,3)&amp;"*"&amp;RIGHT($C$83,4)&amp;"*"&amp;K$55&amp;"*"&amp;"A"</f>
        <v xml:space="preserve"> #1*008*6200*A</v>
      </c>
      <c r="B741" s="284">
        <f>ROUND(K59,0)</f>
        <v>0</v>
      </c>
      <c r="C741" s="287">
        <f>ROUND(K60,2)</f>
        <v>0</v>
      </c>
      <c r="D741" s="284">
        <f>ROUND(K61,0)</f>
        <v>0</v>
      </c>
      <c r="E741" s="284">
        <f>ROUND(K62,0)</f>
        <v>0</v>
      </c>
      <c r="F741" s="284">
        <f>ROUND(K63,0)</f>
        <v>0</v>
      </c>
      <c r="G741" s="284">
        <f>ROUND(K64,0)</f>
        <v>0</v>
      </c>
      <c r="H741" s="284">
        <f>ROUND(K65,0)</f>
        <v>0</v>
      </c>
      <c r="I741" s="284">
        <f>ROUND(K66,0)</f>
        <v>0</v>
      </c>
      <c r="J741" s="284">
        <f>ROUND(K67,0)</f>
        <v>0</v>
      </c>
      <c r="K741" s="284">
        <f>ROUND(K68,0)</f>
        <v>0</v>
      </c>
      <c r="L741" s="284">
        <f>ROUND(K70,0)</f>
        <v>0</v>
      </c>
      <c r="M741" s="284">
        <f>ROUND(K71,0)</f>
        <v>0</v>
      </c>
      <c r="N741" s="284">
        <f>ROUND(K76,0)</f>
        <v>0</v>
      </c>
      <c r="O741" s="284">
        <f>ROUND(K74,0)</f>
        <v>0</v>
      </c>
      <c r="P741" s="284">
        <f>IF(K77&gt;0,ROUND(K77,0),0)</f>
        <v>0</v>
      </c>
      <c r="Q741" s="284">
        <f>IF(K78&gt;0,ROUND(K78,0),0)</f>
        <v>0</v>
      </c>
      <c r="R741" s="284">
        <f>IF(K79&gt;0,ROUND(K79,0),0)</f>
        <v>0</v>
      </c>
      <c r="S741" s="284">
        <f>IF(K80&gt;0,ROUND(K80,0),0)</f>
        <v>0</v>
      </c>
      <c r="T741" s="287">
        <f>IF(K81&gt;0,ROUND(K81,2),0)</f>
        <v>0</v>
      </c>
      <c r="U741" s="284"/>
      <c r="X741" s="284"/>
      <c r="Y741" s="284"/>
      <c r="Z741" s="284" t="e">
        <f t="shared" si="21"/>
        <v>#DIV/0!</v>
      </c>
    </row>
    <row r="742" spans="1:26" ht="12.65" customHeight="1" x14ac:dyDescent="0.35">
      <c r="A742" s="209" t="str">
        <f>RIGHT($C$84,3)&amp;"*"&amp;RIGHT($C$83,4)&amp;"*"&amp;L$55&amp;"*"&amp;"A"</f>
        <v xml:space="preserve"> #1*008*6210*A</v>
      </c>
      <c r="B742" s="284">
        <f>ROUND(L59,0)</f>
        <v>0</v>
      </c>
      <c r="C742" s="287">
        <f>ROUND(L60,2)</f>
        <v>0</v>
      </c>
      <c r="D742" s="284">
        <f>ROUND(L61,0)</f>
        <v>0</v>
      </c>
      <c r="E742" s="284">
        <f>ROUND(L62,0)</f>
        <v>0</v>
      </c>
      <c r="F742" s="284">
        <f>ROUND(L63,0)</f>
        <v>0</v>
      </c>
      <c r="G742" s="284">
        <f>ROUND(L64,0)</f>
        <v>0</v>
      </c>
      <c r="H742" s="284">
        <f>ROUND(L65,0)</f>
        <v>0</v>
      </c>
      <c r="I742" s="284">
        <f>ROUND(L66,0)</f>
        <v>0</v>
      </c>
      <c r="J742" s="284">
        <f>ROUND(L67,0)</f>
        <v>0</v>
      </c>
      <c r="K742" s="284">
        <f>ROUND(L68,0)</f>
        <v>0</v>
      </c>
      <c r="L742" s="284">
        <f>ROUND(L70,0)</f>
        <v>0</v>
      </c>
      <c r="M742" s="284">
        <f>ROUND(L71,0)</f>
        <v>0</v>
      </c>
      <c r="N742" s="284">
        <f>ROUND(L76,0)</f>
        <v>0</v>
      </c>
      <c r="O742" s="284">
        <f>ROUND(L74,0)</f>
        <v>0</v>
      </c>
      <c r="P742" s="284">
        <f>IF(L77&gt;0,ROUND(L77,0),0)</f>
        <v>0</v>
      </c>
      <c r="Q742" s="284">
        <f>IF(L78&gt;0,ROUND(L78,0),0)</f>
        <v>0</v>
      </c>
      <c r="R742" s="284">
        <f>IF(L79&gt;0,ROUND(L79,0),0)</f>
        <v>0</v>
      </c>
      <c r="S742" s="284">
        <f>IF(L80&gt;0,ROUND(L80,0),0)</f>
        <v>0</v>
      </c>
      <c r="T742" s="287">
        <f>IF(L81&gt;0,ROUND(L81,2),0)</f>
        <v>0</v>
      </c>
      <c r="U742" s="284"/>
      <c r="X742" s="284"/>
      <c r="Y742" s="284"/>
      <c r="Z742" s="284" t="e">
        <f t="shared" si="21"/>
        <v>#DIV/0!</v>
      </c>
    </row>
    <row r="743" spans="1:26" ht="12.65" customHeight="1" x14ac:dyDescent="0.35">
      <c r="A743" s="209" t="str">
        <f>RIGHT($C$84,3)&amp;"*"&amp;RIGHT($C$83,4)&amp;"*"&amp;M$55&amp;"*"&amp;"A"</f>
        <v xml:space="preserve"> #1*008*6330*A</v>
      </c>
      <c r="B743" s="284">
        <f>ROUND(M59,0)</f>
        <v>0</v>
      </c>
      <c r="C743" s="287">
        <f>ROUND(M60,2)</f>
        <v>0</v>
      </c>
      <c r="D743" s="284">
        <f>ROUND(M61,0)</f>
        <v>277272</v>
      </c>
      <c r="E743" s="284">
        <f>ROUND(M62,0)</f>
        <v>37249</v>
      </c>
      <c r="F743" s="284">
        <f>ROUND(M63,0)</f>
        <v>0</v>
      </c>
      <c r="G743" s="284">
        <f>ROUND(M64,0)</f>
        <v>66056</v>
      </c>
      <c r="H743" s="284">
        <f>ROUND(M65,0)</f>
        <v>416</v>
      </c>
      <c r="I743" s="284">
        <f>ROUND(M66,0)</f>
        <v>1470</v>
      </c>
      <c r="J743" s="284">
        <f>ROUND(M67,0)</f>
        <v>0</v>
      </c>
      <c r="K743" s="284">
        <f>ROUND(M68,0)</f>
        <v>8725</v>
      </c>
      <c r="L743" s="284">
        <f>ROUND(M70,0)</f>
        <v>0</v>
      </c>
      <c r="M743" s="284">
        <f>ROUND(M71,0)</f>
        <v>397166</v>
      </c>
      <c r="N743" s="284">
        <f>ROUND(M76,0)</f>
        <v>0</v>
      </c>
      <c r="O743" s="284">
        <f>ROUND(M74,0)</f>
        <v>677430</v>
      </c>
      <c r="P743" s="284">
        <f>IF(M77&gt;0,ROUND(M77,0),0)</f>
        <v>0</v>
      </c>
      <c r="Q743" s="284">
        <f>IF(M78&gt;0,ROUND(M78,0),0)</f>
        <v>0</v>
      </c>
      <c r="R743" s="284">
        <f>IF(M79&gt;0,ROUND(M79,0),0)</f>
        <v>0</v>
      </c>
      <c r="S743" s="284">
        <f>IF(M80&gt;0,ROUND(M80,0),0)</f>
        <v>1</v>
      </c>
      <c r="T743" s="287">
        <f>IF(M81&gt;0,ROUND(M81,2),0)</f>
        <v>0</v>
      </c>
      <c r="U743" s="284"/>
      <c r="X743" s="284"/>
      <c r="Y743" s="284"/>
      <c r="Z743" s="284" t="e">
        <f t="shared" si="21"/>
        <v>#DIV/0!</v>
      </c>
    </row>
    <row r="744" spans="1:26" ht="12.65" customHeight="1" x14ac:dyDescent="0.35">
      <c r="A744" s="209" t="str">
        <f>RIGHT($C$84,3)&amp;"*"&amp;RIGHT($C$83,4)&amp;"*"&amp;N$55&amp;"*"&amp;"A"</f>
        <v xml:space="preserve"> #1*008*6400*A</v>
      </c>
      <c r="B744" s="284">
        <f>ROUND(N59,0)</f>
        <v>0</v>
      </c>
      <c r="C744" s="287">
        <f>ROUND(N60,2)</f>
        <v>0</v>
      </c>
      <c r="D744" s="284">
        <f>ROUND(N61,0)</f>
        <v>234287</v>
      </c>
      <c r="E744" s="284">
        <f>ROUND(N62,0)</f>
        <v>47837</v>
      </c>
      <c r="F744" s="284">
        <f>ROUND(N63,0)</f>
        <v>0</v>
      </c>
      <c r="G744" s="284">
        <f>ROUND(N64,0)</f>
        <v>581</v>
      </c>
      <c r="H744" s="284">
        <f>ROUND(N65,0)</f>
        <v>0</v>
      </c>
      <c r="I744" s="284">
        <f>ROUND(N66,0)</f>
        <v>218</v>
      </c>
      <c r="J744" s="284">
        <f>ROUND(N67,0)</f>
        <v>0</v>
      </c>
      <c r="K744" s="284">
        <f>ROUND(N68,0)</f>
        <v>0</v>
      </c>
      <c r="L744" s="284">
        <f>ROUND(N70,0)</f>
        <v>0</v>
      </c>
      <c r="M744" s="284">
        <f>ROUND(N71,0)</f>
        <v>295126</v>
      </c>
      <c r="N744" s="284">
        <f>ROUND(N76,0)</f>
        <v>0</v>
      </c>
      <c r="O744" s="284">
        <f>ROUND(N74,0)</f>
        <v>549689</v>
      </c>
      <c r="P744" s="284">
        <f>IF(N77&gt;0,ROUND(N77,0),0)</f>
        <v>0</v>
      </c>
      <c r="Q744" s="284">
        <f>IF(N78&gt;0,ROUND(N78,0),0)</f>
        <v>0</v>
      </c>
      <c r="R744" s="284">
        <f>IF(N79&gt;0,ROUND(N79,0),0)</f>
        <v>0</v>
      </c>
      <c r="S744" s="284">
        <f>IF(N80&gt;0,ROUND(N80,0),0)</f>
        <v>0</v>
      </c>
      <c r="T744" s="287">
        <f>IF(N81&gt;0,ROUND(N81,2),0)</f>
        <v>0</v>
      </c>
      <c r="U744" s="284"/>
      <c r="X744" s="284"/>
      <c r="Y744" s="284"/>
      <c r="Z744" s="284" t="e">
        <f t="shared" si="21"/>
        <v>#DIV/0!</v>
      </c>
    </row>
    <row r="745" spans="1:26" ht="12.65" customHeight="1" x14ac:dyDescent="0.35">
      <c r="A745" s="209" t="str">
        <f>RIGHT($C$84,3)&amp;"*"&amp;RIGHT($C$83,4)&amp;"*"&amp;O$55&amp;"*"&amp;"A"</f>
        <v xml:space="preserve"> #1*008*7010*A</v>
      </c>
      <c r="B745" s="284">
        <f>ROUND(O59,0)</f>
        <v>0</v>
      </c>
      <c r="C745" s="287">
        <f>ROUND(O60,2)</f>
        <v>0</v>
      </c>
      <c r="D745" s="284">
        <f>ROUND(O61,0)</f>
        <v>0</v>
      </c>
      <c r="E745" s="284">
        <f>ROUND(O62,0)</f>
        <v>0</v>
      </c>
      <c r="F745" s="284">
        <f>ROUND(O63,0)</f>
        <v>0</v>
      </c>
      <c r="G745" s="284">
        <f>ROUND(O64,0)</f>
        <v>0</v>
      </c>
      <c r="H745" s="284">
        <f>ROUND(O65,0)</f>
        <v>0</v>
      </c>
      <c r="I745" s="284">
        <f>ROUND(O66,0)</f>
        <v>0</v>
      </c>
      <c r="J745" s="284">
        <f>ROUND(O67,0)</f>
        <v>0</v>
      </c>
      <c r="K745" s="284">
        <f>ROUND(O68,0)</f>
        <v>0</v>
      </c>
      <c r="L745" s="284">
        <f>ROUND(O70,0)</f>
        <v>0</v>
      </c>
      <c r="M745" s="284">
        <f>ROUND(O71,0)</f>
        <v>0</v>
      </c>
      <c r="N745" s="284">
        <f>ROUND(O76,0)</f>
        <v>0</v>
      </c>
      <c r="O745" s="284">
        <f>ROUND(O74,0)</f>
        <v>0</v>
      </c>
      <c r="P745" s="284">
        <f>IF(O77&gt;0,ROUND(O77,0),0)</f>
        <v>0</v>
      </c>
      <c r="Q745" s="284">
        <f>IF(O78&gt;0,ROUND(O78,0),0)</f>
        <v>0</v>
      </c>
      <c r="R745" s="284">
        <f>IF(O79&gt;0,ROUND(O79,0),0)</f>
        <v>0</v>
      </c>
      <c r="S745" s="284">
        <f>IF(O80&gt;0,ROUND(O80,0),0)</f>
        <v>0</v>
      </c>
      <c r="T745" s="287">
        <f>IF(O81&gt;0,ROUND(O81,2),0)</f>
        <v>0</v>
      </c>
      <c r="U745" s="284"/>
      <c r="X745" s="284"/>
      <c r="Y745" s="284"/>
      <c r="Z745" s="284" t="e">
        <f t="shared" si="21"/>
        <v>#DIV/0!</v>
      </c>
    </row>
    <row r="746" spans="1:26" ht="12.65" customHeight="1" x14ac:dyDescent="0.35">
      <c r="A746" s="209" t="str">
        <f>RIGHT($C$84,3)&amp;"*"&amp;RIGHT($C$83,4)&amp;"*"&amp;P$55&amp;"*"&amp;"A"</f>
        <v xml:space="preserve"> #1*008*7020*A</v>
      </c>
      <c r="B746" s="284">
        <f>ROUND(P59,0)</f>
        <v>0</v>
      </c>
      <c r="C746" s="287">
        <f>ROUND(P60,2)</f>
        <v>0</v>
      </c>
      <c r="D746" s="284">
        <f>ROUND(P61,0)</f>
        <v>691273</v>
      </c>
      <c r="E746" s="284">
        <f>ROUND(P62,0)</f>
        <v>111143</v>
      </c>
      <c r="F746" s="284">
        <f>ROUND(P63,0)</f>
        <v>474510</v>
      </c>
      <c r="G746" s="284">
        <f>ROUND(P64,0)</f>
        <v>259331</v>
      </c>
      <c r="H746" s="284">
        <f>ROUND(P65,0)</f>
        <v>0</v>
      </c>
      <c r="I746" s="284">
        <f>ROUND(P66,0)</f>
        <v>26143</v>
      </c>
      <c r="J746" s="284">
        <f>ROUND(P67,0)</f>
        <v>0</v>
      </c>
      <c r="K746" s="284">
        <f>ROUND(P68,0)</f>
        <v>9790</v>
      </c>
      <c r="L746" s="284">
        <f>ROUND(P70,0)</f>
        <v>0</v>
      </c>
      <c r="M746" s="284">
        <f>ROUND(P71,0)</f>
        <v>1583059</v>
      </c>
      <c r="N746" s="284">
        <f>ROUND(P76,0)</f>
        <v>5691</v>
      </c>
      <c r="O746" s="284">
        <f>ROUND(P74,0)</f>
        <v>2868411</v>
      </c>
      <c r="P746" s="284">
        <f>IF(P77&gt;0,ROUND(P77,0),0)</f>
        <v>0</v>
      </c>
      <c r="Q746" s="284">
        <f>IF(P78&gt;0,ROUND(P78,0),0)</f>
        <v>0</v>
      </c>
      <c r="R746" s="284">
        <f>IF(P79&gt;0,ROUND(P79,0),0)</f>
        <v>0</v>
      </c>
      <c r="S746" s="284">
        <f>IF(P80&gt;0,ROUND(P80,0),0)</f>
        <v>3</v>
      </c>
      <c r="T746" s="287">
        <f>IF(P81&gt;0,ROUND(P81,2),0)</f>
        <v>0</v>
      </c>
      <c r="U746" s="284"/>
      <c r="X746" s="284"/>
      <c r="Y746" s="284"/>
      <c r="Z746" s="284" t="e">
        <f t="shared" si="21"/>
        <v>#DIV/0!</v>
      </c>
    </row>
    <row r="747" spans="1:26" ht="12.65" customHeight="1" x14ac:dyDescent="0.35">
      <c r="A747" s="209" t="str">
        <f>RIGHT($C$84,3)&amp;"*"&amp;RIGHT($C$83,4)&amp;"*"&amp;Q$55&amp;"*"&amp;"A"</f>
        <v xml:space="preserve"> #1*008*7030*A</v>
      </c>
      <c r="B747" s="284">
        <f>ROUND(Q59,0)</f>
        <v>0</v>
      </c>
      <c r="C747" s="287">
        <f>ROUND(Q60,2)</f>
        <v>0</v>
      </c>
      <c r="D747" s="284">
        <f>ROUND(Q61,0)</f>
        <v>0</v>
      </c>
      <c r="E747" s="284">
        <f>ROUND(Q62,0)</f>
        <v>0</v>
      </c>
      <c r="F747" s="284">
        <f>ROUND(Q63,0)</f>
        <v>0</v>
      </c>
      <c r="G747" s="284">
        <f>ROUND(Q64,0)</f>
        <v>0</v>
      </c>
      <c r="H747" s="284">
        <f>ROUND(Q65,0)</f>
        <v>0</v>
      </c>
      <c r="I747" s="284">
        <f>ROUND(Q66,0)</f>
        <v>0</v>
      </c>
      <c r="J747" s="284">
        <f>ROUND(Q67,0)</f>
        <v>0</v>
      </c>
      <c r="K747" s="284">
        <f>ROUND(Q68,0)</f>
        <v>0</v>
      </c>
      <c r="L747" s="284">
        <f>ROUND(Q70,0)</f>
        <v>0</v>
      </c>
      <c r="M747" s="284">
        <f>ROUND(Q71,0)</f>
        <v>0</v>
      </c>
      <c r="N747" s="284">
        <f>ROUND(Q76,0)</f>
        <v>0</v>
      </c>
      <c r="O747" s="284">
        <f>ROUND(Q74,0)</f>
        <v>0</v>
      </c>
      <c r="P747" s="284">
        <f>IF(Q77&gt;0,ROUND(Q77,0),0)</f>
        <v>0</v>
      </c>
      <c r="Q747" s="284">
        <f>IF(Q78&gt;0,ROUND(Q78,0),0)</f>
        <v>0</v>
      </c>
      <c r="R747" s="284">
        <f>IF(Q79&gt;0,ROUND(Q79,0),0)</f>
        <v>0</v>
      </c>
      <c r="S747" s="284">
        <f>IF(Q80&gt;0,ROUND(Q80,0),0)</f>
        <v>0</v>
      </c>
      <c r="T747" s="287">
        <f>IF(Q81&gt;0,ROUND(Q81,2),0)</f>
        <v>0</v>
      </c>
      <c r="U747" s="284"/>
      <c r="X747" s="284"/>
      <c r="Y747" s="284"/>
      <c r="Z747" s="284" t="e">
        <f t="shared" si="21"/>
        <v>#DIV/0!</v>
      </c>
    </row>
    <row r="748" spans="1:26" ht="12.65" customHeight="1" x14ac:dyDescent="0.35">
      <c r="A748" s="209" t="str">
        <f>RIGHT($C$84,3)&amp;"*"&amp;RIGHT($C$83,4)&amp;"*"&amp;R$55&amp;"*"&amp;"A"</f>
        <v xml:space="preserve"> #1*008*7040*A</v>
      </c>
      <c r="B748" s="284">
        <f>ROUND(R59,0)</f>
        <v>0</v>
      </c>
      <c r="C748" s="287">
        <f>ROUND(R60,2)</f>
        <v>0</v>
      </c>
      <c r="D748" s="284">
        <f>ROUND(R61,0)</f>
        <v>217619</v>
      </c>
      <c r="E748" s="284">
        <f>ROUND(R62,0)</f>
        <v>35370</v>
      </c>
      <c r="F748" s="284">
        <f>ROUND(R63,0)</f>
        <v>104570</v>
      </c>
      <c r="G748" s="284">
        <f>ROUND(R64,0)</f>
        <v>14233</v>
      </c>
      <c r="H748" s="284">
        <f>ROUND(R65,0)</f>
        <v>0</v>
      </c>
      <c r="I748" s="284">
        <f>ROUND(R66,0)</f>
        <v>0</v>
      </c>
      <c r="J748" s="284">
        <f>ROUND(R67,0)</f>
        <v>0</v>
      </c>
      <c r="K748" s="284">
        <f>ROUND(R68,0)</f>
        <v>0</v>
      </c>
      <c r="L748" s="284">
        <f>ROUND(R70,0)</f>
        <v>0</v>
      </c>
      <c r="M748" s="284">
        <f>ROUND(R71,0)</f>
        <v>373616</v>
      </c>
      <c r="N748" s="284">
        <f>ROUND(R76,0)</f>
        <v>0</v>
      </c>
      <c r="O748" s="284">
        <f>ROUND(R74,0)</f>
        <v>273058</v>
      </c>
      <c r="P748" s="284">
        <f>IF(R77&gt;0,ROUND(R77,0),0)</f>
        <v>0</v>
      </c>
      <c r="Q748" s="284">
        <f>IF(R78&gt;0,ROUND(R78,0),0)</f>
        <v>0</v>
      </c>
      <c r="R748" s="284">
        <f>IF(R79&gt;0,ROUND(R79,0),0)</f>
        <v>0</v>
      </c>
      <c r="S748" s="284">
        <f>IF(R80&gt;0,ROUND(R80,0),0)</f>
        <v>1</v>
      </c>
      <c r="T748" s="287">
        <f>IF(R81&gt;0,ROUND(R81,2),0)</f>
        <v>0</v>
      </c>
      <c r="U748" s="284"/>
      <c r="X748" s="284"/>
      <c r="Y748" s="284"/>
      <c r="Z748" s="284" t="e">
        <f t="shared" si="21"/>
        <v>#DIV/0!</v>
      </c>
    </row>
    <row r="749" spans="1:26" ht="12.65" customHeight="1" x14ac:dyDescent="0.35">
      <c r="A749" s="209" t="str">
        <f>RIGHT($C$84,3)&amp;"*"&amp;RIGHT($C$83,4)&amp;"*"&amp;S$55&amp;"*"&amp;"A"</f>
        <v xml:space="preserve"> #1*008*7050*A</v>
      </c>
      <c r="B749" s="284"/>
      <c r="C749" s="287">
        <f>ROUND(S60,2)</f>
        <v>0</v>
      </c>
      <c r="D749" s="284">
        <f>ROUND(S61,0)</f>
        <v>0</v>
      </c>
      <c r="E749" s="284">
        <f>ROUND(S62,0)</f>
        <v>0</v>
      </c>
      <c r="F749" s="284">
        <f>ROUND(S63,0)</f>
        <v>0</v>
      </c>
      <c r="G749" s="284">
        <f>ROUND(S64,0)</f>
        <v>0</v>
      </c>
      <c r="H749" s="284">
        <f>ROUND(S65,0)</f>
        <v>0</v>
      </c>
      <c r="I749" s="284">
        <f>ROUND(S66,0)</f>
        <v>0</v>
      </c>
      <c r="J749" s="284">
        <f>ROUND(S67,0)</f>
        <v>0</v>
      </c>
      <c r="K749" s="284">
        <f>ROUND(S68,0)</f>
        <v>0</v>
      </c>
      <c r="L749" s="284">
        <f>ROUND(S70,0)</f>
        <v>0</v>
      </c>
      <c r="M749" s="284">
        <f>ROUND(S71,0)</f>
        <v>0</v>
      </c>
      <c r="N749" s="284">
        <f>ROUND(S76,0)</f>
        <v>0</v>
      </c>
      <c r="O749" s="284">
        <f>ROUND(S74,0)</f>
        <v>0</v>
      </c>
      <c r="P749" s="284">
        <f>IF(S77&gt;0,ROUND(S77,0),0)</f>
        <v>0</v>
      </c>
      <c r="Q749" s="284">
        <f>IF(S78&gt;0,ROUND(S78,0),0)</f>
        <v>0</v>
      </c>
      <c r="R749" s="284">
        <f>IF(S79&gt;0,ROUND(S79,0),0)</f>
        <v>0</v>
      </c>
      <c r="S749" s="284">
        <f>IF(S80&gt;0,ROUND(S80,0),0)</f>
        <v>0</v>
      </c>
      <c r="T749" s="287">
        <f>IF(S81&gt;0,ROUND(S81,2),0)</f>
        <v>0</v>
      </c>
      <c r="U749" s="284"/>
      <c r="X749" s="284"/>
      <c r="Y749" s="284"/>
      <c r="Z749" s="284" t="e">
        <f t="shared" si="21"/>
        <v>#DIV/0!</v>
      </c>
    </row>
    <row r="750" spans="1:26" ht="12.65" customHeight="1" x14ac:dyDescent="0.35">
      <c r="A750" s="209" t="str">
        <f>RIGHT($C$84,3)&amp;"*"&amp;RIGHT($C$83,4)&amp;"*"&amp;T$55&amp;"*"&amp;"A"</f>
        <v xml:space="preserve"> #1*008*7060*A</v>
      </c>
      <c r="B750" s="284"/>
      <c r="C750" s="287">
        <f>ROUND(T60,2)</f>
        <v>0</v>
      </c>
      <c r="D750" s="284">
        <f>ROUND(T61,0)</f>
        <v>0</v>
      </c>
      <c r="E750" s="284">
        <f>ROUND(T62,0)</f>
        <v>0</v>
      </c>
      <c r="F750" s="284">
        <f>ROUND(T63,0)</f>
        <v>0</v>
      </c>
      <c r="G750" s="284">
        <f>ROUND(T64,0)</f>
        <v>0</v>
      </c>
      <c r="H750" s="284">
        <f>ROUND(T65,0)</f>
        <v>0</v>
      </c>
      <c r="I750" s="284">
        <f>ROUND(T66,0)</f>
        <v>0</v>
      </c>
      <c r="J750" s="284">
        <f>ROUND(T67,0)</f>
        <v>0</v>
      </c>
      <c r="K750" s="284">
        <f>ROUND(T68,0)</f>
        <v>0</v>
      </c>
      <c r="L750" s="284">
        <f>ROUND(T70,0)</f>
        <v>0</v>
      </c>
      <c r="M750" s="284">
        <f>ROUND(T71,0)</f>
        <v>0</v>
      </c>
      <c r="N750" s="284">
        <f>ROUND(T76,0)</f>
        <v>0</v>
      </c>
      <c r="O750" s="284">
        <f>ROUND(T74,0)</f>
        <v>0</v>
      </c>
      <c r="P750" s="284">
        <f>IF(T77&gt;0,ROUND(T77,0),0)</f>
        <v>0</v>
      </c>
      <c r="Q750" s="284">
        <f>IF(T78&gt;0,ROUND(T78,0),0)</f>
        <v>0</v>
      </c>
      <c r="R750" s="284">
        <f>IF(T79&gt;0,ROUND(T79,0),0)</f>
        <v>0</v>
      </c>
      <c r="S750" s="284">
        <f>IF(T80&gt;0,ROUND(T80,0),0)</f>
        <v>0</v>
      </c>
      <c r="T750" s="287">
        <f>IF(T81&gt;0,ROUND(T81,2),0)</f>
        <v>0</v>
      </c>
      <c r="U750" s="284"/>
      <c r="X750" s="284"/>
      <c r="Y750" s="284"/>
      <c r="Z750" s="284" t="e">
        <f t="shared" si="21"/>
        <v>#DIV/0!</v>
      </c>
    </row>
    <row r="751" spans="1:26" ht="12.65" customHeight="1" x14ac:dyDescent="0.35">
      <c r="A751" s="209" t="str">
        <f>RIGHT($C$84,3)&amp;"*"&amp;RIGHT($C$83,4)&amp;"*"&amp;U$55&amp;"*"&amp;"A"</f>
        <v xml:space="preserve"> #1*008*7070*A</v>
      </c>
      <c r="B751" s="284">
        <f>ROUND(U59,0)</f>
        <v>0</v>
      </c>
      <c r="C751" s="287">
        <f>ROUND(U60,2)</f>
        <v>0</v>
      </c>
      <c r="D751" s="284">
        <f>ROUND(U61,0)</f>
        <v>564174</v>
      </c>
      <c r="E751" s="284">
        <f>ROUND(U62,0)</f>
        <v>112035</v>
      </c>
      <c r="F751" s="284">
        <f>ROUND(U63,0)</f>
        <v>107791</v>
      </c>
      <c r="G751" s="284">
        <f>ROUND(U64,0)</f>
        <v>347042</v>
      </c>
      <c r="H751" s="284">
        <f>ROUND(U65,0)</f>
        <v>0</v>
      </c>
      <c r="I751" s="284">
        <f>ROUND(U66,0)</f>
        <v>139388</v>
      </c>
      <c r="J751" s="284">
        <f>ROUND(U67,0)</f>
        <v>0</v>
      </c>
      <c r="K751" s="284">
        <f>ROUND(U68,0)</f>
        <v>23831</v>
      </c>
      <c r="L751" s="284">
        <f>ROUND(U70,0)</f>
        <v>0</v>
      </c>
      <c r="M751" s="284">
        <f>ROUND(U71,0)</f>
        <v>1302114</v>
      </c>
      <c r="N751" s="284">
        <f>ROUND(U76,0)</f>
        <v>1784</v>
      </c>
      <c r="O751" s="284">
        <f>ROUND(U74,0)</f>
        <v>5093332</v>
      </c>
      <c r="P751" s="284">
        <f>IF(U77&gt;0,ROUND(U77,0),0)</f>
        <v>0</v>
      </c>
      <c r="Q751" s="284">
        <f>IF(U78&gt;0,ROUND(U78,0),0)</f>
        <v>0</v>
      </c>
      <c r="R751" s="284">
        <f>IF(U79&gt;0,ROUND(U79,0),0)</f>
        <v>0</v>
      </c>
      <c r="S751" s="284">
        <f>IF(U80&gt;0,ROUND(U80,0),0)</f>
        <v>0</v>
      </c>
      <c r="T751" s="287">
        <f>IF(U81&gt;0,ROUND(U81,2),0)</f>
        <v>0</v>
      </c>
      <c r="U751" s="284"/>
      <c r="X751" s="284"/>
      <c r="Y751" s="284"/>
      <c r="Z751" s="284" t="e">
        <f t="shared" si="21"/>
        <v>#DIV/0!</v>
      </c>
    </row>
    <row r="752" spans="1:26" ht="12.65" customHeight="1" x14ac:dyDescent="0.35">
      <c r="A752" s="209" t="str">
        <f>RIGHT($C$84,3)&amp;"*"&amp;RIGHT($C$83,4)&amp;"*"&amp;V$55&amp;"*"&amp;"A"</f>
        <v xml:space="preserve"> #1*008*7110*A</v>
      </c>
      <c r="B752" s="284">
        <f>ROUND(V59,0)</f>
        <v>0</v>
      </c>
      <c r="C752" s="287">
        <f>ROUND(V60,2)</f>
        <v>0</v>
      </c>
      <c r="D752" s="284">
        <f>ROUND(V61,0)</f>
        <v>0</v>
      </c>
      <c r="E752" s="284">
        <f>ROUND(V62,0)</f>
        <v>0</v>
      </c>
      <c r="F752" s="284">
        <f>ROUND(V63,0)</f>
        <v>0</v>
      </c>
      <c r="G752" s="284">
        <f>ROUND(V64,0)</f>
        <v>0</v>
      </c>
      <c r="H752" s="284">
        <f>ROUND(V65,0)</f>
        <v>0</v>
      </c>
      <c r="I752" s="284">
        <f>ROUND(V66,0)</f>
        <v>0</v>
      </c>
      <c r="J752" s="284">
        <f>ROUND(V67,0)</f>
        <v>0</v>
      </c>
      <c r="K752" s="284">
        <f>ROUND(V68,0)</f>
        <v>0</v>
      </c>
      <c r="L752" s="284">
        <f>ROUND(V70,0)</f>
        <v>0</v>
      </c>
      <c r="M752" s="284">
        <f>ROUND(V71,0)</f>
        <v>0</v>
      </c>
      <c r="N752" s="284">
        <f>ROUND(V76,0)</f>
        <v>0</v>
      </c>
      <c r="O752" s="284">
        <f>ROUND(V74,0)</f>
        <v>0</v>
      </c>
      <c r="P752" s="284">
        <f>IF(V77&gt;0,ROUND(V77,0),0)</f>
        <v>0</v>
      </c>
      <c r="Q752" s="284">
        <f>IF(V78&gt;0,ROUND(V78,0),0)</f>
        <v>0</v>
      </c>
      <c r="R752" s="284">
        <f>IF(V79&gt;0,ROUND(V79,0),0)</f>
        <v>0</v>
      </c>
      <c r="S752" s="284">
        <f>IF(V80&gt;0,ROUND(V80,0),0)</f>
        <v>0</v>
      </c>
      <c r="T752" s="287">
        <f>IF(V81&gt;0,ROUND(V81,2),0)</f>
        <v>0</v>
      </c>
      <c r="U752" s="284"/>
      <c r="X752" s="284"/>
      <c r="Y752" s="284"/>
      <c r="Z752" s="284" t="e">
        <f t="shared" si="21"/>
        <v>#DIV/0!</v>
      </c>
    </row>
    <row r="753" spans="1:26" ht="12.65" customHeight="1" x14ac:dyDescent="0.35">
      <c r="A753" s="209" t="str">
        <f>RIGHT($C$84,3)&amp;"*"&amp;RIGHT($C$83,4)&amp;"*"&amp;W$55&amp;"*"&amp;"A"</f>
        <v xml:space="preserve"> #1*008*7120*A</v>
      </c>
      <c r="B753" s="284">
        <f>ROUND(W59,0)</f>
        <v>0</v>
      </c>
      <c r="C753" s="287">
        <f>ROUND(W60,2)</f>
        <v>0</v>
      </c>
      <c r="D753" s="284">
        <f>ROUND(W61,0)</f>
        <v>0</v>
      </c>
      <c r="E753" s="284">
        <f>ROUND(W62,0)</f>
        <v>0</v>
      </c>
      <c r="F753" s="284">
        <f>ROUND(W63,0)</f>
        <v>51646</v>
      </c>
      <c r="G753" s="284">
        <f>ROUND(W64,0)</f>
        <v>0</v>
      </c>
      <c r="H753" s="284">
        <f>ROUND(W65,0)</f>
        <v>797</v>
      </c>
      <c r="I753" s="284">
        <f>ROUND(W66,0)</f>
        <v>1439</v>
      </c>
      <c r="J753" s="284">
        <f>ROUND(W67,0)</f>
        <v>0</v>
      </c>
      <c r="K753" s="284">
        <f>ROUND(W68,0)</f>
        <v>248304</v>
      </c>
      <c r="L753" s="284">
        <f>ROUND(W70,0)</f>
        <v>0</v>
      </c>
      <c r="M753" s="284">
        <f>ROUND(W71,0)</f>
        <v>302187</v>
      </c>
      <c r="N753" s="284">
        <f>ROUND(W76,0)</f>
        <v>0</v>
      </c>
      <c r="O753" s="284">
        <f>ROUND(W74,0)</f>
        <v>1504890</v>
      </c>
      <c r="P753" s="284">
        <f>IF(W77&gt;0,ROUND(W77,0),0)</f>
        <v>0</v>
      </c>
      <c r="Q753" s="284">
        <f>IF(W78&gt;0,ROUND(W78,0),0)</f>
        <v>0</v>
      </c>
      <c r="R753" s="284">
        <f>IF(W79&gt;0,ROUND(W79,0),0)</f>
        <v>0</v>
      </c>
      <c r="S753" s="284">
        <f>IF(W80&gt;0,ROUND(W80,0),0)</f>
        <v>0</v>
      </c>
      <c r="T753" s="287">
        <f>IF(W81&gt;0,ROUND(W81,2),0)</f>
        <v>0</v>
      </c>
      <c r="U753" s="284"/>
      <c r="X753" s="284"/>
      <c r="Y753" s="284"/>
      <c r="Z753" s="284" t="e">
        <f t="shared" si="21"/>
        <v>#DIV/0!</v>
      </c>
    </row>
    <row r="754" spans="1:26" ht="12.65" customHeight="1" x14ac:dyDescent="0.35">
      <c r="A754" s="209" t="str">
        <f>RIGHT($C$84,3)&amp;"*"&amp;RIGHT($C$83,4)&amp;"*"&amp;X$55&amp;"*"&amp;"A"</f>
        <v xml:space="preserve"> #1*008*7130*A</v>
      </c>
      <c r="B754" s="284">
        <f>ROUND(X59,0)</f>
        <v>0</v>
      </c>
      <c r="C754" s="287">
        <f>ROUND(X60,2)</f>
        <v>0</v>
      </c>
      <c r="D754" s="284">
        <f>ROUND(X61,0)</f>
        <v>77740</v>
      </c>
      <c r="E754" s="284">
        <f>ROUND(X62,0)</f>
        <v>1298</v>
      </c>
      <c r="F754" s="284">
        <f>ROUND(X63,0)</f>
        <v>138571</v>
      </c>
      <c r="G754" s="284">
        <f>ROUND(X64,0)</f>
        <v>47904</v>
      </c>
      <c r="H754" s="284">
        <f>ROUND(X65,0)</f>
        <v>1993</v>
      </c>
      <c r="I754" s="284">
        <f>ROUND(X66,0)</f>
        <v>99022</v>
      </c>
      <c r="J754" s="284">
        <f>ROUND(X67,0)</f>
        <v>0</v>
      </c>
      <c r="K754" s="284">
        <f>ROUND(X68,0)</f>
        <v>0</v>
      </c>
      <c r="L754" s="284">
        <f>ROUND(X70,0)</f>
        <v>0</v>
      </c>
      <c r="M754" s="284">
        <f>ROUND(X71,0)</f>
        <v>370106</v>
      </c>
      <c r="N754" s="284">
        <f>ROUND(X76,0)</f>
        <v>621</v>
      </c>
      <c r="O754" s="284">
        <f>ROUND(X74,0)</f>
        <v>4864076</v>
      </c>
      <c r="P754" s="284">
        <f>IF(X77&gt;0,ROUND(X77,0),0)</f>
        <v>0</v>
      </c>
      <c r="Q754" s="284">
        <f>IF(X78&gt;0,ROUND(X78,0),0)</f>
        <v>0</v>
      </c>
      <c r="R754" s="284">
        <f>IF(X79&gt;0,ROUND(X79,0),0)</f>
        <v>0</v>
      </c>
      <c r="S754" s="284">
        <f>IF(X80&gt;0,ROUND(X80,0),0)</f>
        <v>0</v>
      </c>
      <c r="T754" s="287">
        <f>IF(X81&gt;0,ROUND(X81,2),0)</f>
        <v>0</v>
      </c>
      <c r="U754" s="284"/>
      <c r="X754" s="284"/>
      <c r="Y754" s="284"/>
      <c r="Z754" s="284" t="e">
        <f t="shared" si="21"/>
        <v>#DIV/0!</v>
      </c>
    </row>
    <row r="755" spans="1:26" ht="12.65" customHeight="1" x14ac:dyDescent="0.35">
      <c r="A755" s="209" t="str">
        <f>RIGHT($C$84,3)&amp;"*"&amp;RIGHT($C$83,4)&amp;"*"&amp;Y$55&amp;"*"&amp;"A"</f>
        <v xml:space="preserve"> #1*008*7140*A</v>
      </c>
      <c r="B755" s="284">
        <f>ROUND(Y59,0)</f>
        <v>0</v>
      </c>
      <c r="C755" s="287">
        <f>ROUND(Y60,2)</f>
        <v>0</v>
      </c>
      <c r="D755" s="284">
        <f>ROUND(Y61,0)</f>
        <v>623447</v>
      </c>
      <c r="E755" s="284">
        <f>ROUND(Y62,0)</f>
        <v>143126</v>
      </c>
      <c r="F755" s="284">
        <f>ROUND(Y63,0)</f>
        <v>246097</v>
      </c>
      <c r="G755" s="284">
        <f>ROUND(Y64,0)</f>
        <v>29845</v>
      </c>
      <c r="H755" s="284">
        <f>ROUND(Y65,0)</f>
        <v>5018</v>
      </c>
      <c r="I755" s="284">
        <f>ROUND(Y66,0)</f>
        <v>140599</v>
      </c>
      <c r="J755" s="284">
        <f>ROUND(Y67,0)</f>
        <v>0</v>
      </c>
      <c r="K755" s="284">
        <f>ROUND(Y68,0)</f>
        <v>24144</v>
      </c>
      <c r="L755" s="284">
        <f>ROUND(Y70,0)</f>
        <v>0</v>
      </c>
      <c r="M755" s="284">
        <f>ROUND(Y71,0)</f>
        <v>1216780</v>
      </c>
      <c r="N755" s="284">
        <f>ROUND(Y76,0)</f>
        <v>2257</v>
      </c>
      <c r="O755" s="284">
        <f>ROUND(Y74,0)</f>
        <v>4698014</v>
      </c>
      <c r="P755" s="284">
        <f>IF(Y77&gt;0,ROUND(Y77,0),0)</f>
        <v>0</v>
      </c>
      <c r="Q755" s="284">
        <f>IF(Y78&gt;0,ROUND(Y78,0),0)</f>
        <v>0</v>
      </c>
      <c r="R755" s="284">
        <f>IF(Y79&gt;0,ROUND(Y79,0),0)</f>
        <v>0</v>
      </c>
      <c r="S755" s="284">
        <f>IF(Y80&gt;0,ROUND(Y80,0),0)</f>
        <v>0</v>
      </c>
      <c r="T755" s="287">
        <f>IF(Y81&gt;0,ROUND(Y81,2),0)</f>
        <v>0</v>
      </c>
      <c r="U755" s="284"/>
      <c r="X755" s="284"/>
      <c r="Y755" s="284"/>
      <c r="Z755" s="284" t="e">
        <f t="shared" si="21"/>
        <v>#DIV/0!</v>
      </c>
    </row>
    <row r="756" spans="1:26" ht="12.65" customHeight="1" x14ac:dyDescent="0.35">
      <c r="A756" s="209" t="str">
        <f>RIGHT($C$84,3)&amp;"*"&amp;RIGHT($C$83,4)&amp;"*"&amp;Z$55&amp;"*"&amp;"A"</f>
        <v xml:space="preserve"> #1*008*7150*A</v>
      </c>
      <c r="B756" s="284">
        <f>ROUND(Z59,0)</f>
        <v>0</v>
      </c>
      <c r="C756" s="287">
        <f>ROUND(Z60,2)</f>
        <v>0</v>
      </c>
      <c r="D756" s="284">
        <f>ROUND(Z61,0)</f>
        <v>0</v>
      </c>
      <c r="E756" s="284">
        <f>ROUND(Z62,0)</f>
        <v>0</v>
      </c>
      <c r="F756" s="284">
        <f>ROUND(Z63,0)</f>
        <v>0</v>
      </c>
      <c r="G756" s="284">
        <f>ROUND(Z64,0)</f>
        <v>0</v>
      </c>
      <c r="H756" s="284">
        <f>ROUND(Z65,0)</f>
        <v>0</v>
      </c>
      <c r="I756" s="284">
        <f>ROUND(Z66,0)</f>
        <v>0</v>
      </c>
      <c r="J756" s="284">
        <f>ROUND(Z67,0)</f>
        <v>0</v>
      </c>
      <c r="K756" s="284">
        <f>ROUND(Z68,0)</f>
        <v>0</v>
      </c>
      <c r="L756" s="284">
        <f>ROUND(Z70,0)</f>
        <v>0</v>
      </c>
      <c r="M756" s="284">
        <f>ROUND(Z71,0)</f>
        <v>0</v>
      </c>
      <c r="N756" s="284">
        <f>ROUND(Z76,0)</f>
        <v>0</v>
      </c>
      <c r="O756" s="284">
        <f>ROUND(Z74,0)</f>
        <v>0</v>
      </c>
      <c r="P756" s="284">
        <f>IF(Z77&gt;0,ROUND(Z77,0),0)</f>
        <v>0</v>
      </c>
      <c r="Q756" s="284">
        <f>IF(Z78&gt;0,ROUND(Z78,0),0)</f>
        <v>0</v>
      </c>
      <c r="R756" s="284">
        <f>IF(Z79&gt;0,ROUND(Z79,0),0)</f>
        <v>0</v>
      </c>
      <c r="S756" s="284">
        <f>IF(Z80&gt;0,ROUND(Z80,0),0)</f>
        <v>0</v>
      </c>
      <c r="T756" s="287">
        <f>IF(Z81&gt;0,ROUND(Z81,2),0)</f>
        <v>0</v>
      </c>
      <c r="U756" s="284"/>
      <c r="X756" s="284"/>
      <c r="Y756" s="284"/>
      <c r="Z756" s="284" t="e">
        <f t="shared" si="21"/>
        <v>#DIV/0!</v>
      </c>
    </row>
    <row r="757" spans="1:26" ht="12.65" customHeight="1" x14ac:dyDescent="0.35">
      <c r="A757" s="209" t="str">
        <f>RIGHT($C$84,3)&amp;"*"&amp;RIGHT($C$83,4)&amp;"*"&amp;AA$55&amp;"*"&amp;"A"</f>
        <v xml:space="preserve"> #1*008*7160*A</v>
      </c>
      <c r="B757" s="284">
        <f>ROUND(AA59,0)</f>
        <v>0</v>
      </c>
      <c r="C757" s="287">
        <f>ROUND(AA60,2)</f>
        <v>0</v>
      </c>
      <c r="D757" s="284">
        <f>ROUND(AA61,0)</f>
        <v>0</v>
      </c>
      <c r="E757" s="284">
        <f>ROUND(AA62,0)</f>
        <v>0</v>
      </c>
      <c r="F757" s="284">
        <f>ROUND(AA63,0)</f>
        <v>0</v>
      </c>
      <c r="G757" s="284">
        <f>ROUND(AA64,0)</f>
        <v>0</v>
      </c>
      <c r="H757" s="284">
        <f>ROUND(AA65,0)</f>
        <v>0</v>
      </c>
      <c r="I757" s="284">
        <f>ROUND(AA66,0)</f>
        <v>0</v>
      </c>
      <c r="J757" s="284">
        <f>ROUND(AA67,0)</f>
        <v>0</v>
      </c>
      <c r="K757" s="284">
        <f>ROUND(AA68,0)</f>
        <v>0</v>
      </c>
      <c r="L757" s="284">
        <f>ROUND(AA70,0)</f>
        <v>0</v>
      </c>
      <c r="M757" s="284">
        <f>ROUND(AA71,0)</f>
        <v>0</v>
      </c>
      <c r="N757" s="284">
        <f>ROUND(AA76,0)</f>
        <v>0</v>
      </c>
      <c r="O757" s="284">
        <f>ROUND(AA74,0)</f>
        <v>0</v>
      </c>
      <c r="P757" s="284">
        <f>IF(AA77&gt;0,ROUND(AA77,0),0)</f>
        <v>0</v>
      </c>
      <c r="Q757" s="284">
        <f>IF(AA78&gt;0,ROUND(AA78,0),0)</f>
        <v>0</v>
      </c>
      <c r="R757" s="284">
        <f>IF(AA79&gt;0,ROUND(AA79,0),0)</f>
        <v>0</v>
      </c>
      <c r="S757" s="284">
        <f>IF(AA80&gt;0,ROUND(AA80,0),0)</f>
        <v>0</v>
      </c>
      <c r="T757" s="287">
        <f>IF(AA81&gt;0,ROUND(AA81,2),0)</f>
        <v>0</v>
      </c>
      <c r="U757" s="284"/>
      <c r="X757" s="284"/>
      <c r="Y757" s="284"/>
      <c r="Z757" s="284" t="e">
        <f t="shared" si="21"/>
        <v>#DIV/0!</v>
      </c>
    </row>
    <row r="758" spans="1:26" ht="12.65" customHeight="1" x14ac:dyDescent="0.35">
      <c r="A758" s="209" t="str">
        <f>RIGHT($C$84,3)&amp;"*"&amp;RIGHT($C$83,4)&amp;"*"&amp;AB$55&amp;"*"&amp;"A"</f>
        <v xml:space="preserve"> #1*008*7170*A</v>
      </c>
      <c r="B758" s="284"/>
      <c r="C758" s="287">
        <f>ROUND(AB60,2)</f>
        <v>0</v>
      </c>
      <c r="D758" s="284">
        <f>ROUND(AB61,0)</f>
        <v>240010</v>
      </c>
      <c r="E758" s="284">
        <f>ROUND(AB62,0)</f>
        <v>37722</v>
      </c>
      <c r="F758" s="284">
        <f>ROUND(AB63,0)</f>
        <v>1969</v>
      </c>
      <c r="G758" s="284">
        <f>ROUND(AB64,0)</f>
        <v>180404</v>
      </c>
      <c r="H758" s="284">
        <f>ROUND(AB65,0)</f>
        <v>0</v>
      </c>
      <c r="I758" s="284">
        <f>ROUND(AB66,0)</f>
        <v>86596</v>
      </c>
      <c r="J758" s="284">
        <f>ROUND(AB67,0)</f>
        <v>0</v>
      </c>
      <c r="K758" s="284">
        <f>ROUND(AB68,0)</f>
        <v>8807</v>
      </c>
      <c r="L758" s="284">
        <f>ROUND(AB70,0)</f>
        <v>0</v>
      </c>
      <c r="M758" s="284">
        <f>ROUND(AB71,0)</f>
        <v>561212</v>
      </c>
      <c r="N758" s="284">
        <f>ROUND(AB76,0)</f>
        <v>239</v>
      </c>
      <c r="O758" s="284">
        <f>ROUND(AB74,0)</f>
        <v>1248166</v>
      </c>
      <c r="P758" s="284">
        <f>IF(AB77&gt;0,ROUND(AB77,0),0)</f>
        <v>0</v>
      </c>
      <c r="Q758" s="284">
        <f>IF(AB78&gt;0,ROUND(AB78,0),0)</f>
        <v>0</v>
      </c>
      <c r="R758" s="284">
        <f>IF(AB79&gt;0,ROUND(AB79,0),0)</f>
        <v>0</v>
      </c>
      <c r="S758" s="284">
        <f>IF(AB80&gt;0,ROUND(AB80,0),0)</f>
        <v>0</v>
      </c>
      <c r="T758" s="287">
        <f>IF(AB81&gt;0,ROUND(AB81,2),0)</f>
        <v>0</v>
      </c>
      <c r="U758" s="284"/>
      <c r="X758" s="284"/>
      <c r="Y758" s="284"/>
      <c r="Z758" s="284" t="e">
        <f t="shared" si="21"/>
        <v>#DIV/0!</v>
      </c>
    </row>
    <row r="759" spans="1:26" ht="12.65" customHeight="1" x14ac:dyDescent="0.35">
      <c r="A759" s="209" t="str">
        <f>RIGHT($C$84,3)&amp;"*"&amp;RIGHT($C$83,4)&amp;"*"&amp;AC$55&amp;"*"&amp;"A"</f>
        <v xml:space="preserve"> #1*008*7180*A</v>
      </c>
      <c r="B759" s="284">
        <f>ROUND(AC59,0)</f>
        <v>0</v>
      </c>
      <c r="C759" s="287">
        <f>ROUND(AC60,2)</f>
        <v>0</v>
      </c>
      <c r="D759" s="284">
        <f>ROUND(AC61,0)</f>
        <v>54649</v>
      </c>
      <c r="E759" s="284">
        <f>ROUND(AC62,0)</f>
        <v>10267</v>
      </c>
      <c r="F759" s="284">
        <f>ROUND(AC63,0)</f>
        <v>0</v>
      </c>
      <c r="G759" s="284">
        <f>ROUND(AC64,0)</f>
        <v>-1708</v>
      </c>
      <c r="H759" s="284">
        <f>ROUND(AC65,0)</f>
        <v>0</v>
      </c>
      <c r="I759" s="284">
        <f>ROUND(AC66,0)</f>
        <v>376</v>
      </c>
      <c r="J759" s="284">
        <f>ROUND(AC67,0)</f>
        <v>0</v>
      </c>
      <c r="K759" s="284">
        <f>ROUND(AC68,0)</f>
        <v>0</v>
      </c>
      <c r="L759" s="284">
        <f>ROUND(AC70,0)</f>
        <v>0</v>
      </c>
      <c r="M759" s="284">
        <f>ROUND(AC71,0)</f>
        <v>63585</v>
      </c>
      <c r="N759" s="284">
        <f>ROUND(AC76,0)</f>
        <v>342</v>
      </c>
      <c r="O759" s="284">
        <f>ROUND(AC74,0)</f>
        <v>178307</v>
      </c>
      <c r="P759" s="284">
        <f>IF(AC77&gt;0,ROUND(AC77,0),0)</f>
        <v>0</v>
      </c>
      <c r="Q759" s="284">
        <f>IF(AC78&gt;0,ROUND(AC78,0),0)</f>
        <v>0</v>
      </c>
      <c r="R759" s="284">
        <f>IF(AC79&gt;0,ROUND(AC79,0),0)</f>
        <v>0</v>
      </c>
      <c r="S759" s="284">
        <f>IF(AC80&gt;0,ROUND(AC80,0),0)</f>
        <v>0</v>
      </c>
      <c r="T759" s="287">
        <f>IF(AC81&gt;0,ROUND(AC81,2),0)</f>
        <v>0</v>
      </c>
      <c r="U759" s="284"/>
      <c r="X759" s="284"/>
      <c r="Y759" s="284"/>
      <c r="Z759" s="284" t="e">
        <f t="shared" si="21"/>
        <v>#DIV/0!</v>
      </c>
    </row>
    <row r="760" spans="1:26" ht="12.65" customHeight="1" x14ac:dyDescent="0.35">
      <c r="A760" s="209" t="str">
        <f>RIGHT($C$84,3)&amp;"*"&amp;RIGHT($C$83,4)&amp;"*"&amp;AD$55&amp;"*"&amp;"A"</f>
        <v xml:space="preserve"> #1*008*7190*A</v>
      </c>
      <c r="B760" s="284">
        <f>ROUND(AD59,0)</f>
        <v>0</v>
      </c>
      <c r="C760" s="287">
        <f>ROUND(AD60,2)</f>
        <v>0</v>
      </c>
      <c r="D760" s="284">
        <f>ROUND(AD61,0)</f>
        <v>0</v>
      </c>
      <c r="E760" s="284">
        <f>ROUND(AD62,0)</f>
        <v>0</v>
      </c>
      <c r="F760" s="284">
        <f>ROUND(AD63,0)</f>
        <v>0</v>
      </c>
      <c r="G760" s="284">
        <f>ROUND(AD64,0)</f>
        <v>0</v>
      </c>
      <c r="H760" s="284">
        <f>ROUND(AD65,0)</f>
        <v>0</v>
      </c>
      <c r="I760" s="284">
        <f>ROUND(AD66,0)</f>
        <v>0</v>
      </c>
      <c r="J760" s="284">
        <f>ROUND(AD67,0)</f>
        <v>0</v>
      </c>
      <c r="K760" s="284">
        <f>ROUND(AD68,0)</f>
        <v>0</v>
      </c>
      <c r="L760" s="284">
        <f>ROUND(AD70,0)</f>
        <v>0</v>
      </c>
      <c r="M760" s="284">
        <f>ROUND(AD71,0)</f>
        <v>0</v>
      </c>
      <c r="N760" s="284">
        <f>ROUND(AD76,0)</f>
        <v>0</v>
      </c>
      <c r="O760" s="284">
        <f>ROUND(AD74,0)</f>
        <v>0</v>
      </c>
      <c r="P760" s="284">
        <f>IF(AD77&gt;0,ROUND(AD77,0),0)</f>
        <v>0</v>
      </c>
      <c r="Q760" s="284">
        <f>IF(AD78&gt;0,ROUND(AD78,0),0)</f>
        <v>0</v>
      </c>
      <c r="R760" s="284">
        <f>IF(AD79&gt;0,ROUND(AD79,0),0)</f>
        <v>0</v>
      </c>
      <c r="S760" s="284">
        <f>IF(AD80&gt;0,ROUND(AD80,0),0)</f>
        <v>0</v>
      </c>
      <c r="T760" s="287">
        <f>IF(AD81&gt;0,ROUND(AD81,2),0)</f>
        <v>0</v>
      </c>
      <c r="U760" s="284"/>
      <c r="X760" s="284"/>
      <c r="Y760" s="284"/>
      <c r="Z760" s="284" t="e">
        <f t="shared" si="21"/>
        <v>#DIV/0!</v>
      </c>
    </row>
    <row r="761" spans="1:26" ht="12.65" customHeight="1" x14ac:dyDescent="0.35">
      <c r="A761" s="209" t="str">
        <f>RIGHT($C$84,3)&amp;"*"&amp;RIGHT($C$83,4)&amp;"*"&amp;AE$55&amp;"*"&amp;"A"</f>
        <v xml:space="preserve"> #1*008*7200*A</v>
      </c>
      <c r="B761" s="284">
        <f>ROUND(AE59,0)</f>
        <v>0</v>
      </c>
      <c r="C761" s="287">
        <f>ROUND(AE60,2)</f>
        <v>0</v>
      </c>
      <c r="D761" s="284">
        <f>ROUND(AE61,0)</f>
        <v>641608</v>
      </c>
      <c r="E761" s="284">
        <f>ROUND(AE62,0)</f>
        <v>143598</v>
      </c>
      <c r="F761" s="284">
        <f>ROUND(AE63,0)</f>
        <v>71645</v>
      </c>
      <c r="G761" s="284">
        <f>ROUND(AE64,0)</f>
        <v>15145</v>
      </c>
      <c r="H761" s="284">
        <f>ROUND(AE65,0)</f>
        <v>0</v>
      </c>
      <c r="I761" s="284">
        <f>ROUND(AE66,0)</f>
        <v>43485</v>
      </c>
      <c r="J761" s="284">
        <f>ROUND(AE67,0)</f>
        <v>0</v>
      </c>
      <c r="K761" s="284">
        <f>ROUND(AE68,0)</f>
        <v>0</v>
      </c>
      <c r="L761" s="284">
        <f>ROUND(AE70,0)</f>
        <v>0</v>
      </c>
      <c r="M761" s="284">
        <f>ROUND(AE71,0)</f>
        <v>923406</v>
      </c>
      <c r="N761" s="284">
        <f>ROUND(AE76,0)</f>
        <v>4611</v>
      </c>
      <c r="O761" s="284">
        <f>ROUND(AE74,0)</f>
        <v>1930777</v>
      </c>
      <c r="P761" s="284">
        <f>IF(AE77&gt;0,ROUND(AE77,0),0)</f>
        <v>0</v>
      </c>
      <c r="Q761" s="284">
        <f>IF(AE78&gt;0,ROUND(AE78,0),0)</f>
        <v>0</v>
      </c>
      <c r="R761" s="284">
        <f>IF(AE79&gt;0,ROUND(AE79,0),0)</f>
        <v>0</v>
      </c>
      <c r="S761" s="284">
        <f>IF(AE80&gt;0,ROUND(AE80,0),0)</f>
        <v>0</v>
      </c>
      <c r="T761" s="287">
        <f>IF(AE81&gt;0,ROUND(AE81,2),0)</f>
        <v>0</v>
      </c>
      <c r="U761" s="284"/>
      <c r="X761" s="284"/>
      <c r="Y761" s="284"/>
      <c r="Z761" s="284" t="e">
        <f t="shared" si="21"/>
        <v>#DIV/0!</v>
      </c>
    </row>
    <row r="762" spans="1:26" ht="12.65" customHeight="1" x14ac:dyDescent="0.35">
      <c r="A762" s="209" t="str">
        <f>RIGHT($C$84,3)&amp;"*"&amp;RIGHT($C$83,4)&amp;"*"&amp;AF$55&amp;"*"&amp;"A"</f>
        <v xml:space="preserve"> #1*008*7220*A</v>
      </c>
      <c r="B762" s="284">
        <f>ROUND(AF59,0)</f>
        <v>0</v>
      </c>
      <c r="C762" s="287">
        <f>ROUND(AF60,2)</f>
        <v>0</v>
      </c>
      <c r="D762" s="284">
        <f>ROUND(AF61,0)</f>
        <v>0</v>
      </c>
      <c r="E762" s="284">
        <f>ROUND(AF62,0)</f>
        <v>0</v>
      </c>
      <c r="F762" s="284">
        <f>ROUND(AF63,0)</f>
        <v>0</v>
      </c>
      <c r="G762" s="284">
        <f>ROUND(AF64,0)</f>
        <v>0</v>
      </c>
      <c r="H762" s="284">
        <f>ROUND(AF65,0)</f>
        <v>0</v>
      </c>
      <c r="I762" s="284">
        <f>ROUND(AF66,0)</f>
        <v>0</v>
      </c>
      <c r="J762" s="284">
        <f>ROUND(AF67,0)</f>
        <v>0</v>
      </c>
      <c r="K762" s="284">
        <f>ROUND(AF68,0)</f>
        <v>0</v>
      </c>
      <c r="L762" s="284">
        <f>ROUND(AF70,0)</f>
        <v>0</v>
      </c>
      <c r="M762" s="284">
        <f>ROUND(AF71,0)</f>
        <v>0</v>
      </c>
      <c r="N762" s="284">
        <f>ROUND(AF76,0)</f>
        <v>0</v>
      </c>
      <c r="O762" s="284">
        <f>ROUND(AF74,0)</f>
        <v>0</v>
      </c>
      <c r="P762" s="284">
        <f>IF(AF77&gt;0,ROUND(AF77,0),0)</f>
        <v>0</v>
      </c>
      <c r="Q762" s="284">
        <f>IF(AF78&gt;0,ROUND(AF78,0),0)</f>
        <v>0</v>
      </c>
      <c r="R762" s="284">
        <f>IF(AF79&gt;0,ROUND(AF79,0),0)</f>
        <v>0</v>
      </c>
      <c r="S762" s="284">
        <f>IF(AF80&gt;0,ROUND(AF80,0),0)</f>
        <v>0</v>
      </c>
      <c r="T762" s="287">
        <f>IF(AF81&gt;0,ROUND(AF81,2),0)</f>
        <v>0</v>
      </c>
      <c r="U762" s="284"/>
      <c r="X762" s="284"/>
      <c r="Y762" s="284"/>
      <c r="Z762" s="284" t="e">
        <f t="shared" si="21"/>
        <v>#DIV/0!</v>
      </c>
    </row>
    <row r="763" spans="1:26" ht="12.65" customHeight="1" x14ac:dyDescent="0.35">
      <c r="A763" s="209" t="str">
        <f>RIGHT($C$84,3)&amp;"*"&amp;RIGHT($C$83,4)&amp;"*"&amp;AG$55&amp;"*"&amp;"A"</f>
        <v xml:space="preserve"> #1*008*7230*A</v>
      </c>
      <c r="B763" s="284">
        <f>ROUND(AG59,0)</f>
        <v>0</v>
      </c>
      <c r="C763" s="287">
        <f>ROUND(AG60,2)</f>
        <v>0</v>
      </c>
      <c r="D763" s="284">
        <f>ROUND(AG61,0)</f>
        <v>1415817</v>
      </c>
      <c r="E763" s="284">
        <f>ROUND(AG62,0)</f>
        <v>230468</v>
      </c>
      <c r="F763" s="284">
        <f>ROUND(AG63,0)</f>
        <v>823771</v>
      </c>
      <c r="G763" s="284">
        <f>ROUND(AG64,0)</f>
        <v>67959</v>
      </c>
      <c r="H763" s="284">
        <f>ROUND(AG65,0)</f>
        <v>319</v>
      </c>
      <c r="I763" s="284">
        <f>ROUND(AG66,0)</f>
        <v>13846</v>
      </c>
      <c r="J763" s="284">
        <f>ROUND(AG67,0)</f>
        <v>0</v>
      </c>
      <c r="K763" s="284">
        <f>ROUND(AG68,0)</f>
        <v>21932</v>
      </c>
      <c r="L763" s="284">
        <f>ROUND(AG70,0)</f>
        <v>0</v>
      </c>
      <c r="M763" s="284">
        <f>ROUND(AG71,0)</f>
        <v>2585212</v>
      </c>
      <c r="N763" s="284">
        <f>ROUND(AG76,0)</f>
        <v>2054</v>
      </c>
      <c r="O763" s="284">
        <f>ROUND(AG74,0)</f>
        <v>10228825</v>
      </c>
      <c r="P763" s="284">
        <f>IF(AG77&gt;0,ROUND(AG77,0),0)</f>
        <v>0</v>
      </c>
      <c r="Q763" s="284">
        <f>IF(AG78&gt;0,ROUND(AG78,0),0)</f>
        <v>0</v>
      </c>
      <c r="R763" s="284">
        <f>IF(AG79&gt;0,ROUND(AG79,0),0)</f>
        <v>0</v>
      </c>
      <c r="S763" s="284">
        <f>IF(AG80&gt;0,ROUND(AG80,0),0)</f>
        <v>7</v>
      </c>
      <c r="T763" s="287">
        <f>IF(AG81&gt;0,ROUND(AG81,2),0)</f>
        <v>0</v>
      </c>
      <c r="U763" s="284"/>
      <c r="X763" s="284"/>
      <c r="Y763" s="284"/>
      <c r="Z763" s="284" t="e">
        <f t="shared" si="21"/>
        <v>#DIV/0!</v>
      </c>
    </row>
    <row r="764" spans="1:26" ht="12.65" customHeight="1" x14ac:dyDescent="0.35">
      <c r="A764" s="209" t="str">
        <f>RIGHT($C$84,3)&amp;"*"&amp;RIGHT($C$83,4)&amp;"*"&amp;AH$55&amp;"*"&amp;"A"</f>
        <v xml:space="preserve"> #1*008*7240*A</v>
      </c>
      <c r="B764" s="284">
        <f>ROUND(AH59,0)</f>
        <v>0</v>
      </c>
      <c r="C764" s="287">
        <f>ROUND(AH60,2)</f>
        <v>0</v>
      </c>
      <c r="D764" s="284">
        <f>ROUND(AH61,0)</f>
        <v>0</v>
      </c>
      <c r="E764" s="284">
        <f>ROUND(AH62,0)</f>
        <v>0</v>
      </c>
      <c r="F764" s="284">
        <f>ROUND(AH63,0)</f>
        <v>0</v>
      </c>
      <c r="G764" s="284">
        <f>ROUND(AH64,0)</f>
        <v>0</v>
      </c>
      <c r="H764" s="284">
        <f>ROUND(AH65,0)</f>
        <v>0</v>
      </c>
      <c r="I764" s="284">
        <f>ROUND(AH66,0)</f>
        <v>0</v>
      </c>
      <c r="J764" s="284">
        <f>ROUND(AH67,0)</f>
        <v>0</v>
      </c>
      <c r="K764" s="284">
        <f>ROUND(AH68,0)</f>
        <v>0</v>
      </c>
      <c r="L764" s="284">
        <f>ROUND(AH70,0)</f>
        <v>0</v>
      </c>
      <c r="M764" s="284">
        <f>ROUND(AH71,0)</f>
        <v>0</v>
      </c>
      <c r="N764" s="284">
        <f>ROUND(AH76,0)</f>
        <v>0</v>
      </c>
      <c r="O764" s="284">
        <f>ROUND(AH74,0)</f>
        <v>0</v>
      </c>
      <c r="P764" s="284">
        <f>IF(AH77&gt;0,ROUND(AH77,0),0)</f>
        <v>0</v>
      </c>
      <c r="Q764" s="284">
        <f>IF(AH78&gt;0,ROUND(AH78,0),0)</f>
        <v>0</v>
      </c>
      <c r="R764" s="284">
        <f>IF(AH79&gt;0,ROUND(AH79,0),0)</f>
        <v>0</v>
      </c>
      <c r="S764" s="284">
        <f>IF(AH80&gt;0,ROUND(AH80,0),0)</f>
        <v>0</v>
      </c>
      <c r="T764" s="287">
        <f>IF(AH81&gt;0,ROUND(AH81,2),0)</f>
        <v>0</v>
      </c>
      <c r="U764" s="284"/>
      <c r="X764" s="284"/>
      <c r="Y764" s="284"/>
      <c r="Z764" s="284" t="e">
        <f t="shared" si="21"/>
        <v>#DIV/0!</v>
      </c>
    </row>
    <row r="765" spans="1:26" ht="12.65" customHeight="1" x14ac:dyDescent="0.35">
      <c r="A765" s="209" t="str">
        <f>RIGHT($C$84,3)&amp;"*"&amp;RIGHT($C$83,4)&amp;"*"&amp;AI$55&amp;"*"&amp;"A"</f>
        <v xml:space="preserve"> #1*008*7250*A</v>
      </c>
      <c r="B765" s="284">
        <f>ROUND(AI59,0)</f>
        <v>0</v>
      </c>
      <c r="C765" s="287">
        <f>ROUND(AI60,2)</f>
        <v>0</v>
      </c>
      <c r="D765" s="284">
        <f>ROUND(AI61,0)</f>
        <v>0</v>
      </c>
      <c r="E765" s="284">
        <f>ROUND(AI62,0)</f>
        <v>0</v>
      </c>
      <c r="F765" s="284">
        <f>ROUND(AI63,0)</f>
        <v>0</v>
      </c>
      <c r="G765" s="284">
        <f>ROUND(AI64,0)</f>
        <v>0</v>
      </c>
      <c r="H765" s="284">
        <f>ROUND(AI65,0)</f>
        <v>0</v>
      </c>
      <c r="I765" s="284">
        <f>ROUND(AI66,0)</f>
        <v>0</v>
      </c>
      <c r="J765" s="284">
        <f>ROUND(AI67,0)</f>
        <v>0</v>
      </c>
      <c r="K765" s="284">
        <f>ROUND(AI68,0)</f>
        <v>0</v>
      </c>
      <c r="L765" s="284">
        <f>ROUND(AI70,0)</f>
        <v>0</v>
      </c>
      <c r="M765" s="284">
        <f>ROUND(AI71,0)</f>
        <v>0</v>
      </c>
      <c r="N765" s="284">
        <f>ROUND(AI76,0)</f>
        <v>0</v>
      </c>
      <c r="O765" s="284">
        <f>ROUND(AI74,0)</f>
        <v>0</v>
      </c>
      <c r="P765" s="284">
        <f>IF(AI77&gt;0,ROUND(AI77,0),0)</f>
        <v>0</v>
      </c>
      <c r="Q765" s="284">
        <f>IF(AI78&gt;0,ROUND(AI78,0),0)</f>
        <v>0</v>
      </c>
      <c r="R765" s="284">
        <f>IF(AI79&gt;0,ROUND(AI79,0),0)</f>
        <v>0</v>
      </c>
      <c r="S765" s="284">
        <f>IF(AI80&gt;0,ROUND(AI80,0),0)</f>
        <v>0</v>
      </c>
      <c r="T765" s="287">
        <f>IF(AI81&gt;0,ROUND(AI81,2),0)</f>
        <v>0</v>
      </c>
      <c r="U765" s="284"/>
      <c r="X765" s="284"/>
      <c r="Y765" s="284"/>
      <c r="Z765" s="284" t="e">
        <f t="shared" si="21"/>
        <v>#DIV/0!</v>
      </c>
    </row>
    <row r="766" spans="1:26" ht="12.65" customHeight="1" x14ac:dyDescent="0.35">
      <c r="A766" s="209" t="str">
        <f>RIGHT($C$84,3)&amp;"*"&amp;RIGHT($C$83,4)&amp;"*"&amp;AJ$55&amp;"*"&amp;"A"</f>
        <v xml:space="preserve"> #1*008*7260*A</v>
      </c>
      <c r="B766" s="284">
        <f>ROUND(AJ59,0)</f>
        <v>0</v>
      </c>
      <c r="C766" s="287">
        <f>ROUND(AJ60,2)</f>
        <v>0</v>
      </c>
      <c r="D766" s="284">
        <f>ROUND(AJ61,0)</f>
        <v>2663616</v>
      </c>
      <c r="E766" s="284">
        <f>ROUND(AJ62,0)</f>
        <v>665379</v>
      </c>
      <c r="F766" s="284">
        <f>ROUND(AJ63,0)</f>
        <v>65946</v>
      </c>
      <c r="G766" s="284">
        <f>ROUND(AJ64,0)</f>
        <v>186312</v>
      </c>
      <c r="H766" s="284">
        <f>ROUND(AJ65,0)</f>
        <v>51216</v>
      </c>
      <c r="I766" s="284">
        <f>ROUND(AJ66,0)</f>
        <v>149648</v>
      </c>
      <c r="J766" s="284">
        <f>ROUND(AJ67,0)</f>
        <v>190971</v>
      </c>
      <c r="K766" s="284">
        <f>ROUND(AJ68,0)</f>
        <v>10034</v>
      </c>
      <c r="L766" s="284">
        <f>ROUND(AJ70,0)</f>
        <v>0</v>
      </c>
      <c r="M766" s="284">
        <f>ROUND(AJ71,0)</f>
        <v>4120270</v>
      </c>
      <c r="N766" s="284">
        <f>ROUND(AJ76,0)</f>
        <v>12898</v>
      </c>
      <c r="O766" s="284">
        <f>ROUND(AJ74,0)</f>
        <v>5735843</v>
      </c>
      <c r="P766" s="284">
        <f>IF(AJ77&gt;0,ROUND(AJ77,0),0)</f>
        <v>0</v>
      </c>
      <c r="Q766" s="284">
        <f>IF(AJ78&gt;0,ROUND(AJ78,0),0)</f>
        <v>0</v>
      </c>
      <c r="R766" s="284">
        <f>IF(AJ79&gt;0,ROUND(AJ79,0),0)</f>
        <v>0</v>
      </c>
      <c r="S766" s="284">
        <f>IF(AJ80&gt;0,ROUND(AJ80,0),0)</f>
        <v>2</v>
      </c>
      <c r="T766" s="287">
        <f>IF(AJ81&gt;0,ROUND(AJ81,2),0)</f>
        <v>0</v>
      </c>
      <c r="U766" s="284"/>
      <c r="X766" s="284"/>
      <c r="Y766" s="284"/>
      <c r="Z766" s="284" t="e">
        <f t="shared" si="21"/>
        <v>#DIV/0!</v>
      </c>
    </row>
    <row r="767" spans="1:26" ht="12.65" customHeight="1" x14ac:dyDescent="0.35">
      <c r="A767" s="209" t="str">
        <f>RIGHT($C$84,3)&amp;"*"&amp;RIGHT($C$83,4)&amp;"*"&amp;AK$55&amp;"*"&amp;"A"</f>
        <v xml:space="preserve"> #1*008*7310*A</v>
      </c>
      <c r="B767" s="284">
        <f>ROUND(AK59,0)</f>
        <v>0</v>
      </c>
      <c r="C767" s="287">
        <f>ROUND(AK60,2)</f>
        <v>0</v>
      </c>
      <c r="D767" s="284">
        <f>ROUND(AK61,0)</f>
        <v>0</v>
      </c>
      <c r="E767" s="284">
        <f>ROUND(AK62,0)</f>
        <v>0</v>
      </c>
      <c r="F767" s="284">
        <f>ROUND(AK63,0)</f>
        <v>0</v>
      </c>
      <c r="G767" s="284">
        <f>ROUND(AK64,0)</f>
        <v>0</v>
      </c>
      <c r="H767" s="284">
        <f>ROUND(AK65,0)</f>
        <v>0</v>
      </c>
      <c r="I767" s="284">
        <f>ROUND(AK66,0)</f>
        <v>0</v>
      </c>
      <c r="J767" s="284">
        <f>ROUND(AK67,0)</f>
        <v>0</v>
      </c>
      <c r="K767" s="284">
        <f>ROUND(AK68,0)</f>
        <v>0</v>
      </c>
      <c r="L767" s="284">
        <f>ROUND(AK70,0)</f>
        <v>0</v>
      </c>
      <c r="M767" s="284">
        <f>ROUND(AK71,0)</f>
        <v>0</v>
      </c>
      <c r="N767" s="284">
        <f>ROUND(AK76,0)</f>
        <v>0</v>
      </c>
      <c r="O767" s="284">
        <f>ROUND(AK74,0)</f>
        <v>0</v>
      </c>
      <c r="P767" s="284">
        <f>IF(AK77&gt;0,ROUND(AK77,0),0)</f>
        <v>0</v>
      </c>
      <c r="Q767" s="284">
        <f>IF(AK78&gt;0,ROUND(AK78,0),0)</f>
        <v>0</v>
      </c>
      <c r="R767" s="284">
        <f>IF(AK79&gt;0,ROUND(AK79,0),0)</f>
        <v>0</v>
      </c>
      <c r="S767" s="284">
        <f>IF(AK80&gt;0,ROUND(AK80,0),0)</f>
        <v>0</v>
      </c>
      <c r="T767" s="287">
        <f>IF(AK81&gt;0,ROUND(AK81,2),0)</f>
        <v>0</v>
      </c>
      <c r="U767" s="284"/>
      <c r="X767" s="284"/>
      <c r="Y767" s="284"/>
      <c r="Z767" s="284" t="e">
        <f t="shared" si="21"/>
        <v>#DIV/0!</v>
      </c>
    </row>
    <row r="768" spans="1:26" ht="12.65" customHeight="1" x14ac:dyDescent="0.35">
      <c r="A768" s="209" t="str">
        <f>RIGHT($C$84,3)&amp;"*"&amp;RIGHT($C$83,4)&amp;"*"&amp;AL$55&amp;"*"&amp;"A"</f>
        <v xml:space="preserve"> #1*008*7320*A</v>
      </c>
      <c r="B768" s="284">
        <f>ROUND(AL59,0)</f>
        <v>0</v>
      </c>
      <c r="C768" s="287">
        <f>ROUND(AL60,2)</f>
        <v>0</v>
      </c>
      <c r="D768" s="284">
        <f>ROUND(AL61,0)</f>
        <v>0</v>
      </c>
      <c r="E768" s="284">
        <f>ROUND(AL62,0)</f>
        <v>0</v>
      </c>
      <c r="F768" s="284">
        <f>ROUND(AL63,0)</f>
        <v>0</v>
      </c>
      <c r="G768" s="284">
        <f>ROUND(AL64,0)</f>
        <v>0</v>
      </c>
      <c r="H768" s="284">
        <f>ROUND(AL65,0)</f>
        <v>0</v>
      </c>
      <c r="I768" s="284">
        <f>ROUND(AL66,0)</f>
        <v>0</v>
      </c>
      <c r="J768" s="284">
        <f>ROUND(AL67,0)</f>
        <v>0</v>
      </c>
      <c r="K768" s="284">
        <f>ROUND(AL68,0)</f>
        <v>0</v>
      </c>
      <c r="L768" s="284">
        <f>ROUND(AL70,0)</f>
        <v>0</v>
      </c>
      <c r="M768" s="284">
        <f>ROUND(AL71,0)</f>
        <v>0</v>
      </c>
      <c r="N768" s="284">
        <f>ROUND(AL76,0)</f>
        <v>0</v>
      </c>
      <c r="O768" s="284">
        <f>ROUND(AL74,0)</f>
        <v>0</v>
      </c>
      <c r="P768" s="284">
        <f>IF(AL77&gt;0,ROUND(AL77,0),0)</f>
        <v>0</v>
      </c>
      <c r="Q768" s="284">
        <f>IF(AL78&gt;0,ROUND(AL78,0),0)</f>
        <v>0</v>
      </c>
      <c r="R768" s="284">
        <f>IF(AL79&gt;0,ROUND(AL79,0),0)</f>
        <v>0</v>
      </c>
      <c r="S768" s="284">
        <f>IF(AL80&gt;0,ROUND(AL80,0),0)</f>
        <v>0</v>
      </c>
      <c r="T768" s="287">
        <f>IF(AL81&gt;0,ROUND(AL81,2),0)</f>
        <v>0</v>
      </c>
      <c r="U768" s="284"/>
      <c r="X768" s="284"/>
      <c r="Y768" s="284"/>
      <c r="Z768" s="284" t="e">
        <f t="shared" si="21"/>
        <v>#DIV/0!</v>
      </c>
    </row>
    <row r="769" spans="1:26" ht="12.65" customHeight="1" x14ac:dyDescent="0.35">
      <c r="A769" s="209" t="str">
        <f>RIGHT($C$84,3)&amp;"*"&amp;RIGHT($C$83,4)&amp;"*"&amp;AM$55&amp;"*"&amp;"A"</f>
        <v xml:space="preserve"> #1*008*7330*A</v>
      </c>
      <c r="B769" s="284">
        <f>ROUND(AM59,0)</f>
        <v>0</v>
      </c>
      <c r="C769" s="287">
        <f>ROUND(AM60,2)</f>
        <v>0</v>
      </c>
      <c r="D769" s="284">
        <f>ROUND(AM61,0)</f>
        <v>0</v>
      </c>
      <c r="E769" s="284">
        <f>ROUND(AM62,0)</f>
        <v>0</v>
      </c>
      <c r="F769" s="284">
        <f>ROUND(AM63,0)</f>
        <v>0</v>
      </c>
      <c r="G769" s="284">
        <f>ROUND(AM64,0)</f>
        <v>0</v>
      </c>
      <c r="H769" s="284">
        <f>ROUND(AM65,0)</f>
        <v>0</v>
      </c>
      <c r="I769" s="284">
        <f>ROUND(AM66,0)</f>
        <v>0</v>
      </c>
      <c r="J769" s="284">
        <f>ROUND(AM67,0)</f>
        <v>0</v>
      </c>
      <c r="K769" s="284">
        <f>ROUND(AM68,0)</f>
        <v>0</v>
      </c>
      <c r="L769" s="284">
        <f>ROUND(AM70,0)</f>
        <v>0</v>
      </c>
      <c r="M769" s="284">
        <f>ROUND(AM71,0)</f>
        <v>0</v>
      </c>
      <c r="N769" s="284">
        <f>ROUND(AM76,0)</f>
        <v>0</v>
      </c>
      <c r="O769" s="284">
        <f>ROUND(AM74,0)</f>
        <v>0</v>
      </c>
      <c r="P769" s="284">
        <f>IF(AM77&gt;0,ROUND(AM77,0),0)</f>
        <v>0</v>
      </c>
      <c r="Q769" s="284">
        <f>IF(AM78&gt;0,ROUND(AM78,0),0)</f>
        <v>0</v>
      </c>
      <c r="R769" s="284">
        <f>IF(AM79&gt;0,ROUND(AM79,0),0)</f>
        <v>0</v>
      </c>
      <c r="S769" s="284">
        <f>IF(AM80&gt;0,ROUND(AM80,0),0)</f>
        <v>0</v>
      </c>
      <c r="T769" s="287">
        <f>IF(AM81&gt;0,ROUND(AM81,2),0)</f>
        <v>0</v>
      </c>
      <c r="U769" s="284"/>
      <c r="X769" s="284"/>
      <c r="Y769" s="284"/>
      <c r="Z769" s="284" t="e">
        <f t="shared" si="21"/>
        <v>#DIV/0!</v>
      </c>
    </row>
    <row r="770" spans="1:26" ht="12.65" customHeight="1" x14ac:dyDescent="0.35">
      <c r="A770" s="209" t="str">
        <f>RIGHT($C$84,3)&amp;"*"&amp;RIGHT($C$83,4)&amp;"*"&amp;AN$55&amp;"*"&amp;"A"</f>
        <v xml:space="preserve"> #1*008*7340*A</v>
      </c>
      <c r="B770" s="284">
        <f>ROUND(AN59,0)</f>
        <v>0</v>
      </c>
      <c r="C770" s="287">
        <f>ROUND(AN60,2)</f>
        <v>0</v>
      </c>
      <c r="D770" s="284">
        <f>ROUND(AN61,0)</f>
        <v>0</v>
      </c>
      <c r="E770" s="284">
        <f>ROUND(AN62,0)</f>
        <v>0</v>
      </c>
      <c r="F770" s="284">
        <f>ROUND(AN63,0)</f>
        <v>0</v>
      </c>
      <c r="G770" s="284">
        <f>ROUND(AN64,0)</f>
        <v>0</v>
      </c>
      <c r="H770" s="284">
        <f>ROUND(AN65,0)</f>
        <v>0</v>
      </c>
      <c r="I770" s="284">
        <f>ROUND(AN66,0)</f>
        <v>0</v>
      </c>
      <c r="J770" s="284">
        <f>ROUND(AN67,0)</f>
        <v>0</v>
      </c>
      <c r="K770" s="284">
        <f>ROUND(AN68,0)</f>
        <v>0</v>
      </c>
      <c r="L770" s="284">
        <f>ROUND(AN70,0)</f>
        <v>0</v>
      </c>
      <c r="M770" s="284">
        <f>ROUND(AN71,0)</f>
        <v>0</v>
      </c>
      <c r="N770" s="284">
        <f>ROUND(AN76,0)</f>
        <v>0</v>
      </c>
      <c r="O770" s="284">
        <f>ROUND(AN74,0)</f>
        <v>0</v>
      </c>
      <c r="P770" s="284">
        <f>IF(AN77&gt;0,ROUND(AN77,0),0)</f>
        <v>0</v>
      </c>
      <c r="Q770" s="284">
        <f>IF(AN78&gt;0,ROUND(AN78,0),0)</f>
        <v>0</v>
      </c>
      <c r="R770" s="284">
        <f>IF(AN79&gt;0,ROUND(AN79,0),0)</f>
        <v>0</v>
      </c>
      <c r="S770" s="284">
        <f>IF(AN80&gt;0,ROUND(AN80,0),0)</f>
        <v>0</v>
      </c>
      <c r="T770" s="287">
        <f>IF(AN81&gt;0,ROUND(AN81,2),0)</f>
        <v>0</v>
      </c>
      <c r="U770" s="284"/>
      <c r="X770" s="284"/>
      <c r="Y770" s="284"/>
      <c r="Z770" s="284" t="e">
        <f t="shared" si="21"/>
        <v>#DIV/0!</v>
      </c>
    </row>
    <row r="771" spans="1:26" ht="12.65" customHeight="1" x14ac:dyDescent="0.35">
      <c r="A771" s="209" t="str">
        <f>RIGHT($C$84,3)&amp;"*"&amp;RIGHT($C$83,4)&amp;"*"&amp;AO$55&amp;"*"&amp;"A"</f>
        <v xml:space="preserve"> #1*008*7350*A</v>
      </c>
      <c r="B771" s="284">
        <f>ROUND(AO59,0)</f>
        <v>0</v>
      </c>
      <c r="C771" s="287">
        <f>ROUND(AO60,2)</f>
        <v>0</v>
      </c>
      <c r="D771" s="284">
        <f>ROUND(AO61,0)</f>
        <v>0</v>
      </c>
      <c r="E771" s="284">
        <f>ROUND(AO62,0)</f>
        <v>0</v>
      </c>
      <c r="F771" s="284">
        <f>ROUND(AO63,0)</f>
        <v>0</v>
      </c>
      <c r="G771" s="284">
        <f>ROUND(AO64,0)</f>
        <v>0</v>
      </c>
      <c r="H771" s="284">
        <f>ROUND(AO65,0)</f>
        <v>0</v>
      </c>
      <c r="I771" s="284">
        <f>ROUND(AO66,0)</f>
        <v>0</v>
      </c>
      <c r="J771" s="284">
        <f>ROUND(AO67,0)</f>
        <v>0</v>
      </c>
      <c r="K771" s="284">
        <f>ROUND(AO68,0)</f>
        <v>0</v>
      </c>
      <c r="L771" s="284">
        <f>ROUND(AO70,0)</f>
        <v>0</v>
      </c>
      <c r="M771" s="284">
        <f>ROUND(AO71,0)</f>
        <v>0</v>
      </c>
      <c r="N771" s="284">
        <f>ROUND(AO76,0)</f>
        <v>0</v>
      </c>
      <c r="O771" s="284">
        <f>ROUND(AO74,0)</f>
        <v>0</v>
      </c>
      <c r="P771" s="284">
        <f>IF(AO77&gt;0,ROUND(AO77,0),0)</f>
        <v>0</v>
      </c>
      <c r="Q771" s="284">
        <f>IF(AO78&gt;0,ROUND(AO78,0),0)</f>
        <v>0</v>
      </c>
      <c r="R771" s="284">
        <f>IF(AO79&gt;0,ROUND(AO79,0),0)</f>
        <v>0</v>
      </c>
      <c r="S771" s="284">
        <f>IF(AO80&gt;0,ROUND(AO80,0),0)</f>
        <v>0</v>
      </c>
      <c r="T771" s="287">
        <f>IF(AO81&gt;0,ROUND(AO81,2),0)</f>
        <v>0</v>
      </c>
      <c r="U771" s="284"/>
      <c r="X771" s="284"/>
      <c r="Y771" s="284"/>
      <c r="Z771" s="284" t="e">
        <f t="shared" si="21"/>
        <v>#DIV/0!</v>
      </c>
    </row>
    <row r="772" spans="1:26" ht="12.65" customHeight="1" x14ac:dyDescent="0.35">
      <c r="A772" s="209" t="str">
        <f>RIGHT($C$84,3)&amp;"*"&amp;RIGHT($C$83,4)&amp;"*"&amp;AP$55&amp;"*"&amp;"A"</f>
        <v xml:space="preserve"> #1*008*7380*A</v>
      </c>
      <c r="B772" s="284">
        <f>ROUND(AP59,0)</f>
        <v>0</v>
      </c>
      <c r="C772" s="287">
        <f>ROUND(AP60,2)</f>
        <v>0</v>
      </c>
      <c r="D772" s="284">
        <f>ROUND(AP61,0)</f>
        <v>0</v>
      </c>
      <c r="E772" s="284">
        <f>ROUND(AP62,0)</f>
        <v>0</v>
      </c>
      <c r="F772" s="284">
        <f>ROUND(AP63,0)</f>
        <v>0</v>
      </c>
      <c r="G772" s="284">
        <f>ROUND(AP64,0)</f>
        <v>0</v>
      </c>
      <c r="H772" s="284">
        <f>ROUND(AP65,0)</f>
        <v>0</v>
      </c>
      <c r="I772" s="284">
        <f>ROUND(AP66,0)</f>
        <v>0</v>
      </c>
      <c r="J772" s="284">
        <f>ROUND(AP67,0)</f>
        <v>0</v>
      </c>
      <c r="K772" s="284">
        <f>ROUND(AP68,0)</f>
        <v>0</v>
      </c>
      <c r="L772" s="284">
        <f>ROUND(AP70,0)</f>
        <v>0</v>
      </c>
      <c r="M772" s="284">
        <f>ROUND(AP71,0)</f>
        <v>0</v>
      </c>
      <c r="N772" s="284">
        <f>ROUND(AP76,0)</f>
        <v>0</v>
      </c>
      <c r="O772" s="284">
        <f>ROUND(AP74,0)</f>
        <v>0</v>
      </c>
      <c r="P772" s="284">
        <f>IF(AP77&gt;0,ROUND(AP77,0),0)</f>
        <v>0</v>
      </c>
      <c r="Q772" s="284">
        <f>IF(AP78&gt;0,ROUND(AP78,0),0)</f>
        <v>0</v>
      </c>
      <c r="R772" s="284">
        <f>IF(AP79&gt;0,ROUND(AP79,0),0)</f>
        <v>0</v>
      </c>
      <c r="S772" s="284">
        <f>IF(AP80&gt;0,ROUND(AP80,0),0)</f>
        <v>0</v>
      </c>
      <c r="T772" s="287">
        <f>IF(AP81&gt;0,ROUND(AP81,2),0)</f>
        <v>0</v>
      </c>
      <c r="U772" s="284"/>
      <c r="X772" s="284"/>
      <c r="Y772" s="284"/>
      <c r="Z772" s="284" t="e">
        <f t="shared" si="21"/>
        <v>#DIV/0!</v>
      </c>
    </row>
    <row r="773" spans="1:26" ht="12.65" customHeight="1" x14ac:dyDescent="0.35">
      <c r="A773" s="209" t="str">
        <f>RIGHT($C$84,3)&amp;"*"&amp;RIGHT($C$83,4)&amp;"*"&amp;AQ$55&amp;"*"&amp;"A"</f>
        <v xml:space="preserve"> #1*008*7390*A</v>
      </c>
      <c r="B773" s="284">
        <f>ROUND(AQ59,0)</f>
        <v>0</v>
      </c>
      <c r="C773" s="287">
        <f>ROUND(AQ60,2)</f>
        <v>0</v>
      </c>
      <c r="D773" s="284">
        <f>ROUND(AQ61,0)</f>
        <v>0</v>
      </c>
      <c r="E773" s="284">
        <f>ROUND(AQ62,0)</f>
        <v>0</v>
      </c>
      <c r="F773" s="284">
        <f>ROUND(AQ63,0)</f>
        <v>0</v>
      </c>
      <c r="G773" s="284">
        <f>ROUND(AQ64,0)</f>
        <v>0</v>
      </c>
      <c r="H773" s="284">
        <f>ROUND(AQ65,0)</f>
        <v>0</v>
      </c>
      <c r="I773" s="284">
        <f>ROUND(AQ66,0)</f>
        <v>0</v>
      </c>
      <c r="J773" s="284">
        <f>ROUND(AQ67,0)</f>
        <v>0</v>
      </c>
      <c r="K773" s="284">
        <f>ROUND(AQ68,0)</f>
        <v>0</v>
      </c>
      <c r="L773" s="284">
        <f>ROUND(AQ70,0)</f>
        <v>0</v>
      </c>
      <c r="M773" s="284">
        <f>ROUND(AQ71,0)</f>
        <v>0</v>
      </c>
      <c r="N773" s="284">
        <f>ROUND(AQ76,0)</f>
        <v>0</v>
      </c>
      <c r="O773" s="284">
        <f>ROUND(AQ74,0)</f>
        <v>0</v>
      </c>
      <c r="P773" s="284">
        <f>IF(AQ77&gt;0,ROUND(AQ77,0),0)</f>
        <v>0</v>
      </c>
      <c r="Q773" s="284">
        <f>IF(AQ78&gt;0,ROUND(AQ78,0),0)</f>
        <v>0</v>
      </c>
      <c r="R773" s="284">
        <f>IF(AQ79&gt;0,ROUND(AQ79,0),0)</f>
        <v>0</v>
      </c>
      <c r="S773" s="284">
        <f>IF(AQ80&gt;0,ROUND(AQ80,0),0)</f>
        <v>0</v>
      </c>
      <c r="T773" s="287">
        <f>IF(AQ81&gt;0,ROUND(AQ81,2),0)</f>
        <v>0</v>
      </c>
      <c r="U773" s="284"/>
      <c r="X773" s="284"/>
      <c r="Y773" s="284"/>
      <c r="Z773" s="284" t="e">
        <f t="shared" si="21"/>
        <v>#DIV/0!</v>
      </c>
    </row>
    <row r="774" spans="1:26" ht="12.65" customHeight="1" x14ac:dyDescent="0.35">
      <c r="A774" s="209" t="str">
        <f>RIGHT($C$84,3)&amp;"*"&amp;RIGHT($C$83,4)&amp;"*"&amp;AR$55&amp;"*"&amp;"A"</f>
        <v xml:space="preserve"> #1*008*7400*A</v>
      </c>
      <c r="B774" s="284">
        <f>ROUND(AR59,0)</f>
        <v>0</v>
      </c>
      <c r="C774" s="287">
        <f>ROUND(AR60,2)</f>
        <v>0</v>
      </c>
      <c r="D774" s="284">
        <f>ROUND(AR61,0)</f>
        <v>297890</v>
      </c>
      <c r="E774" s="284">
        <f>ROUND(AR62,0)</f>
        <v>50538</v>
      </c>
      <c r="F774" s="284">
        <f>ROUND(AR63,0)</f>
        <v>0</v>
      </c>
      <c r="G774" s="284">
        <f>ROUND(AR64,0)</f>
        <v>16062</v>
      </c>
      <c r="H774" s="284">
        <f>ROUND(AR65,0)</f>
        <v>55</v>
      </c>
      <c r="I774" s="284">
        <f>ROUND(AR66,0)</f>
        <v>16207</v>
      </c>
      <c r="J774" s="284">
        <f>ROUND(AR67,0)</f>
        <v>0</v>
      </c>
      <c r="K774" s="284">
        <f>ROUND(AR68,0)</f>
        <v>0</v>
      </c>
      <c r="L774" s="284">
        <f>ROUND(AR70,0)</f>
        <v>0</v>
      </c>
      <c r="M774" s="284">
        <f>ROUND(AR71,0)</f>
        <v>396738</v>
      </c>
      <c r="N774" s="284">
        <f>ROUND(AR76,0)</f>
        <v>987</v>
      </c>
      <c r="O774" s="284">
        <f>ROUND(AR74,0)</f>
        <v>525605</v>
      </c>
      <c r="P774" s="284">
        <f>IF(AR77&gt;0,ROUND(AR77,0),0)</f>
        <v>0</v>
      </c>
      <c r="Q774" s="284">
        <f>IF(AR78&gt;0,ROUND(AR78,0),0)</f>
        <v>0</v>
      </c>
      <c r="R774" s="284">
        <f>IF(AR79&gt;0,ROUND(AR79,0),0)</f>
        <v>0</v>
      </c>
      <c r="S774" s="284">
        <f>IF(AR80&gt;0,ROUND(AR80,0),0)</f>
        <v>1</v>
      </c>
      <c r="T774" s="287">
        <f>IF(AR81&gt;0,ROUND(AR81,2),0)</f>
        <v>0</v>
      </c>
      <c r="U774" s="284"/>
      <c r="X774" s="284"/>
      <c r="Y774" s="284"/>
      <c r="Z774" s="284" t="e">
        <f t="shared" si="21"/>
        <v>#DIV/0!</v>
      </c>
    </row>
    <row r="775" spans="1:26" ht="12.65" customHeight="1" x14ac:dyDescent="0.35">
      <c r="A775" s="209" t="str">
        <f>RIGHT($C$84,3)&amp;"*"&amp;RIGHT($C$83,4)&amp;"*"&amp;AS$55&amp;"*"&amp;"A"</f>
        <v xml:space="preserve"> #1*008*7410*A</v>
      </c>
      <c r="B775" s="284">
        <f>ROUND(AS59,0)</f>
        <v>0</v>
      </c>
      <c r="C775" s="287">
        <f>ROUND(AS60,2)</f>
        <v>0</v>
      </c>
      <c r="D775" s="284">
        <f>ROUND(AS61,0)</f>
        <v>0</v>
      </c>
      <c r="E775" s="284">
        <f>ROUND(AS62,0)</f>
        <v>0</v>
      </c>
      <c r="F775" s="284">
        <f>ROUND(AS63,0)</f>
        <v>0</v>
      </c>
      <c r="G775" s="284">
        <f>ROUND(AS64,0)</f>
        <v>0</v>
      </c>
      <c r="H775" s="284">
        <f>ROUND(AS65,0)</f>
        <v>0</v>
      </c>
      <c r="I775" s="284">
        <f>ROUND(AS66,0)</f>
        <v>0</v>
      </c>
      <c r="J775" s="284">
        <f>ROUND(AS67,0)</f>
        <v>0</v>
      </c>
      <c r="K775" s="284">
        <f>ROUND(AS68,0)</f>
        <v>0</v>
      </c>
      <c r="L775" s="284">
        <f>ROUND(AS70,0)</f>
        <v>0</v>
      </c>
      <c r="M775" s="284">
        <f>ROUND(AS71,0)</f>
        <v>0</v>
      </c>
      <c r="N775" s="284">
        <f>ROUND(AS76,0)</f>
        <v>0</v>
      </c>
      <c r="O775" s="284">
        <f>ROUND(AS74,0)</f>
        <v>0</v>
      </c>
      <c r="P775" s="284">
        <f>IF(AS77&gt;0,ROUND(AS77,0),0)</f>
        <v>0</v>
      </c>
      <c r="Q775" s="284">
        <f>IF(AS78&gt;0,ROUND(AS78,0),0)</f>
        <v>0</v>
      </c>
      <c r="R775" s="284">
        <f>IF(AS79&gt;0,ROUND(AS79,0),0)</f>
        <v>0</v>
      </c>
      <c r="S775" s="284">
        <f>IF(AS80&gt;0,ROUND(AS80,0),0)</f>
        <v>0</v>
      </c>
      <c r="T775" s="287">
        <f>IF(AS81&gt;0,ROUND(AS81,2),0)</f>
        <v>0</v>
      </c>
      <c r="U775" s="284"/>
      <c r="X775" s="284"/>
      <c r="Y775" s="284"/>
      <c r="Z775" s="284" t="e">
        <f t="shared" si="21"/>
        <v>#DIV/0!</v>
      </c>
    </row>
    <row r="776" spans="1:26" ht="12.65" customHeight="1" x14ac:dyDescent="0.35">
      <c r="A776" s="209" t="str">
        <f>RIGHT($C$84,3)&amp;"*"&amp;RIGHT($C$83,4)&amp;"*"&amp;AT$55&amp;"*"&amp;"A"</f>
        <v xml:space="preserve"> #1*008*7420*A</v>
      </c>
      <c r="B776" s="284">
        <f>ROUND(AT59,0)</f>
        <v>0</v>
      </c>
      <c r="C776" s="287">
        <f>ROUND(AT60,2)</f>
        <v>0</v>
      </c>
      <c r="D776" s="284">
        <f>ROUND(AT61,0)</f>
        <v>0</v>
      </c>
      <c r="E776" s="284">
        <f>ROUND(AT62,0)</f>
        <v>0</v>
      </c>
      <c r="F776" s="284">
        <f>ROUND(AT63,0)</f>
        <v>0</v>
      </c>
      <c r="G776" s="284">
        <f>ROUND(AT64,0)</f>
        <v>0</v>
      </c>
      <c r="H776" s="284">
        <f>ROUND(AT65,0)</f>
        <v>0</v>
      </c>
      <c r="I776" s="284">
        <f>ROUND(AT66,0)</f>
        <v>0</v>
      </c>
      <c r="J776" s="284">
        <f>ROUND(AT67,0)</f>
        <v>0</v>
      </c>
      <c r="K776" s="284">
        <f>ROUND(AT68,0)</f>
        <v>0</v>
      </c>
      <c r="L776" s="284">
        <f>ROUND(AT70,0)</f>
        <v>0</v>
      </c>
      <c r="M776" s="284">
        <f>ROUND(AT71,0)</f>
        <v>0</v>
      </c>
      <c r="N776" s="284">
        <f>ROUND(AT76,0)</f>
        <v>0</v>
      </c>
      <c r="O776" s="284">
        <f>ROUND(AT74,0)</f>
        <v>0</v>
      </c>
      <c r="P776" s="284">
        <f>IF(AT77&gt;0,ROUND(AT77,0),0)</f>
        <v>0</v>
      </c>
      <c r="Q776" s="284">
        <f>IF(AT78&gt;0,ROUND(AT78,0),0)</f>
        <v>0</v>
      </c>
      <c r="R776" s="284">
        <f>IF(AT79&gt;0,ROUND(AT79,0),0)</f>
        <v>0</v>
      </c>
      <c r="S776" s="284">
        <f>IF(AT80&gt;0,ROUND(AT80,0),0)</f>
        <v>0</v>
      </c>
      <c r="T776" s="287">
        <f>IF(AT81&gt;0,ROUND(AT81,2),0)</f>
        <v>0</v>
      </c>
      <c r="U776" s="284"/>
      <c r="X776" s="284"/>
      <c r="Y776" s="284"/>
      <c r="Z776" s="284" t="e">
        <f t="shared" si="21"/>
        <v>#DIV/0!</v>
      </c>
    </row>
    <row r="777" spans="1:26" ht="12.65" customHeight="1" x14ac:dyDescent="0.35">
      <c r="A777" s="209" t="str">
        <f>RIGHT($C$84,3)&amp;"*"&amp;RIGHT($C$83,4)&amp;"*"&amp;AU$55&amp;"*"&amp;"A"</f>
        <v xml:space="preserve"> #1*008*7430*A</v>
      </c>
      <c r="B777" s="284">
        <f>ROUND(AU59,0)</f>
        <v>0</v>
      </c>
      <c r="C777" s="287">
        <f>ROUND(AU60,2)</f>
        <v>0</v>
      </c>
      <c r="D777" s="284">
        <f>ROUND(AU61,0)</f>
        <v>0</v>
      </c>
      <c r="E777" s="284">
        <f>ROUND(AU62,0)</f>
        <v>0</v>
      </c>
      <c r="F777" s="284">
        <f>ROUND(AU63,0)</f>
        <v>0</v>
      </c>
      <c r="G777" s="284">
        <f>ROUND(AU64,0)</f>
        <v>0</v>
      </c>
      <c r="H777" s="284">
        <f>ROUND(AU65,0)</f>
        <v>0</v>
      </c>
      <c r="I777" s="284">
        <f>ROUND(AU66,0)</f>
        <v>0</v>
      </c>
      <c r="J777" s="284">
        <f>ROUND(AU67,0)</f>
        <v>0</v>
      </c>
      <c r="K777" s="284">
        <f>ROUND(AU68,0)</f>
        <v>0</v>
      </c>
      <c r="L777" s="284">
        <f>ROUND(AU70,0)</f>
        <v>0</v>
      </c>
      <c r="M777" s="284">
        <f>ROUND(AU71,0)</f>
        <v>0</v>
      </c>
      <c r="N777" s="284">
        <f>ROUND(AU76,0)</f>
        <v>0</v>
      </c>
      <c r="O777" s="284">
        <f>ROUND(AU74,0)</f>
        <v>0</v>
      </c>
      <c r="P777" s="284">
        <f>IF(AU77&gt;0,ROUND(AU77,0),0)</f>
        <v>0</v>
      </c>
      <c r="Q777" s="284">
        <f>IF(AU78&gt;0,ROUND(AU78,0),0)</f>
        <v>0</v>
      </c>
      <c r="R777" s="284">
        <f>IF(AU79&gt;0,ROUND(AU79,0),0)</f>
        <v>0</v>
      </c>
      <c r="S777" s="284">
        <f>IF(AU80&gt;0,ROUND(AU80,0),0)</f>
        <v>0</v>
      </c>
      <c r="T777" s="287">
        <f>IF(AU81&gt;0,ROUND(AU81,2),0)</f>
        <v>0</v>
      </c>
      <c r="U777" s="284"/>
      <c r="X777" s="284"/>
      <c r="Y777" s="284"/>
      <c r="Z777" s="284" t="e">
        <f t="shared" si="21"/>
        <v>#DIV/0!</v>
      </c>
    </row>
    <row r="778" spans="1:26" ht="12.65" customHeight="1" x14ac:dyDescent="0.35">
      <c r="A778" s="209" t="str">
        <f>RIGHT($C$84,3)&amp;"*"&amp;RIGHT($C$83,4)&amp;"*"&amp;AV$55&amp;"*"&amp;"A"</f>
        <v xml:space="preserve"> #1*008*7490*A</v>
      </c>
      <c r="B778" s="284"/>
      <c r="C778" s="287">
        <f>ROUND(AV60,2)</f>
        <v>0</v>
      </c>
      <c r="D778" s="284">
        <f>ROUND(AV61,0)</f>
        <v>0</v>
      </c>
      <c r="E778" s="284">
        <f>ROUND(AV62,0)</f>
        <v>0</v>
      </c>
      <c r="F778" s="284">
        <f>ROUND(AV63,0)</f>
        <v>0</v>
      </c>
      <c r="G778" s="284">
        <f>ROUND(AV64,0)</f>
        <v>0</v>
      </c>
      <c r="H778" s="284">
        <f>ROUND(AV65,0)</f>
        <v>0</v>
      </c>
      <c r="I778" s="284">
        <f>ROUND(AV66,0)</f>
        <v>0</v>
      </c>
      <c r="J778" s="284">
        <f>ROUND(AV67,0)</f>
        <v>0</v>
      </c>
      <c r="K778" s="284">
        <f>ROUND(AV68,0)</f>
        <v>0</v>
      </c>
      <c r="L778" s="284">
        <f>ROUND(AV70,0)</f>
        <v>0</v>
      </c>
      <c r="M778" s="284">
        <f>ROUND(AV71,0)</f>
        <v>0</v>
      </c>
      <c r="N778" s="284">
        <f>ROUND(AV76,0)</f>
        <v>0</v>
      </c>
      <c r="O778" s="284">
        <f>ROUND(AV74,0)</f>
        <v>82456</v>
      </c>
      <c r="P778" s="284">
        <f>IF(AV77&gt;0,ROUND(AV77,0),0)</f>
        <v>0</v>
      </c>
      <c r="Q778" s="284">
        <f>IF(AV78&gt;0,ROUND(AV78,0),0)</f>
        <v>0</v>
      </c>
      <c r="R778" s="284">
        <f>IF(AV79&gt;0,ROUND(AV79,0),0)</f>
        <v>0</v>
      </c>
      <c r="S778" s="284">
        <f>IF(AV80&gt;0,ROUND(AV80,0),0)</f>
        <v>0</v>
      </c>
      <c r="T778" s="287">
        <f>IF(AV81&gt;0,ROUND(AV81,2),0)</f>
        <v>0</v>
      </c>
      <c r="U778" s="284"/>
      <c r="X778" s="284"/>
      <c r="Y778" s="284"/>
      <c r="Z778" s="284" t="e">
        <f t="shared" si="21"/>
        <v>#DIV/0!</v>
      </c>
    </row>
    <row r="779" spans="1:26" ht="12.65" customHeight="1" x14ac:dyDescent="0.35">
      <c r="A779" s="209" t="str">
        <f>RIGHT($C$84,3)&amp;"*"&amp;RIGHT($C$83,4)&amp;"*"&amp;AW$55&amp;"*"&amp;"A"</f>
        <v xml:space="preserve"> #1*008*8200*A</v>
      </c>
      <c r="B779" s="284"/>
      <c r="C779" s="287">
        <f>ROUND(AW60,2)</f>
        <v>0</v>
      </c>
      <c r="D779" s="284">
        <f>ROUND(AW61,0)</f>
        <v>79361</v>
      </c>
      <c r="E779" s="284">
        <f>ROUND(AW62,0)</f>
        <v>21599</v>
      </c>
      <c r="F779" s="284">
        <f>ROUND(AW63,0)</f>
        <v>10413</v>
      </c>
      <c r="G779" s="284">
        <f>ROUND(AW64,0)</f>
        <v>860</v>
      </c>
      <c r="H779" s="284">
        <f>ROUND(AW65,0)</f>
        <v>0</v>
      </c>
      <c r="I779" s="284">
        <f>ROUND(AW66,0)</f>
        <v>37</v>
      </c>
      <c r="J779" s="284">
        <f>ROUND(AW67,0)</f>
        <v>0</v>
      </c>
      <c r="K779" s="284">
        <f>ROUND(AW68,0)</f>
        <v>0</v>
      </c>
      <c r="L779" s="284">
        <f>ROUND(AW70,0)</f>
        <v>0</v>
      </c>
      <c r="M779" s="284">
        <f>ROUND(AW71,0)</f>
        <v>114537</v>
      </c>
      <c r="N779" s="284"/>
      <c r="O779" s="284"/>
      <c r="P779" s="284">
        <f>IF(AW77&gt;0,ROUND(AW77,0),0)</f>
        <v>0</v>
      </c>
      <c r="Q779" s="284">
        <f>IF(AW78&gt;0,ROUND(AW78,0),0)</f>
        <v>0</v>
      </c>
      <c r="R779" s="284">
        <f>IF(AW79&gt;0,ROUND(AW79,0),0)</f>
        <v>0</v>
      </c>
      <c r="S779" s="284">
        <f>IF(AW80&gt;0,ROUND(AW80,0),0)</f>
        <v>0</v>
      </c>
      <c r="T779" s="287">
        <f>IF(AW81&gt;0,ROUND(AW81,2),0)</f>
        <v>0</v>
      </c>
      <c r="U779" s="284"/>
      <c r="X779" s="284"/>
      <c r="Y779" s="284"/>
      <c r="Z779" s="284"/>
    </row>
    <row r="780" spans="1:26" ht="12.65" customHeight="1" x14ac:dyDescent="0.35">
      <c r="A780" s="209" t="str">
        <f>RIGHT($C$84,3)&amp;"*"&amp;RIGHT($C$83,4)&amp;"*"&amp;AX$55&amp;"*"&amp;"A"</f>
        <v xml:space="preserve"> #1*008*8310*A</v>
      </c>
      <c r="B780" s="284"/>
      <c r="C780" s="287">
        <f>ROUND(AX60,2)</f>
        <v>0</v>
      </c>
      <c r="D780" s="284">
        <f>ROUND(AX61,0)</f>
        <v>0</v>
      </c>
      <c r="E780" s="284">
        <f>ROUND(AX62,0)</f>
        <v>0</v>
      </c>
      <c r="F780" s="284">
        <f>ROUND(AX63,0)</f>
        <v>0</v>
      </c>
      <c r="G780" s="284">
        <f>ROUND(AX64,0)</f>
        <v>0</v>
      </c>
      <c r="H780" s="284">
        <f>ROUND(AX65,0)</f>
        <v>0</v>
      </c>
      <c r="I780" s="284">
        <f>ROUND(AX66,0)</f>
        <v>0</v>
      </c>
      <c r="J780" s="284">
        <f>ROUND(AX67,0)</f>
        <v>0</v>
      </c>
      <c r="K780" s="284">
        <f>ROUND(AX68,0)</f>
        <v>0</v>
      </c>
      <c r="L780" s="284">
        <f>ROUND(AX70,0)</f>
        <v>0</v>
      </c>
      <c r="M780" s="284">
        <f>ROUND(AX71,0)</f>
        <v>0</v>
      </c>
      <c r="N780" s="284"/>
      <c r="O780" s="284"/>
      <c r="P780" s="284">
        <f>IF(AX77&gt;0,ROUND(AX77,0),0)</f>
        <v>0</v>
      </c>
      <c r="Q780" s="284">
        <f>IF(AX78&gt;0,ROUND(AX78,0),0)</f>
        <v>0</v>
      </c>
      <c r="R780" s="284">
        <f>IF(AX79&gt;0,ROUND(AX79,0),0)</f>
        <v>0</v>
      </c>
      <c r="S780" s="284">
        <f>IF(AX80&gt;0,ROUND(AX80,0),0)</f>
        <v>0</v>
      </c>
      <c r="T780" s="287">
        <f>IF(AX81&gt;0,ROUND(AX81,2),0)</f>
        <v>0</v>
      </c>
      <c r="U780" s="284"/>
      <c r="X780" s="284"/>
      <c r="Y780" s="284"/>
      <c r="Z780" s="284"/>
    </row>
    <row r="781" spans="1:26" ht="12.65" customHeight="1" x14ac:dyDescent="0.35">
      <c r="A781" s="209" t="str">
        <f>RIGHT($C$84,3)&amp;"*"&amp;RIGHT($C$83,4)&amp;"*"&amp;AY$55&amp;"*"&amp;"A"</f>
        <v xml:space="preserve"> #1*008*8320*A</v>
      </c>
      <c r="B781" s="284">
        <f>ROUND(AY59,0)</f>
        <v>4752</v>
      </c>
      <c r="C781" s="287">
        <f>ROUND(AY60,2)</f>
        <v>0</v>
      </c>
      <c r="D781" s="284">
        <f>ROUND(AY61,0)</f>
        <v>271148</v>
      </c>
      <c r="E781" s="284">
        <f>ROUND(AY62,0)</f>
        <v>92173</v>
      </c>
      <c r="F781" s="284">
        <f>ROUND(AY63,0)</f>
        <v>7888</v>
      </c>
      <c r="G781" s="284">
        <f>ROUND(AY64,0)</f>
        <v>180598</v>
      </c>
      <c r="H781" s="284">
        <f>ROUND(AY65,0)</f>
        <v>0</v>
      </c>
      <c r="I781" s="284">
        <f>ROUND(AY66,0)</f>
        <v>6346</v>
      </c>
      <c r="J781" s="284">
        <f>ROUND(AY67,0)</f>
        <v>0</v>
      </c>
      <c r="K781" s="284">
        <f>ROUND(AY68,0)</f>
        <v>0</v>
      </c>
      <c r="L781" s="284">
        <f>ROUND(AY70,0)</f>
        <v>0</v>
      </c>
      <c r="M781" s="284">
        <f>ROUND(AY71,0)</f>
        <v>559952</v>
      </c>
      <c r="N781" s="284"/>
      <c r="O781" s="284"/>
      <c r="P781" s="284">
        <f>IF(AY77&gt;0,ROUND(AY77,0),0)</f>
        <v>0</v>
      </c>
      <c r="Q781" s="284">
        <f>IF(AY78&gt;0,ROUND(AY78,0),0)</f>
        <v>0</v>
      </c>
      <c r="R781" s="284">
        <f>IF(AY79&gt;0,ROUND(AY79,0),0)</f>
        <v>0</v>
      </c>
      <c r="S781" s="284">
        <f>IF(AY80&gt;0,ROUND(AY80,0),0)</f>
        <v>0</v>
      </c>
      <c r="T781" s="287">
        <f>IF(AY81&gt;0,ROUND(AY81,2),0)</f>
        <v>0</v>
      </c>
      <c r="U781" s="284"/>
      <c r="X781" s="284"/>
      <c r="Y781" s="284"/>
      <c r="Z781" s="284"/>
    </row>
    <row r="782" spans="1:26" ht="12.65" customHeight="1" x14ac:dyDescent="0.35">
      <c r="A782" s="209" t="str">
        <f>RIGHT($C$84,3)&amp;"*"&amp;RIGHT($C$83,4)&amp;"*"&amp;AZ$55&amp;"*"&amp;"A"</f>
        <v xml:space="preserve"> #1*008*8330*A</v>
      </c>
      <c r="B782" s="284">
        <f>ROUND(AZ59,0)</f>
        <v>34048</v>
      </c>
      <c r="C782" s="287">
        <f>ROUND(AZ60,2)</f>
        <v>0</v>
      </c>
      <c r="D782" s="284">
        <f>ROUND(AZ61,0)</f>
        <v>0</v>
      </c>
      <c r="E782" s="284">
        <f>ROUND(AZ62,0)</f>
        <v>0</v>
      </c>
      <c r="F782" s="284">
        <f>ROUND(AZ63,0)</f>
        <v>0</v>
      </c>
      <c r="G782" s="284">
        <f>ROUND(AZ64,0)</f>
        <v>0</v>
      </c>
      <c r="H782" s="284">
        <f>ROUND(AZ65,0)</f>
        <v>0</v>
      </c>
      <c r="I782" s="284">
        <f>ROUND(AZ66,0)</f>
        <v>0</v>
      </c>
      <c r="J782" s="284">
        <f>ROUND(AZ67,0)</f>
        <v>0</v>
      </c>
      <c r="K782" s="284">
        <f>ROUND(AZ68,0)</f>
        <v>0</v>
      </c>
      <c r="L782" s="284">
        <f>ROUND(AZ70,0)</f>
        <v>0</v>
      </c>
      <c r="M782" s="284">
        <f>ROUND(AZ71,0)</f>
        <v>0</v>
      </c>
      <c r="N782" s="284"/>
      <c r="O782" s="284"/>
      <c r="P782" s="284">
        <f>IF(AZ77&gt;0,ROUND(AZ77,0),0)</f>
        <v>0</v>
      </c>
      <c r="Q782" s="284">
        <f>IF(AZ78&gt;0,ROUND(AZ78,0),0)</f>
        <v>0</v>
      </c>
      <c r="R782" s="284">
        <f>IF(AZ79&gt;0,ROUND(AZ79,0),0)</f>
        <v>0</v>
      </c>
      <c r="S782" s="284">
        <f>IF(AZ80&gt;0,ROUND(AZ80,0),0)</f>
        <v>0</v>
      </c>
      <c r="T782" s="287">
        <f>IF(AZ81&gt;0,ROUND(AZ81,2),0)</f>
        <v>0</v>
      </c>
      <c r="U782" s="284"/>
      <c r="X782" s="284"/>
      <c r="Y782" s="284"/>
      <c r="Z782" s="284"/>
    </row>
    <row r="783" spans="1:26" ht="12.65" customHeight="1" x14ac:dyDescent="0.35">
      <c r="A783" s="209" t="str">
        <f>RIGHT($C$84,3)&amp;"*"&amp;RIGHT($C$83,4)&amp;"*"&amp;BA$55&amp;"*"&amp;"A"</f>
        <v xml:space="preserve"> #1*008*8350*A</v>
      </c>
      <c r="B783" s="284">
        <f>ROUND(BA59,0)</f>
        <v>0</v>
      </c>
      <c r="C783" s="287">
        <f>ROUND(BA60,2)</f>
        <v>0</v>
      </c>
      <c r="D783" s="284">
        <f>ROUND(BA61,0)</f>
        <v>0</v>
      </c>
      <c r="E783" s="284">
        <f>ROUND(BA62,0)</f>
        <v>0</v>
      </c>
      <c r="F783" s="284">
        <f>ROUND(BA63,0)</f>
        <v>0</v>
      </c>
      <c r="G783" s="284">
        <f>ROUND(BA64,0)</f>
        <v>0</v>
      </c>
      <c r="H783" s="284">
        <f>ROUND(BA65,0)</f>
        <v>0</v>
      </c>
      <c r="I783" s="284">
        <f>ROUND(BA66,0)</f>
        <v>0</v>
      </c>
      <c r="J783" s="284">
        <f>ROUND(BA67,0)</f>
        <v>0</v>
      </c>
      <c r="K783" s="284">
        <f>ROUND(BA68,0)</f>
        <v>0</v>
      </c>
      <c r="L783" s="284">
        <f>ROUND(BA70,0)</f>
        <v>0</v>
      </c>
      <c r="M783" s="284">
        <f>ROUND(BA71,0)</f>
        <v>0</v>
      </c>
      <c r="N783" s="284"/>
      <c r="O783" s="284"/>
      <c r="P783" s="284">
        <f>IF(BA77&gt;0,ROUND(BA77,0),0)</f>
        <v>0</v>
      </c>
      <c r="Q783" s="284">
        <f>IF(BA78&gt;0,ROUND(BA78,0),0)</f>
        <v>0</v>
      </c>
      <c r="R783" s="284">
        <f>IF(BA79&gt;0,ROUND(BA79,0),0)</f>
        <v>0</v>
      </c>
      <c r="S783" s="284">
        <f>IF(BA80&gt;0,ROUND(BA80,0),0)</f>
        <v>0</v>
      </c>
      <c r="T783" s="287">
        <f>IF(BA81&gt;0,ROUND(BA81,2),0)</f>
        <v>0</v>
      </c>
      <c r="U783" s="284"/>
      <c r="X783" s="284"/>
      <c r="Y783" s="284"/>
      <c r="Z783" s="284"/>
    </row>
    <row r="784" spans="1:26" ht="12.65" customHeight="1" x14ac:dyDescent="0.35">
      <c r="A784" s="209" t="str">
        <f>RIGHT($C$84,3)&amp;"*"&amp;RIGHT($C$83,4)&amp;"*"&amp;BB$55&amp;"*"&amp;"A"</f>
        <v xml:space="preserve"> #1*008*8360*A</v>
      </c>
      <c r="B784" s="284"/>
      <c r="C784" s="287">
        <f>ROUND(BB60,2)</f>
        <v>0</v>
      </c>
      <c r="D784" s="284">
        <f>ROUND(BB61,0)</f>
        <v>0</v>
      </c>
      <c r="E784" s="284">
        <f>ROUND(BB62,0)</f>
        <v>0</v>
      </c>
      <c r="F784" s="284">
        <f>ROUND(BB63,0)</f>
        <v>0</v>
      </c>
      <c r="G784" s="284">
        <f>ROUND(BB64,0)</f>
        <v>0</v>
      </c>
      <c r="H784" s="284">
        <f>ROUND(BB65,0)</f>
        <v>0</v>
      </c>
      <c r="I784" s="284">
        <f>ROUND(BB66,0)</f>
        <v>0</v>
      </c>
      <c r="J784" s="284">
        <f>ROUND(BB67,0)</f>
        <v>0</v>
      </c>
      <c r="K784" s="284">
        <f>ROUND(BB68,0)</f>
        <v>0</v>
      </c>
      <c r="L784" s="284">
        <f>ROUND(BB70,0)</f>
        <v>0</v>
      </c>
      <c r="M784" s="284">
        <f>ROUND(BB71,0)</f>
        <v>0</v>
      </c>
      <c r="N784" s="284"/>
      <c r="O784" s="284"/>
      <c r="P784" s="284">
        <f>IF(BB77&gt;0,ROUND(BB77,0),0)</f>
        <v>0</v>
      </c>
      <c r="Q784" s="284">
        <f>IF(BB78&gt;0,ROUND(BB78,0),0)</f>
        <v>0</v>
      </c>
      <c r="R784" s="284">
        <f>IF(BB79&gt;0,ROUND(BB79,0),0)</f>
        <v>0</v>
      </c>
      <c r="S784" s="284">
        <f>IF(BB80&gt;0,ROUND(BB80,0),0)</f>
        <v>0</v>
      </c>
      <c r="T784" s="287">
        <f>IF(BB81&gt;0,ROUND(BB81,2),0)</f>
        <v>0</v>
      </c>
      <c r="U784" s="284"/>
      <c r="X784" s="284"/>
      <c r="Y784" s="284"/>
      <c r="Z784" s="284"/>
    </row>
    <row r="785" spans="1:26" ht="12.65" customHeight="1" x14ac:dyDescent="0.35">
      <c r="A785" s="209" t="str">
        <f>RIGHT($C$84,3)&amp;"*"&amp;RIGHT($C$83,4)&amp;"*"&amp;BC$55&amp;"*"&amp;"A"</f>
        <v xml:space="preserve"> #1*008*8370*A</v>
      </c>
      <c r="B785" s="284"/>
      <c r="C785" s="287">
        <f>ROUND(BC60,2)</f>
        <v>0</v>
      </c>
      <c r="D785" s="284">
        <f>ROUND(BC61,0)</f>
        <v>10159</v>
      </c>
      <c r="E785" s="284">
        <f>ROUND(BC62,0)</f>
        <v>1014</v>
      </c>
      <c r="F785" s="284">
        <f>ROUND(BC63,0)</f>
        <v>0</v>
      </c>
      <c r="G785" s="284">
        <f>ROUND(BC64,0)</f>
        <v>3017</v>
      </c>
      <c r="H785" s="284">
        <f>ROUND(BC65,0)</f>
        <v>0</v>
      </c>
      <c r="I785" s="284">
        <f>ROUND(BC66,0)</f>
        <v>0</v>
      </c>
      <c r="J785" s="284">
        <f>ROUND(BC67,0)</f>
        <v>0</v>
      </c>
      <c r="K785" s="284">
        <f>ROUND(BC68,0)</f>
        <v>0</v>
      </c>
      <c r="L785" s="284">
        <f>ROUND(BC70,0)</f>
        <v>0</v>
      </c>
      <c r="M785" s="284">
        <f>ROUND(BC71,0)</f>
        <v>16513</v>
      </c>
      <c r="N785" s="284"/>
      <c r="O785" s="284"/>
      <c r="P785" s="284">
        <f>IF(BC77&gt;0,ROUND(BC77,0),0)</f>
        <v>0</v>
      </c>
      <c r="Q785" s="284">
        <f>IF(BC78&gt;0,ROUND(BC78,0),0)</f>
        <v>0</v>
      </c>
      <c r="R785" s="284">
        <f>IF(BC79&gt;0,ROUND(BC79,0),0)</f>
        <v>0</v>
      </c>
      <c r="S785" s="284">
        <f>IF(BC80&gt;0,ROUND(BC80,0),0)</f>
        <v>0</v>
      </c>
      <c r="T785" s="287">
        <f>IF(BC81&gt;0,ROUND(BC81,2),0)</f>
        <v>0</v>
      </c>
      <c r="U785" s="284"/>
      <c r="X785" s="284"/>
      <c r="Y785" s="284"/>
      <c r="Z785" s="284"/>
    </row>
    <row r="786" spans="1:26" ht="12.65" customHeight="1" x14ac:dyDescent="0.35">
      <c r="A786" s="209" t="str">
        <f>RIGHT($C$84,3)&amp;"*"&amp;RIGHT($C$83,4)&amp;"*"&amp;BD$55&amp;"*"&amp;"A"</f>
        <v xml:space="preserve"> #1*008*8420*A</v>
      </c>
      <c r="B786" s="284"/>
      <c r="C786" s="287">
        <f>ROUND(BD60,2)</f>
        <v>0</v>
      </c>
      <c r="D786" s="284">
        <f>ROUND(BD61,0)</f>
        <v>56108</v>
      </c>
      <c r="E786" s="284">
        <f>ROUND(BD62,0)</f>
        <v>18384</v>
      </c>
      <c r="F786" s="284">
        <f>ROUND(BD63,0)</f>
        <v>0</v>
      </c>
      <c r="G786" s="284">
        <f>ROUND(BD64,0)</f>
        <v>1140</v>
      </c>
      <c r="H786" s="284">
        <f>ROUND(BD65,0)</f>
        <v>0</v>
      </c>
      <c r="I786" s="284">
        <f>ROUND(BD66,0)</f>
        <v>0</v>
      </c>
      <c r="J786" s="284">
        <f>ROUND(BD67,0)</f>
        <v>0</v>
      </c>
      <c r="K786" s="284">
        <f>ROUND(BD68,0)</f>
        <v>0</v>
      </c>
      <c r="L786" s="284">
        <f>ROUND(BD70,0)</f>
        <v>0</v>
      </c>
      <c r="M786" s="284">
        <f>ROUND(BD71,0)</f>
        <v>75632</v>
      </c>
      <c r="N786" s="284"/>
      <c r="O786" s="284"/>
      <c r="P786" s="284">
        <f>IF(BD77&gt;0,ROUND(BD77,0),0)</f>
        <v>0</v>
      </c>
      <c r="Q786" s="284">
        <f>IF(BD78&gt;0,ROUND(BD78,0),0)</f>
        <v>0</v>
      </c>
      <c r="R786" s="284">
        <f>IF(BD79&gt;0,ROUND(BD79,0),0)</f>
        <v>0</v>
      </c>
      <c r="S786" s="284">
        <f>IF(BD80&gt;0,ROUND(BD80,0),0)</f>
        <v>0</v>
      </c>
      <c r="T786" s="287">
        <f>IF(BD81&gt;0,ROUND(BD81,2),0)</f>
        <v>0</v>
      </c>
      <c r="U786" s="284"/>
      <c r="X786" s="284"/>
      <c r="Y786" s="284"/>
      <c r="Z786" s="284"/>
    </row>
    <row r="787" spans="1:26" ht="12.65" customHeight="1" x14ac:dyDescent="0.35">
      <c r="A787" s="209" t="str">
        <f>RIGHT($C$84,3)&amp;"*"&amp;RIGHT($C$83,4)&amp;"*"&amp;BE$55&amp;"*"&amp;"A"</f>
        <v xml:space="preserve"> #1*008*8430*A</v>
      </c>
      <c r="B787" s="284">
        <f>ROUND(BE59,0)</f>
        <v>85625</v>
      </c>
      <c r="C787" s="287">
        <f>ROUND(BE60,2)</f>
        <v>0</v>
      </c>
      <c r="D787" s="284">
        <f>ROUND(BE61,0)</f>
        <v>448194</v>
      </c>
      <c r="E787" s="284">
        <f>ROUND(BE62,0)</f>
        <v>111812</v>
      </c>
      <c r="F787" s="284">
        <f>ROUND(BE63,0)</f>
        <v>0</v>
      </c>
      <c r="G787" s="284">
        <f>ROUND(BE64,0)</f>
        <v>40786</v>
      </c>
      <c r="H787" s="284">
        <f>ROUND(BE65,0)</f>
        <v>241059</v>
      </c>
      <c r="I787" s="284">
        <f>ROUND(BE66,0)</f>
        <v>100478</v>
      </c>
      <c r="J787" s="284">
        <f>ROUND(BE67,0)</f>
        <v>0</v>
      </c>
      <c r="K787" s="284">
        <f>ROUND(BE68,0)</f>
        <v>1914</v>
      </c>
      <c r="L787" s="284">
        <f>ROUND(BE70,0)</f>
        <v>0</v>
      </c>
      <c r="M787" s="284">
        <f>ROUND(BE71,0)</f>
        <v>998523</v>
      </c>
      <c r="N787" s="284"/>
      <c r="O787" s="284"/>
      <c r="P787" s="284">
        <f>IF(BE77&gt;0,ROUND(BE77,0),0)</f>
        <v>0</v>
      </c>
      <c r="Q787" s="284">
        <f>IF(BE78&gt;0,ROUND(BE78,0),0)</f>
        <v>0</v>
      </c>
      <c r="R787" s="284">
        <f>IF(BE79&gt;0,ROUND(BE79,0),0)</f>
        <v>0</v>
      </c>
      <c r="S787" s="284">
        <f>IF(BE80&gt;0,ROUND(BE80,0),0)</f>
        <v>0</v>
      </c>
      <c r="T787" s="287">
        <f>IF(BE81&gt;0,ROUND(BE81,2),0)</f>
        <v>0</v>
      </c>
      <c r="U787" s="284"/>
      <c r="X787" s="284"/>
      <c r="Y787" s="284"/>
      <c r="Z787" s="284"/>
    </row>
    <row r="788" spans="1:26" ht="12.65" customHeight="1" x14ac:dyDescent="0.35">
      <c r="A788" s="209" t="str">
        <f>RIGHT($C$84,3)&amp;"*"&amp;RIGHT($C$83,4)&amp;"*"&amp;BF$55&amp;"*"&amp;"A"</f>
        <v xml:space="preserve"> #1*008*8460*A</v>
      </c>
      <c r="B788" s="284"/>
      <c r="C788" s="287">
        <f>ROUND(BF60,2)</f>
        <v>0</v>
      </c>
      <c r="D788" s="284">
        <f>ROUND(BF61,0)</f>
        <v>311676</v>
      </c>
      <c r="E788" s="284">
        <f>ROUND(BF62,0)</f>
        <v>82252</v>
      </c>
      <c r="F788" s="284">
        <f>ROUND(BF63,0)</f>
        <v>0</v>
      </c>
      <c r="G788" s="284">
        <f>ROUND(BF64,0)</f>
        <v>44834</v>
      </c>
      <c r="H788" s="284">
        <f>ROUND(BF65,0)</f>
        <v>507</v>
      </c>
      <c r="I788" s="284">
        <f>ROUND(BF66,0)</f>
        <v>117307</v>
      </c>
      <c r="J788" s="284">
        <f>ROUND(BF67,0)</f>
        <v>0</v>
      </c>
      <c r="K788" s="284">
        <f>ROUND(BF68,0)</f>
        <v>0</v>
      </c>
      <c r="L788" s="284">
        <f>ROUND(BF70,0)</f>
        <v>0</v>
      </c>
      <c r="M788" s="284">
        <f>ROUND(BF71,0)</f>
        <v>557150</v>
      </c>
      <c r="N788" s="284"/>
      <c r="O788" s="284"/>
      <c r="P788" s="284">
        <f>IF(BF77&gt;0,ROUND(BF77,0),0)</f>
        <v>0</v>
      </c>
      <c r="Q788" s="284">
        <f>IF(BF78&gt;0,ROUND(BF78,0),0)</f>
        <v>0</v>
      </c>
      <c r="R788" s="284">
        <f>IF(BF79&gt;0,ROUND(BF79,0),0)</f>
        <v>0</v>
      </c>
      <c r="S788" s="284">
        <f>IF(BF80&gt;0,ROUND(BF80,0),0)</f>
        <v>0</v>
      </c>
      <c r="T788" s="287">
        <f>IF(BF81&gt;0,ROUND(BF81,2),0)</f>
        <v>0</v>
      </c>
      <c r="U788" s="284"/>
      <c r="X788" s="284"/>
      <c r="Y788" s="284"/>
      <c r="Z788" s="284"/>
    </row>
    <row r="789" spans="1:26" ht="12.65" customHeight="1" x14ac:dyDescent="0.35">
      <c r="A789" s="209" t="str">
        <f>RIGHT($C$84,3)&amp;"*"&amp;RIGHT($C$83,4)&amp;"*"&amp;BG$55&amp;"*"&amp;"A"</f>
        <v xml:space="preserve"> #1*008*8470*A</v>
      </c>
      <c r="B789" s="284"/>
      <c r="C789" s="287">
        <f>ROUND(BG60,2)</f>
        <v>0</v>
      </c>
      <c r="D789" s="284">
        <f>ROUND(BG61,0)</f>
        <v>0</v>
      </c>
      <c r="E789" s="284">
        <f>ROUND(BG62,0)</f>
        <v>0</v>
      </c>
      <c r="F789" s="284">
        <f>ROUND(BG63,0)</f>
        <v>0</v>
      </c>
      <c r="G789" s="284">
        <f>ROUND(BG64,0)</f>
        <v>0</v>
      </c>
      <c r="H789" s="284">
        <f>ROUND(BG65,0)</f>
        <v>0</v>
      </c>
      <c r="I789" s="284">
        <f>ROUND(BG66,0)</f>
        <v>0</v>
      </c>
      <c r="J789" s="284">
        <f>ROUND(BG67,0)</f>
        <v>0</v>
      </c>
      <c r="K789" s="284">
        <f>ROUND(BG68,0)</f>
        <v>0</v>
      </c>
      <c r="L789" s="284">
        <f>ROUND(BG70,0)</f>
        <v>0</v>
      </c>
      <c r="M789" s="284">
        <f>ROUND(BG71,0)</f>
        <v>0</v>
      </c>
      <c r="N789" s="284"/>
      <c r="O789" s="284"/>
      <c r="P789" s="284">
        <f>IF(BG77&gt;0,ROUND(BG77,0),0)</f>
        <v>0</v>
      </c>
      <c r="Q789" s="284">
        <f>IF(BG78&gt;0,ROUND(BG78,0),0)</f>
        <v>0</v>
      </c>
      <c r="R789" s="284">
        <f>IF(BG79&gt;0,ROUND(BG79,0),0)</f>
        <v>0</v>
      </c>
      <c r="S789" s="284">
        <f>IF(BG80&gt;0,ROUND(BG80,0),0)</f>
        <v>0</v>
      </c>
      <c r="T789" s="287">
        <f>IF(BG81&gt;0,ROUND(BG81,2),0)</f>
        <v>0</v>
      </c>
      <c r="U789" s="284"/>
      <c r="X789" s="284"/>
      <c r="Y789" s="284"/>
      <c r="Z789" s="284"/>
    </row>
    <row r="790" spans="1:26" ht="12.65" customHeight="1" x14ac:dyDescent="0.35">
      <c r="A790" s="209" t="str">
        <f>RIGHT($C$84,3)&amp;"*"&amp;RIGHT($C$83,4)&amp;"*"&amp;BH$55&amp;"*"&amp;"A"</f>
        <v xml:space="preserve"> #1*008*8480*A</v>
      </c>
      <c r="B790" s="284"/>
      <c r="C790" s="287">
        <f>ROUND(BH60,2)</f>
        <v>0</v>
      </c>
      <c r="D790" s="284">
        <f>ROUND(BH61,0)</f>
        <v>381722</v>
      </c>
      <c r="E790" s="284">
        <f>ROUND(BH62,0)</f>
        <v>97947</v>
      </c>
      <c r="F790" s="284">
        <f>ROUND(BH63,0)</f>
        <v>0</v>
      </c>
      <c r="G790" s="284">
        <f>ROUND(BH64,0)</f>
        <v>49773</v>
      </c>
      <c r="H790" s="284">
        <f>ROUND(BH65,0)</f>
        <v>0</v>
      </c>
      <c r="I790" s="284">
        <f>ROUND(BH66,0)</f>
        <v>443589</v>
      </c>
      <c r="J790" s="284">
        <f>ROUND(BH67,0)</f>
        <v>0</v>
      </c>
      <c r="K790" s="284">
        <f>ROUND(BH68,0)</f>
        <v>0</v>
      </c>
      <c r="L790" s="284">
        <f>ROUND(BH70,0)</f>
        <v>0</v>
      </c>
      <c r="M790" s="284">
        <f>ROUND(BH71,0)</f>
        <v>985304</v>
      </c>
      <c r="N790" s="284"/>
      <c r="O790" s="284"/>
      <c r="P790" s="284">
        <f>IF(BH77&gt;0,ROUND(BH77,0),0)</f>
        <v>0</v>
      </c>
      <c r="Q790" s="284">
        <f>IF(BH78&gt;0,ROUND(BH78,0),0)</f>
        <v>0</v>
      </c>
      <c r="R790" s="284">
        <f>IF(BH79&gt;0,ROUND(BH79,0),0)</f>
        <v>0</v>
      </c>
      <c r="S790" s="284">
        <f>IF(BH80&gt;0,ROUND(BH80,0),0)</f>
        <v>0</v>
      </c>
      <c r="T790" s="287">
        <f>IF(BH81&gt;0,ROUND(BH81,2),0)</f>
        <v>0</v>
      </c>
      <c r="U790" s="284"/>
      <c r="X790" s="284"/>
      <c r="Y790" s="284"/>
      <c r="Z790" s="284"/>
    </row>
    <row r="791" spans="1:26" ht="12.65" customHeight="1" x14ac:dyDescent="0.35">
      <c r="A791" s="209" t="str">
        <f>RIGHT($C$84,3)&amp;"*"&amp;RIGHT($C$83,4)&amp;"*"&amp;BI$55&amp;"*"&amp;"A"</f>
        <v xml:space="preserve"> #1*008*8490*A</v>
      </c>
      <c r="B791" s="284"/>
      <c r="C791" s="287">
        <f>ROUND(BI60,2)</f>
        <v>0</v>
      </c>
      <c r="D791" s="284">
        <f>ROUND(BI61,0)</f>
        <v>0</v>
      </c>
      <c r="E791" s="284">
        <f>ROUND(BI62,0)</f>
        <v>0</v>
      </c>
      <c r="F791" s="284">
        <f>ROUND(BI63,0)</f>
        <v>0</v>
      </c>
      <c r="G791" s="284">
        <f>ROUND(BI64,0)</f>
        <v>0</v>
      </c>
      <c r="H791" s="284">
        <f>ROUND(BI65,0)</f>
        <v>0</v>
      </c>
      <c r="I791" s="284">
        <f>ROUND(BI66,0)</f>
        <v>0</v>
      </c>
      <c r="J791" s="284">
        <f>ROUND(BI67,0)</f>
        <v>0</v>
      </c>
      <c r="K791" s="284">
        <f>ROUND(BI68,0)</f>
        <v>0</v>
      </c>
      <c r="L791" s="284">
        <f>ROUND(BI70,0)</f>
        <v>0</v>
      </c>
      <c r="M791" s="284">
        <f>ROUND(BI71,0)</f>
        <v>0</v>
      </c>
      <c r="N791" s="284"/>
      <c r="O791" s="284"/>
      <c r="P791" s="284">
        <f>IF(BI77&gt;0,ROUND(BI77,0),0)</f>
        <v>0</v>
      </c>
      <c r="Q791" s="284">
        <f>IF(BI78&gt;0,ROUND(BI78,0),0)</f>
        <v>0</v>
      </c>
      <c r="R791" s="284">
        <f>IF(BI79&gt;0,ROUND(BI79,0),0)</f>
        <v>0</v>
      </c>
      <c r="S791" s="284">
        <f>IF(BI80&gt;0,ROUND(BI80,0),0)</f>
        <v>0</v>
      </c>
      <c r="T791" s="287">
        <f>IF(BI81&gt;0,ROUND(BI81,2),0)</f>
        <v>0</v>
      </c>
      <c r="U791" s="284"/>
      <c r="X791" s="284"/>
      <c r="Y791" s="284"/>
      <c r="Z791" s="284"/>
    </row>
    <row r="792" spans="1:26" ht="12.65" customHeight="1" x14ac:dyDescent="0.35">
      <c r="A792" s="209" t="str">
        <f>RIGHT($C$84,3)&amp;"*"&amp;RIGHT($C$83,4)&amp;"*"&amp;BJ$55&amp;"*"&amp;"A"</f>
        <v xml:space="preserve"> #1*008*8510*A</v>
      </c>
      <c r="B792" s="284"/>
      <c r="C792" s="287">
        <f>ROUND(BJ60,2)</f>
        <v>0</v>
      </c>
      <c r="D792" s="284">
        <f>ROUND(BJ61,0)</f>
        <v>152225</v>
      </c>
      <c r="E792" s="284">
        <f>ROUND(BJ62,0)</f>
        <v>29413</v>
      </c>
      <c r="F792" s="284">
        <f>ROUND(BJ63,0)</f>
        <v>0</v>
      </c>
      <c r="G792" s="284">
        <f>ROUND(BJ64,0)</f>
        <v>5919</v>
      </c>
      <c r="H792" s="284">
        <f>ROUND(BJ65,0)</f>
        <v>0</v>
      </c>
      <c r="I792" s="284">
        <f>ROUND(BJ66,0)</f>
        <v>135608</v>
      </c>
      <c r="J792" s="284">
        <f>ROUND(BJ67,0)</f>
        <v>0</v>
      </c>
      <c r="K792" s="284">
        <f>ROUND(BJ68,0)</f>
        <v>3138</v>
      </c>
      <c r="L792" s="284">
        <f>ROUND(BJ70,0)</f>
        <v>0</v>
      </c>
      <c r="M792" s="284">
        <f>ROUND(BJ71,0)</f>
        <v>328273</v>
      </c>
      <c r="N792" s="284"/>
      <c r="O792" s="284"/>
      <c r="P792" s="284">
        <f>IF(BJ77&gt;0,ROUND(BJ77,0),0)</f>
        <v>0</v>
      </c>
      <c r="Q792" s="284">
        <f>IF(BJ78&gt;0,ROUND(BJ78,0),0)</f>
        <v>0</v>
      </c>
      <c r="R792" s="284">
        <f>IF(BJ79&gt;0,ROUND(BJ79,0),0)</f>
        <v>0</v>
      </c>
      <c r="S792" s="284">
        <f>IF(BJ80&gt;0,ROUND(BJ80,0),0)</f>
        <v>0</v>
      </c>
      <c r="T792" s="287">
        <f>IF(BJ81&gt;0,ROUND(BJ81,2),0)</f>
        <v>0</v>
      </c>
      <c r="U792" s="284"/>
      <c r="X792" s="284"/>
      <c r="Y792" s="284"/>
      <c r="Z792" s="284"/>
    </row>
    <row r="793" spans="1:26" ht="12.65" customHeight="1" x14ac:dyDescent="0.35">
      <c r="A793" s="209" t="str">
        <f>RIGHT($C$84,3)&amp;"*"&amp;RIGHT($C$83,4)&amp;"*"&amp;BK$55&amp;"*"&amp;"A"</f>
        <v xml:space="preserve"> #1*008*8530*A</v>
      </c>
      <c r="B793" s="284"/>
      <c r="C793" s="287">
        <f>ROUND(BK60,2)</f>
        <v>0</v>
      </c>
      <c r="D793" s="284">
        <f>ROUND(BK61,0)</f>
        <v>431676</v>
      </c>
      <c r="E793" s="284">
        <f>ROUND(BK62,0)</f>
        <v>126114</v>
      </c>
      <c r="F793" s="284">
        <f>ROUND(BK63,0)</f>
        <v>24086</v>
      </c>
      <c r="G793" s="284">
        <f>ROUND(BK64,0)</f>
        <v>4561</v>
      </c>
      <c r="H793" s="284">
        <f>ROUND(BK65,0)</f>
        <v>0</v>
      </c>
      <c r="I793" s="284">
        <f>ROUND(BK66,0)</f>
        <v>330038</v>
      </c>
      <c r="J793" s="284">
        <f>ROUND(BK67,0)</f>
        <v>0</v>
      </c>
      <c r="K793" s="284">
        <f>ROUND(BK68,0)</f>
        <v>2243</v>
      </c>
      <c r="L793" s="284">
        <f>ROUND(BK70,0)</f>
        <v>0</v>
      </c>
      <c r="M793" s="284">
        <f>ROUND(BK71,0)</f>
        <v>980434</v>
      </c>
      <c r="N793" s="284"/>
      <c r="O793" s="284"/>
      <c r="P793" s="284">
        <f>IF(BK77&gt;0,ROUND(BK77,0),0)</f>
        <v>0</v>
      </c>
      <c r="Q793" s="284">
        <f>IF(BK78&gt;0,ROUND(BK78,0),0)</f>
        <v>0</v>
      </c>
      <c r="R793" s="284">
        <f>IF(BK79&gt;0,ROUND(BK79,0),0)</f>
        <v>0</v>
      </c>
      <c r="S793" s="284">
        <f>IF(BK80&gt;0,ROUND(BK80,0),0)</f>
        <v>0</v>
      </c>
      <c r="T793" s="287">
        <f>IF(BK81&gt;0,ROUND(BK81,2),0)</f>
        <v>0</v>
      </c>
      <c r="U793" s="284"/>
      <c r="X793" s="284"/>
      <c r="Y793" s="284"/>
      <c r="Z793" s="284"/>
    </row>
    <row r="794" spans="1:26" ht="12.65" customHeight="1" x14ac:dyDescent="0.35">
      <c r="A794" s="209" t="str">
        <f>RIGHT($C$84,3)&amp;"*"&amp;RIGHT($C$83,4)&amp;"*"&amp;BL$55&amp;"*"&amp;"A"</f>
        <v xml:space="preserve"> #1*008*8560*A</v>
      </c>
      <c r="B794" s="284"/>
      <c r="C794" s="287">
        <f>ROUND(BL60,2)</f>
        <v>0</v>
      </c>
      <c r="D794" s="284">
        <f>ROUND(BL61,0)</f>
        <v>184001</v>
      </c>
      <c r="E794" s="284">
        <f>ROUND(BL62,0)</f>
        <v>53680</v>
      </c>
      <c r="F794" s="284">
        <f>ROUND(BL63,0)</f>
        <v>0</v>
      </c>
      <c r="G794" s="284">
        <f>ROUND(BL64,0)</f>
        <v>9622</v>
      </c>
      <c r="H794" s="284">
        <f>ROUND(BL65,0)</f>
        <v>0</v>
      </c>
      <c r="I794" s="284">
        <f>ROUND(BL66,0)</f>
        <v>576</v>
      </c>
      <c r="J794" s="284">
        <f>ROUND(BL67,0)</f>
        <v>0</v>
      </c>
      <c r="K794" s="284">
        <f>ROUND(BL68,0)</f>
        <v>1807</v>
      </c>
      <c r="L794" s="284">
        <f>ROUND(BL70,0)</f>
        <v>0</v>
      </c>
      <c r="M794" s="284">
        <f>ROUND(BL71,0)</f>
        <v>250080</v>
      </c>
      <c r="N794" s="284"/>
      <c r="O794" s="284"/>
      <c r="P794" s="284">
        <f>IF(BL77&gt;0,ROUND(BL77,0),0)</f>
        <v>0</v>
      </c>
      <c r="Q794" s="284">
        <f>IF(BL78&gt;0,ROUND(BL78,0),0)</f>
        <v>0</v>
      </c>
      <c r="R794" s="284">
        <f>IF(BL79&gt;0,ROUND(BL79,0),0)</f>
        <v>0</v>
      </c>
      <c r="S794" s="284">
        <f>IF(BL80&gt;0,ROUND(BL80,0),0)</f>
        <v>0</v>
      </c>
      <c r="T794" s="287">
        <f>IF(BL81&gt;0,ROUND(BL81,2),0)</f>
        <v>0</v>
      </c>
      <c r="U794" s="284"/>
      <c r="X794" s="284"/>
      <c r="Y794" s="284"/>
      <c r="Z794" s="284"/>
    </row>
    <row r="795" spans="1:26" ht="12.65" customHeight="1" x14ac:dyDescent="0.35">
      <c r="A795" s="209" t="str">
        <f>RIGHT($C$84,3)&amp;"*"&amp;RIGHT($C$83,4)&amp;"*"&amp;BM$55&amp;"*"&amp;"A"</f>
        <v xml:space="preserve"> #1*008*8590*A</v>
      </c>
      <c r="B795" s="284"/>
      <c r="C795" s="287">
        <f>ROUND(BM60,2)</f>
        <v>0</v>
      </c>
      <c r="D795" s="284">
        <f>ROUND(BM61,0)</f>
        <v>0</v>
      </c>
      <c r="E795" s="284">
        <f>ROUND(BM62,0)</f>
        <v>0</v>
      </c>
      <c r="F795" s="284">
        <f>ROUND(BM63,0)</f>
        <v>0</v>
      </c>
      <c r="G795" s="284">
        <f>ROUND(BM64,0)</f>
        <v>0</v>
      </c>
      <c r="H795" s="284">
        <f>ROUND(BM65,0)</f>
        <v>0</v>
      </c>
      <c r="I795" s="284">
        <f>ROUND(BM66,0)</f>
        <v>0</v>
      </c>
      <c r="J795" s="284">
        <f>ROUND(BM67,0)</f>
        <v>0</v>
      </c>
      <c r="K795" s="284">
        <f>ROUND(BM68,0)</f>
        <v>0</v>
      </c>
      <c r="L795" s="284">
        <f>ROUND(BM70,0)</f>
        <v>0</v>
      </c>
      <c r="M795" s="284">
        <f>ROUND(BM71,0)</f>
        <v>0</v>
      </c>
      <c r="N795" s="284"/>
      <c r="O795" s="284"/>
      <c r="P795" s="284">
        <f>IF(BM77&gt;0,ROUND(BM77,0),0)</f>
        <v>0</v>
      </c>
      <c r="Q795" s="284">
        <f>IF(BM78&gt;0,ROUND(BM78,0),0)</f>
        <v>0</v>
      </c>
      <c r="R795" s="284">
        <f>IF(BM79&gt;0,ROUND(BM79,0),0)</f>
        <v>0</v>
      </c>
      <c r="S795" s="284">
        <f>IF(BM80&gt;0,ROUND(BM80,0),0)</f>
        <v>0</v>
      </c>
      <c r="T795" s="287">
        <f>IF(BM81&gt;0,ROUND(BM81,2),0)</f>
        <v>0</v>
      </c>
      <c r="U795" s="284"/>
      <c r="X795" s="284"/>
      <c r="Y795" s="284"/>
      <c r="Z795" s="284"/>
    </row>
    <row r="796" spans="1:26" ht="12.65" customHeight="1" x14ac:dyDescent="0.35">
      <c r="A796" s="209" t="str">
        <f>RIGHT($C$84,3)&amp;"*"&amp;RIGHT($C$83,4)&amp;"*"&amp;BN$55&amp;"*"&amp;"A"</f>
        <v xml:space="preserve"> #1*008*8610*A</v>
      </c>
      <c r="B796" s="284"/>
      <c r="C796" s="287">
        <f>ROUND(BN60,2)</f>
        <v>0</v>
      </c>
      <c r="D796" s="284">
        <f>ROUND(BN61,0)</f>
        <v>861769</v>
      </c>
      <c r="E796" s="284">
        <f>ROUND(BN62,0)</f>
        <v>423742</v>
      </c>
      <c r="F796" s="284">
        <f>ROUND(BN63,0)</f>
        <v>24690</v>
      </c>
      <c r="G796" s="284">
        <f>ROUND(BN64,0)</f>
        <v>42109</v>
      </c>
      <c r="H796" s="284">
        <f>ROUND(BN65,0)</f>
        <v>0</v>
      </c>
      <c r="I796" s="284">
        <f>ROUND(BN66,0)</f>
        <v>152685</v>
      </c>
      <c r="J796" s="284">
        <f>ROUND(BN67,0)</f>
        <v>1046968</v>
      </c>
      <c r="K796" s="284">
        <f>ROUND(BN68,0)</f>
        <v>15704</v>
      </c>
      <c r="L796" s="284">
        <f>ROUND(BN70,0)</f>
        <v>0</v>
      </c>
      <c r="M796" s="284">
        <f>ROUND(BN71,0)</f>
        <v>3345606</v>
      </c>
      <c r="N796" s="284"/>
      <c r="O796" s="284"/>
      <c r="P796" s="284">
        <f>IF(BN77&gt;0,ROUND(BN77,0),0)</f>
        <v>0</v>
      </c>
      <c r="Q796" s="284">
        <f>IF(BN78&gt;0,ROUND(BN78,0),0)</f>
        <v>0</v>
      </c>
      <c r="R796" s="284">
        <f>IF(BN79&gt;0,ROUND(BN79,0),0)</f>
        <v>0</v>
      </c>
      <c r="S796" s="284">
        <f>IF(BN80&gt;0,ROUND(BN80,0),0)</f>
        <v>0</v>
      </c>
      <c r="T796" s="287">
        <f>IF(BN81&gt;0,ROUND(BN81,2),0)</f>
        <v>0</v>
      </c>
      <c r="U796" s="284"/>
      <c r="X796" s="284"/>
      <c r="Y796" s="284"/>
      <c r="Z796" s="284"/>
    </row>
    <row r="797" spans="1:26" ht="12.65" customHeight="1" x14ac:dyDescent="0.35">
      <c r="A797" s="209" t="str">
        <f>RIGHT($C$84,3)&amp;"*"&amp;RIGHT($C$83,4)&amp;"*"&amp;BO$55&amp;"*"&amp;"A"</f>
        <v xml:space="preserve"> #1*008*8620*A</v>
      </c>
      <c r="B797" s="284"/>
      <c r="C797" s="287">
        <f>ROUND(BO60,2)</f>
        <v>0</v>
      </c>
      <c r="D797" s="284">
        <f>ROUND(BO61,0)</f>
        <v>0</v>
      </c>
      <c r="E797" s="284">
        <f>ROUND(BO62,0)</f>
        <v>0</v>
      </c>
      <c r="F797" s="284">
        <f>ROUND(BO63,0)</f>
        <v>0</v>
      </c>
      <c r="G797" s="284">
        <f>ROUND(BO64,0)</f>
        <v>0</v>
      </c>
      <c r="H797" s="284">
        <f>ROUND(BO65,0)</f>
        <v>0</v>
      </c>
      <c r="I797" s="284">
        <f>ROUND(BO66,0)</f>
        <v>0</v>
      </c>
      <c r="J797" s="284">
        <f>ROUND(BO67,0)</f>
        <v>0</v>
      </c>
      <c r="K797" s="284">
        <f>ROUND(BO68,0)</f>
        <v>0</v>
      </c>
      <c r="L797" s="284">
        <f>ROUND(BO70,0)</f>
        <v>0</v>
      </c>
      <c r="M797" s="284">
        <f>ROUND(BO71,0)</f>
        <v>0</v>
      </c>
      <c r="N797" s="284"/>
      <c r="O797" s="284"/>
      <c r="P797" s="284">
        <f>IF(BO77&gt;0,ROUND(BO77,0),0)</f>
        <v>0</v>
      </c>
      <c r="Q797" s="284">
        <f>IF(BO78&gt;0,ROUND(BO78,0),0)</f>
        <v>0</v>
      </c>
      <c r="R797" s="284">
        <f>IF(BO79&gt;0,ROUND(BO79,0),0)</f>
        <v>0</v>
      </c>
      <c r="S797" s="284">
        <f>IF(BO80&gt;0,ROUND(BO80,0),0)</f>
        <v>0</v>
      </c>
      <c r="T797" s="287">
        <f>IF(BO81&gt;0,ROUND(BO81,2),0)</f>
        <v>0</v>
      </c>
      <c r="U797" s="284"/>
      <c r="X797" s="284"/>
      <c r="Y797" s="284"/>
      <c r="Z797" s="284"/>
    </row>
    <row r="798" spans="1:26" ht="12.65" customHeight="1" x14ac:dyDescent="0.35">
      <c r="A798" s="209" t="str">
        <f>RIGHT($C$84,3)&amp;"*"&amp;RIGHT($C$83,4)&amp;"*"&amp;BP$55&amp;"*"&amp;"A"</f>
        <v xml:space="preserve"> #1*008*8630*A</v>
      </c>
      <c r="B798" s="284"/>
      <c r="C798" s="287">
        <f>ROUND(BP60,2)</f>
        <v>0</v>
      </c>
      <c r="D798" s="284">
        <f>ROUND(BP61,0)</f>
        <v>0</v>
      </c>
      <c r="E798" s="284">
        <f>ROUND(BP62,0)</f>
        <v>0</v>
      </c>
      <c r="F798" s="284">
        <f>ROUND(BP63,0)</f>
        <v>0</v>
      </c>
      <c r="G798" s="284">
        <f>ROUND(BP64,0)</f>
        <v>0</v>
      </c>
      <c r="H798" s="284">
        <f>ROUND(BP65,0)</f>
        <v>0</v>
      </c>
      <c r="I798" s="284">
        <f>ROUND(BP66,0)</f>
        <v>0</v>
      </c>
      <c r="J798" s="284">
        <f>ROUND(BP67,0)</f>
        <v>0</v>
      </c>
      <c r="K798" s="284">
        <f>ROUND(BP68,0)</f>
        <v>0</v>
      </c>
      <c r="L798" s="284">
        <f>ROUND(BP70,0)</f>
        <v>0</v>
      </c>
      <c r="M798" s="284">
        <f>ROUND(BP71,0)</f>
        <v>0</v>
      </c>
      <c r="N798" s="284"/>
      <c r="O798" s="284"/>
      <c r="P798" s="284">
        <f>IF(BP77&gt;0,ROUND(BP77,0),0)</f>
        <v>0</v>
      </c>
      <c r="Q798" s="284">
        <f>IF(BP78&gt;0,ROUND(BP78,0),0)</f>
        <v>0</v>
      </c>
      <c r="R798" s="284">
        <f>IF(BP79&gt;0,ROUND(BP79,0),0)</f>
        <v>0</v>
      </c>
      <c r="S798" s="284">
        <f>IF(BP80&gt;0,ROUND(BP80,0),0)</f>
        <v>0</v>
      </c>
      <c r="T798" s="287">
        <f>IF(BP81&gt;0,ROUND(BP81,2),0)</f>
        <v>0</v>
      </c>
      <c r="U798" s="284"/>
      <c r="X798" s="284"/>
      <c r="Y798" s="284"/>
      <c r="Z798" s="284"/>
    </row>
    <row r="799" spans="1:26" ht="12.65" customHeight="1" x14ac:dyDescent="0.35">
      <c r="A799" s="209" t="str">
        <f>RIGHT($C$84,3)&amp;"*"&amp;RIGHT($C$83,4)&amp;"*"&amp;BQ$55&amp;"*"&amp;"A"</f>
        <v xml:space="preserve"> #1*008*8640*A</v>
      </c>
      <c r="B799" s="284"/>
      <c r="C799" s="287">
        <f>ROUND(BQ60,2)</f>
        <v>0</v>
      </c>
      <c r="D799" s="284">
        <f>ROUND(BQ61,0)</f>
        <v>0</v>
      </c>
      <c r="E799" s="284">
        <f>ROUND(BQ62,0)</f>
        <v>0</v>
      </c>
      <c r="F799" s="284">
        <f>ROUND(BQ63,0)</f>
        <v>0</v>
      </c>
      <c r="G799" s="284">
        <f>ROUND(BQ64,0)</f>
        <v>0</v>
      </c>
      <c r="H799" s="284">
        <f>ROUND(BQ65,0)</f>
        <v>0</v>
      </c>
      <c r="I799" s="284">
        <f>ROUND(BQ66,0)</f>
        <v>0</v>
      </c>
      <c r="J799" s="284">
        <f>ROUND(BQ67,0)</f>
        <v>0</v>
      </c>
      <c r="K799" s="284">
        <f>ROUND(BQ68,0)</f>
        <v>0</v>
      </c>
      <c r="L799" s="284">
        <f>ROUND(BQ70,0)</f>
        <v>0</v>
      </c>
      <c r="M799" s="284">
        <f>ROUND(BQ71,0)</f>
        <v>0</v>
      </c>
      <c r="N799" s="284"/>
      <c r="O799" s="284"/>
      <c r="P799" s="284">
        <f>IF(BQ77&gt;0,ROUND(BQ77,0),0)</f>
        <v>0</v>
      </c>
      <c r="Q799" s="284">
        <f>IF(BQ78&gt;0,ROUND(BQ78,0),0)</f>
        <v>0</v>
      </c>
      <c r="R799" s="284">
        <f>IF(BQ79&gt;0,ROUND(BQ79,0),0)</f>
        <v>0</v>
      </c>
      <c r="S799" s="284">
        <f>IF(BQ80&gt;0,ROUND(BQ80,0),0)</f>
        <v>0</v>
      </c>
      <c r="T799" s="287">
        <f>IF(BQ81&gt;0,ROUND(BQ81,2),0)</f>
        <v>0</v>
      </c>
      <c r="U799" s="284"/>
      <c r="X799" s="284"/>
      <c r="Y799" s="284"/>
      <c r="Z799" s="284"/>
    </row>
    <row r="800" spans="1:26" ht="12.65" customHeight="1" x14ac:dyDescent="0.35">
      <c r="A800" s="209" t="str">
        <f>RIGHT($C$84,3)&amp;"*"&amp;RIGHT($C$83,4)&amp;"*"&amp;BR$55&amp;"*"&amp;"A"</f>
        <v xml:space="preserve"> #1*008*8650*A</v>
      </c>
      <c r="B800" s="284"/>
      <c r="C800" s="287">
        <f>ROUND(BR60,2)</f>
        <v>0</v>
      </c>
      <c r="D800" s="284">
        <f>ROUND(BR61,0)</f>
        <v>0</v>
      </c>
      <c r="E800" s="284">
        <f>ROUND(BR62,0)</f>
        <v>0</v>
      </c>
      <c r="F800" s="284">
        <f>ROUND(BR63,0)</f>
        <v>0</v>
      </c>
      <c r="G800" s="284">
        <f>ROUND(BR64,0)</f>
        <v>0</v>
      </c>
      <c r="H800" s="284">
        <f>ROUND(BR65,0)</f>
        <v>0</v>
      </c>
      <c r="I800" s="284">
        <f>ROUND(BR66,0)</f>
        <v>0</v>
      </c>
      <c r="J800" s="284">
        <f>ROUND(BR67,0)</f>
        <v>0</v>
      </c>
      <c r="K800" s="284">
        <f>ROUND(BR68,0)</f>
        <v>0</v>
      </c>
      <c r="L800" s="284">
        <f>ROUND(BR70,0)</f>
        <v>0</v>
      </c>
      <c r="M800" s="284">
        <f>ROUND(BR71,0)</f>
        <v>0</v>
      </c>
      <c r="N800" s="284"/>
      <c r="O800" s="284"/>
      <c r="P800" s="284">
        <f>IF(BR77&gt;0,ROUND(BR77,0),0)</f>
        <v>0</v>
      </c>
      <c r="Q800" s="284">
        <f>IF(BR78&gt;0,ROUND(BR78,0),0)</f>
        <v>0</v>
      </c>
      <c r="R800" s="284">
        <f>IF(BR79&gt;0,ROUND(BR79,0),0)</f>
        <v>0</v>
      </c>
      <c r="S800" s="284">
        <f>IF(BR80&gt;0,ROUND(BR80,0),0)</f>
        <v>0</v>
      </c>
      <c r="T800" s="287">
        <f>IF(BR81&gt;0,ROUND(BR81,2),0)</f>
        <v>0</v>
      </c>
      <c r="U800" s="284"/>
      <c r="X800" s="284"/>
      <c r="Y800" s="284"/>
      <c r="Z800" s="284"/>
    </row>
    <row r="801" spans="1:26" ht="12.65" customHeight="1" x14ac:dyDescent="0.35">
      <c r="A801" s="209" t="str">
        <f>RIGHT($C$84,3)&amp;"*"&amp;RIGHT($C$83,4)&amp;"*"&amp;BS$55&amp;"*"&amp;"A"</f>
        <v xml:space="preserve"> #1*008*8660*A</v>
      </c>
      <c r="B801" s="284"/>
      <c r="C801" s="287">
        <f>ROUND(BS60,2)</f>
        <v>0</v>
      </c>
      <c r="D801" s="284">
        <f>ROUND(BS61,0)</f>
        <v>0</v>
      </c>
      <c r="E801" s="284">
        <f>ROUND(BS62,0)</f>
        <v>0</v>
      </c>
      <c r="F801" s="284">
        <f>ROUND(BS63,0)</f>
        <v>0</v>
      </c>
      <c r="G801" s="284">
        <f>ROUND(BS64,0)</f>
        <v>0</v>
      </c>
      <c r="H801" s="284">
        <f>ROUND(BS65,0)</f>
        <v>0</v>
      </c>
      <c r="I801" s="284">
        <f>ROUND(BS66,0)</f>
        <v>0</v>
      </c>
      <c r="J801" s="284">
        <f>ROUND(BS67,0)</f>
        <v>0</v>
      </c>
      <c r="K801" s="284">
        <f>ROUND(BS68,0)</f>
        <v>0</v>
      </c>
      <c r="L801" s="284">
        <f>ROUND(BS70,0)</f>
        <v>0</v>
      </c>
      <c r="M801" s="284">
        <f>ROUND(BS71,0)</f>
        <v>0</v>
      </c>
      <c r="N801" s="284"/>
      <c r="O801" s="284"/>
      <c r="P801" s="284">
        <f>IF(BS77&gt;0,ROUND(BS77,0),0)</f>
        <v>0</v>
      </c>
      <c r="Q801" s="284">
        <f>IF(BS78&gt;0,ROUND(BS78,0),0)</f>
        <v>0</v>
      </c>
      <c r="R801" s="284">
        <f>IF(BS79&gt;0,ROUND(BS79,0),0)</f>
        <v>0</v>
      </c>
      <c r="S801" s="284">
        <f>IF(BS80&gt;0,ROUND(BS80,0),0)</f>
        <v>0</v>
      </c>
      <c r="T801" s="287">
        <f>IF(BS81&gt;0,ROUND(BS81,2),0)</f>
        <v>0</v>
      </c>
      <c r="U801" s="284"/>
      <c r="X801" s="284"/>
      <c r="Y801" s="284"/>
      <c r="Z801" s="284"/>
    </row>
    <row r="802" spans="1:26" ht="12.65" customHeight="1" x14ac:dyDescent="0.35">
      <c r="A802" s="209" t="str">
        <f>RIGHT($C$84,3)&amp;"*"&amp;RIGHT($C$83,4)&amp;"*"&amp;BT$55&amp;"*"&amp;"A"</f>
        <v xml:space="preserve"> #1*008*8670*A</v>
      </c>
      <c r="B802" s="284"/>
      <c r="C802" s="287">
        <f>ROUND(BT60,2)</f>
        <v>0</v>
      </c>
      <c r="D802" s="284">
        <f>ROUND(BT61,0)</f>
        <v>0</v>
      </c>
      <c r="E802" s="284">
        <f>ROUND(BT62,0)</f>
        <v>0</v>
      </c>
      <c r="F802" s="284">
        <f>ROUND(BT63,0)</f>
        <v>0</v>
      </c>
      <c r="G802" s="284">
        <f>ROUND(BT64,0)</f>
        <v>0</v>
      </c>
      <c r="H802" s="284">
        <f>ROUND(BT65,0)</f>
        <v>0</v>
      </c>
      <c r="I802" s="284">
        <f>ROUND(BT66,0)</f>
        <v>0</v>
      </c>
      <c r="J802" s="284">
        <f>ROUND(BT67,0)</f>
        <v>0</v>
      </c>
      <c r="K802" s="284">
        <f>ROUND(BT68,0)</f>
        <v>0</v>
      </c>
      <c r="L802" s="284">
        <f>ROUND(BT70,0)</f>
        <v>0</v>
      </c>
      <c r="M802" s="284">
        <f>ROUND(BT71,0)</f>
        <v>0</v>
      </c>
      <c r="N802" s="284"/>
      <c r="O802" s="284"/>
      <c r="P802" s="284">
        <f>IF(BT77&gt;0,ROUND(BT77,0),0)</f>
        <v>0</v>
      </c>
      <c r="Q802" s="284">
        <f>IF(BT78&gt;0,ROUND(BT78,0),0)</f>
        <v>0</v>
      </c>
      <c r="R802" s="284">
        <f>IF(BT79&gt;0,ROUND(BT79,0),0)</f>
        <v>0</v>
      </c>
      <c r="S802" s="284">
        <f>IF(BT80&gt;0,ROUND(BT80,0),0)</f>
        <v>0</v>
      </c>
      <c r="T802" s="287">
        <f>IF(BT81&gt;0,ROUND(BT81,2),0)</f>
        <v>0</v>
      </c>
      <c r="U802" s="284"/>
      <c r="X802" s="284"/>
      <c r="Y802" s="284"/>
      <c r="Z802" s="284"/>
    </row>
    <row r="803" spans="1:26" ht="12.65" customHeight="1" x14ac:dyDescent="0.35">
      <c r="A803" s="209" t="str">
        <f>RIGHT($C$84,3)&amp;"*"&amp;RIGHT($C$83,4)&amp;"*"&amp;BU$55&amp;"*"&amp;"A"</f>
        <v xml:space="preserve"> #1*008*8680*A</v>
      </c>
      <c r="B803" s="284"/>
      <c r="C803" s="287">
        <f>ROUND(BU60,2)</f>
        <v>0</v>
      </c>
      <c r="D803" s="284">
        <f>ROUND(BU61,0)</f>
        <v>0</v>
      </c>
      <c r="E803" s="284">
        <f>ROUND(BU62,0)</f>
        <v>0</v>
      </c>
      <c r="F803" s="284">
        <f>ROUND(BU63,0)</f>
        <v>0</v>
      </c>
      <c r="G803" s="284">
        <f>ROUND(BU64,0)</f>
        <v>0</v>
      </c>
      <c r="H803" s="284">
        <f>ROUND(BU65,0)</f>
        <v>0</v>
      </c>
      <c r="I803" s="284">
        <f>ROUND(BU66,0)</f>
        <v>0</v>
      </c>
      <c r="J803" s="284">
        <f>ROUND(BU67,0)</f>
        <v>0</v>
      </c>
      <c r="K803" s="284">
        <f>ROUND(BU68,0)</f>
        <v>0</v>
      </c>
      <c r="L803" s="284">
        <f>ROUND(BU70,0)</f>
        <v>0</v>
      </c>
      <c r="M803" s="284">
        <f>ROUND(BU71,0)</f>
        <v>0</v>
      </c>
      <c r="N803" s="284"/>
      <c r="O803" s="284"/>
      <c r="P803" s="284">
        <f>IF(BU77&gt;0,ROUND(BU77,0),0)</f>
        <v>0</v>
      </c>
      <c r="Q803" s="284">
        <f>IF(BU78&gt;0,ROUND(BU78,0),0)</f>
        <v>0</v>
      </c>
      <c r="R803" s="284">
        <f>IF(BU79&gt;0,ROUND(BU79,0),0)</f>
        <v>0</v>
      </c>
      <c r="S803" s="284">
        <f>IF(BU80&gt;0,ROUND(BU80,0),0)</f>
        <v>0</v>
      </c>
      <c r="T803" s="287">
        <f>IF(BU81&gt;0,ROUND(BU81,2),0)</f>
        <v>0</v>
      </c>
      <c r="U803" s="284"/>
      <c r="X803" s="284"/>
      <c r="Y803" s="284"/>
      <c r="Z803" s="284"/>
    </row>
    <row r="804" spans="1:26" ht="12.65" customHeight="1" x14ac:dyDescent="0.35">
      <c r="A804" s="209" t="str">
        <f>RIGHT($C$84,3)&amp;"*"&amp;RIGHT($C$83,4)&amp;"*"&amp;BV$55&amp;"*"&amp;"A"</f>
        <v xml:space="preserve"> #1*008*8690*A</v>
      </c>
      <c r="B804" s="284"/>
      <c r="C804" s="287">
        <f>ROUND(BV60,2)</f>
        <v>0</v>
      </c>
      <c r="D804" s="284">
        <f>ROUND(BV61,0)</f>
        <v>294378</v>
      </c>
      <c r="E804" s="284">
        <f>ROUND(BV62,0)</f>
        <v>115028</v>
      </c>
      <c r="F804" s="284">
        <f>ROUND(BV63,0)</f>
        <v>0</v>
      </c>
      <c r="G804" s="284">
        <f>ROUND(BV64,0)</f>
        <v>1610</v>
      </c>
      <c r="H804" s="284">
        <f>ROUND(BV65,0)</f>
        <v>0</v>
      </c>
      <c r="I804" s="284">
        <f>ROUND(BV66,0)</f>
        <v>14728</v>
      </c>
      <c r="J804" s="284">
        <f>ROUND(BV67,0)</f>
        <v>0</v>
      </c>
      <c r="K804" s="284">
        <f>ROUND(BV68,0)</f>
        <v>2243</v>
      </c>
      <c r="L804" s="284">
        <f>ROUND(BV70,0)</f>
        <v>0</v>
      </c>
      <c r="M804" s="284">
        <f>ROUND(BV71,0)</f>
        <v>429790</v>
      </c>
      <c r="N804" s="284"/>
      <c r="O804" s="284"/>
      <c r="P804" s="284">
        <f>IF(BV77&gt;0,ROUND(BV77,0),0)</f>
        <v>0</v>
      </c>
      <c r="Q804" s="284">
        <f>IF(BV78&gt;0,ROUND(BV78,0),0)</f>
        <v>0</v>
      </c>
      <c r="R804" s="284">
        <f>IF(BV79&gt;0,ROUND(BV79,0),0)</f>
        <v>0</v>
      </c>
      <c r="S804" s="284">
        <f>IF(BV80&gt;0,ROUND(BV80,0),0)</f>
        <v>0</v>
      </c>
      <c r="T804" s="287">
        <f>IF(BV81&gt;0,ROUND(BV81,2),0)</f>
        <v>0</v>
      </c>
      <c r="U804" s="284"/>
      <c r="X804" s="284"/>
      <c r="Y804" s="284"/>
      <c r="Z804" s="284"/>
    </row>
    <row r="805" spans="1:26" ht="12.65" customHeight="1" x14ac:dyDescent="0.35">
      <c r="A805" s="209" t="str">
        <f>RIGHT($C$84,3)&amp;"*"&amp;RIGHT($C$83,4)&amp;"*"&amp;BW$55&amp;"*"&amp;"A"</f>
        <v xml:space="preserve"> #1*008*8700*A</v>
      </c>
      <c r="B805" s="284"/>
      <c r="C805" s="287">
        <f>ROUND(BW60,2)</f>
        <v>0</v>
      </c>
      <c r="D805" s="284">
        <f>ROUND(BW61,0)</f>
        <v>0</v>
      </c>
      <c r="E805" s="284">
        <f>ROUND(BW62,0)</f>
        <v>0</v>
      </c>
      <c r="F805" s="284">
        <f>ROUND(BW63,0)</f>
        <v>0</v>
      </c>
      <c r="G805" s="284">
        <f>ROUND(BW64,0)</f>
        <v>0</v>
      </c>
      <c r="H805" s="284">
        <f>ROUND(BW65,0)</f>
        <v>0</v>
      </c>
      <c r="I805" s="284">
        <f>ROUND(BW66,0)</f>
        <v>0</v>
      </c>
      <c r="J805" s="284">
        <f>ROUND(BW67,0)</f>
        <v>0</v>
      </c>
      <c r="K805" s="284">
        <f>ROUND(BW68,0)</f>
        <v>0</v>
      </c>
      <c r="L805" s="284">
        <f>ROUND(BW70,0)</f>
        <v>0</v>
      </c>
      <c r="M805" s="284">
        <f>ROUND(BW71,0)</f>
        <v>0</v>
      </c>
      <c r="N805" s="284"/>
      <c r="O805" s="284"/>
      <c r="P805" s="284">
        <f>IF(BW77&gt;0,ROUND(BW77,0),0)</f>
        <v>0</v>
      </c>
      <c r="Q805" s="284">
        <f>IF(BW78&gt;0,ROUND(BW78,0),0)</f>
        <v>0</v>
      </c>
      <c r="R805" s="284">
        <f>IF(BW79&gt;0,ROUND(BW79,0),0)</f>
        <v>0</v>
      </c>
      <c r="S805" s="284">
        <f>IF(BW80&gt;0,ROUND(BW80,0),0)</f>
        <v>0</v>
      </c>
      <c r="T805" s="287">
        <f>IF(BW81&gt;0,ROUND(BW81,2),0)</f>
        <v>0</v>
      </c>
      <c r="U805" s="284"/>
      <c r="X805" s="284"/>
      <c r="Y805" s="284"/>
      <c r="Z805" s="284"/>
    </row>
    <row r="806" spans="1:26" ht="12.65" customHeight="1" x14ac:dyDescent="0.35">
      <c r="A806" s="209" t="str">
        <f>RIGHT($C$84,3)&amp;"*"&amp;RIGHT($C$83,4)&amp;"*"&amp;BX$55&amp;"*"&amp;"A"</f>
        <v xml:space="preserve"> #1*008*8710*A</v>
      </c>
      <c r="B806" s="284"/>
      <c r="C806" s="287">
        <f>ROUND(BX60,2)</f>
        <v>0</v>
      </c>
      <c r="D806" s="284">
        <f>ROUND(BX61,0)</f>
        <v>0</v>
      </c>
      <c r="E806" s="284">
        <f>ROUND(BX62,0)</f>
        <v>0</v>
      </c>
      <c r="F806" s="284">
        <f>ROUND(BX63,0)</f>
        <v>0</v>
      </c>
      <c r="G806" s="284">
        <f>ROUND(BX64,0)</f>
        <v>0</v>
      </c>
      <c r="H806" s="284">
        <f>ROUND(BX65,0)</f>
        <v>0</v>
      </c>
      <c r="I806" s="284">
        <f>ROUND(BX66,0)</f>
        <v>0</v>
      </c>
      <c r="J806" s="284">
        <f>ROUND(BX67,0)</f>
        <v>0</v>
      </c>
      <c r="K806" s="284">
        <f>ROUND(BX68,0)</f>
        <v>0</v>
      </c>
      <c r="L806" s="284">
        <f>ROUND(BX70,0)</f>
        <v>0</v>
      </c>
      <c r="M806" s="284">
        <f>ROUND(BX71,0)</f>
        <v>0</v>
      </c>
      <c r="N806" s="284"/>
      <c r="O806" s="284"/>
      <c r="P806" s="284">
        <f>IF(BX77&gt;0,ROUND(BX77,0),0)</f>
        <v>0</v>
      </c>
      <c r="Q806" s="284">
        <f>IF(BX78&gt;0,ROUND(BX78,0),0)</f>
        <v>0</v>
      </c>
      <c r="R806" s="284">
        <f>IF(BX79&gt;0,ROUND(BX79,0),0)</f>
        <v>0</v>
      </c>
      <c r="S806" s="284">
        <f>IF(BX80&gt;0,ROUND(BX80,0),0)</f>
        <v>0</v>
      </c>
      <c r="T806" s="287">
        <f>IF(BX81&gt;0,ROUND(BX81,2),0)</f>
        <v>0</v>
      </c>
      <c r="U806" s="284"/>
      <c r="X806" s="284"/>
      <c r="Y806" s="284"/>
      <c r="Z806" s="284"/>
    </row>
    <row r="807" spans="1:26" ht="12.65" customHeight="1" x14ac:dyDescent="0.35">
      <c r="A807" s="209" t="str">
        <f>RIGHT($C$84,3)&amp;"*"&amp;RIGHT($C$83,4)&amp;"*"&amp;BY$55&amp;"*"&amp;"A"</f>
        <v xml:space="preserve"> #1*008*8720*A</v>
      </c>
      <c r="B807" s="284"/>
      <c r="C807" s="287">
        <f>ROUND(BY60,2)</f>
        <v>0</v>
      </c>
      <c r="D807" s="284">
        <f>ROUND(BY61,0)</f>
        <v>239527</v>
      </c>
      <c r="E807" s="284">
        <f>ROUND(BY62,0)</f>
        <v>70687</v>
      </c>
      <c r="F807" s="284">
        <f>ROUND(BY63,0)</f>
        <v>0</v>
      </c>
      <c r="G807" s="284">
        <f>ROUND(BY64,0)</f>
        <v>1697</v>
      </c>
      <c r="H807" s="284">
        <f>ROUND(BY65,0)</f>
        <v>0</v>
      </c>
      <c r="I807" s="284">
        <f>ROUND(BY66,0)</f>
        <v>0</v>
      </c>
      <c r="J807" s="284">
        <f>ROUND(BY67,0)</f>
        <v>0</v>
      </c>
      <c r="K807" s="284">
        <f>ROUND(BY68,0)</f>
        <v>0</v>
      </c>
      <c r="L807" s="284">
        <f>ROUND(BY70,0)</f>
        <v>0</v>
      </c>
      <c r="M807" s="284">
        <f>ROUND(BY71,0)</f>
        <v>313228</v>
      </c>
      <c r="N807" s="284"/>
      <c r="O807" s="284"/>
      <c r="P807" s="284">
        <f>IF(BY77&gt;0,ROUND(BY77,0),0)</f>
        <v>0</v>
      </c>
      <c r="Q807" s="284">
        <f>IF(BY78&gt;0,ROUND(BY78,0),0)</f>
        <v>0</v>
      </c>
      <c r="R807" s="284">
        <f>IF(BY79&gt;0,ROUND(BY79,0),0)</f>
        <v>0</v>
      </c>
      <c r="S807" s="284">
        <f>IF(BY80&gt;0,ROUND(BY80,0),0)</f>
        <v>0</v>
      </c>
      <c r="T807" s="287">
        <f>IF(BY81&gt;0,ROUND(BY81,2),0)</f>
        <v>0</v>
      </c>
      <c r="U807" s="284"/>
      <c r="X807" s="284"/>
      <c r="Y807" s="284"/>
      <c r="Z807" s="284"/>
    </row>
    <row r="808" spans="1:26" ht="12.65" customHeight="1" x14ac:dyDescent="0.35">
      <c r="A808" s="209" t="str">
        <f>RIGHT($C$84,3)&amp;"*"&amp;RIGHT($C$83,4)&amp;"*"&amp;BZ$55&amp;"*"&amp;"A"</f>
        <v xml:space="preserve"> #1*008*8730*A</v>
      </c>
      <c r="B808" s="284"/>
      <c r="C808" s="287">
        <f>ROUND(BZ60,2)</f>
        <v>0</v>
      </c>
      <c r="D808" s="284">
        <f>ROUND(BZ61,0)</f>
        <v>0</v>
      </c>
      <c r="E808" s="284">
        <f>ROUND(BZ62,0)</f>
        <v>0</v>
      </c>
      <c r="F808" s="284">
        <f>ROUND(BZ63,0)</f>
        <v>0</v>
      </c>
      <c r="G808" s="284">
        <f>ROUND(BZ64,0)</f>
        <v>0</v>
      </c>
      <c r="H808" s="284">
        <f>ROUND(BZ65,0)</f>
        <v>0</v>
      </c>
      <c r="I808" s="284">
        <f>ROUND(BZ66,0)</f>
        <v>0</v>
      </c>
      <c r="J808" s="284">
        <f>ROUND(BZ67,0)</f>
        <v>0</v>
      </c>
      <c r="K808" s="284">
        <f>ROUND(BZ68,0)</f>
        <v>0</v>
      </c>
      <c r="L808" s="284">
        <f>ROUND(BZ70,0)</f>
        <v>0</v>
      </c>
      <c r="M808" s="284">
        <f>ROUND(BZ71,0)</f>
        <v>0</v>
      </c>
      <c r="N808" s="284"/>
      <c r="O808" s="284"/>
      <c r="P808" s="284">
        <f>IF(BZ77&gt;0,ROUND(BZ77,0),0)</f>
        <v>0</v>
      </c>
      <c r="Q808" s="284">
        <f>IF(BZ78&gt;0,ROUND(BZ78,0),0)</f>
        <v>0</v>
      </c>
      <c r="R808" s="284">
        <f>IF(BZ79&gt;0,ROUND(BZ79,0),0)</f>
        <v>0</v>
      </c>
      <c r="S808" s="284">
        <f>IF(BZ80&gt;0,ROUND(BZ80,0),0)</f>
        <v>0</v>
      </c>
      <c r="T808" s="287">
        <f>IF(BZ81&gt;0,ROUND(BZ81,2),0)</f>
        <v>0</v>
      </c>
      <c r="U808" s="284"/>
      <c r="X808" s="284"/>
      <c r="Y808" s="284"/>
      <c r="Z808" s="284"/>
    </row>
    <row r="809" spans="1:26" ht="12.65" customHeight="1" x14ac:dyDescent="0.35">
      <c r="A809" s="209" t="str">
        <f>RIGHT($C$84,3)&amp;"*"&amp;RIGHT($C$83,4)&amp;"*"&amp;CA$55&amp;"*"&amp;"A"</f>
        <v xml:space="preserve"> #1*008*8740*A</v>
      </c>
      <c r="B809" s="284"/>
      <c r="C809" s="287">
        <f>ROUND(CA60,2)</f>
        <v>0</v>
      </c>
      <c r="D809" s="284">
        <f>ROUND(CA61,0)</f>
        <v>0</v>
      </c>
      <c r="E809" s="284">
        <f>ROUND(CA62,0)</f>
        <v>0</v>
      </c>
      <c r="F809" s="284">
        <f>ROUND(CA63,0)</f>
        <v>0</v>
      </c>
      <c r="G809" s="284">
        <f>ROUND(CA64,0)</f>
        <v>0</v>
      </c>
      <c r="H809" s="284">
        <f>ROUND(CA65,0)</f>
        <v>0</v>
      </c>
      <c r="I809" s="284">
        <f>ROUND(CA66,0)</f>
        <v>0</v>
      </c>
      <c r="J809" s="284">
        <f>ROUND(CA67,0)</f>
        <v>0</v>
      </c>
      <c r="K809" s="284">
        <f>ROUND(CA68,0)</f>
        <v>0</v>
      </c>
      <c r="L809" s="284">
        <f>ROUND(CA70,0)</f>
        <v>0</v>
      </c>
      <c r="M809" s="284">
        <f>ROUND(CA71,0)</f>
        <v>0</v>
      </c>
      <c r="N809" s="284"/>
      <c r="O809" s="284"/>
      <c r="P809" s="284">
        <f>IF(CA77&gt;0,ROUND(CA77,0),0)</f>
        <v>0</v>
      </c>
      <c r="Q809" s="284">
        <f>IF(CA78&gt;0,ROUND(CA78,0),0)</f>
        <v>0</v>
      </c>
      <c r="R809" s="284">
        <f>IF(CA79&gt;0,ROUND(CA79,0),0)</f>
        <v>0</v>
      </c>
      <c r="S809" s="284">
        <f>IF(CA80&gt;0,ROUND(CA80,0),0)</f>
        <v>0</v>
      </c>
      <c r="T809" s="287">
        <f>IF(CA81&gt;0,ROUND(CA81,2),0)</f>
        <v>0</v>
      </c>
      <c r="U809" s="284"/>
      <c r="X809" s="284"/>
      <c r="Y809" s="284"/>
      <c r="Z809" s="284"/>
    </row>
    <row r="810" spans="1:26" ht="12.65" customHeight="1" x14ac:dyDescent="0.35">
      <c r="A810" s="209" t="str">
        <f>RIGHT($C$84,3)&amp;"*"&amp;RIGHT($C$83,4)&amp;"*"&amp;CB$55&amp;"*"&amp;"A"</f>
        <v xml:space="preserve"> #1*008*8770*A</v>
      </c>
      <c r="B810" s="284"/>
      <c r="C810" s="287">
        <f>ROUND(CB60,2)</f>
        <v>0</v>
      </c>
      <c r="D810" s="284">
        <f>ROUND(CB61,0)</f>
        <v>0</v>
      </c>
      <c r="E810" s="284">
        <f>ROUND(CB62,0)</f>
        <v>0</v>
      </c>
      <c r="F810" s="284">
        <f>ROUND(CB63,0)</f>
        <v>0</v>
      </c>
      <c r="G810" s="284">
        <f>ROUND(CB64,0)</f>
        <v>0</v>
      </c>
      <c r="H810" s="284">
        <f>ROUND(CB65,0)</f>
        <v>0</v>
      </c>
      <c r="I810" s="284">
        <f>ROUND(CB66,0)</f>
        <v>0</v>
      </c>
      <c r="J810" s="284">
        <f>ROUND(CB67,0)</f>
        <v>0</v>
      </c>
      <c r="K810" s="284">
        <f>ROUND(CB68,0)</f>
        <v>0</v>
      </c>
      <c r="L810" s="284">
        <f>ROUND(CB70,0)</f>
        <v>0</v>
      </c>
      <c r="M810" s="284">
        <f>ROUND(CB71,0)</f>
        <v>0</v>
      </c>
      <c r="N810" s="284"/>
      <c r="O810" s="284"/>
      <c r="P810" s="284">
        <f>IF(CB77&gt;0,ROUND(CB77,0),0)</f>
        <v>0</v>
      </c>
      <c r="Q810" s="284">
        <f>IF(CB78&gt;0,ROUND(CB78,0),0)</f>
        <v>0</v>
      </c>
      <c r="R810" s="284">
        <f>IF(CB79&gt;0,ROUND(CB79,0),0)</f>
        <v>0</v>
      </c>
      <c r="S810" s="284">
        <f>IF(CB80&gt;0,ROUND(CB80,0),0)</f>
        <v>0</v>
      </c>
      <c r="T810" s="287">
        <f>IF(CB81&gt;0,ROUND(CB81,2),0)</f>
        <v>0</v>
      </c>
      <c r="U810" s="284"/>
      <c r="X810" s="284"/>
      <c r="Y810" s="284"/>
      <c r="Z810" s="284"/>
    </row>
    <row r="811" spans="1:26" ht="12.65" customHeight="1" x14ac:dyDescent="0.35">
      <c r="A811" s="209" t="str">
        <f>RIGHT($C$84,3)&amp;"*"&amp;RIGHT($C$83,4)&amp;"*"&amp;CC$55&amp;"*"&amp;"A"</f>
        <v xml:space="preserve"> #1*008*8790*A</v>
      </c>
      <c r="B811" s="284"/>
      <c r="C811" s="287">
        <f>ROUND(CC60,2)</f>
        <v>0</v>
      </c>
      <c r="D811" s="284">
        <f>ROUND(CC61,0)</f>
        <v>69375</v>
      </c>
      <c r="E811" s="284">
        <f>ROUND(CC62,0)</f>
        <v>6293</v>
      </c>
      <c r="F811" s="284">
        <f>ROUND(CC63,0)</f>
        <v>0</v>
      </c>
      <c r="G811" s="284">
        <f>ROUND(CC64,0)</f>
        <v>7845</v>
      </c>
      <c r="H811" s="284">
        <f>ROUND(CC65,0)</f>
        <v>0</v>
      </c>
      <c r="I811" s="284">
        <f>ROUND(CC66,0)</f>
        <v>0</v>
      </c>
      <c r="J811" s="284">
        <f>ROUND(CC67,0)</f>
        <v>0</v>
      </c>
      <c r="K811" s="284">
        <f>ROUND(CC68,0)</f>
        <v>0</v>
      </c>
      <c r="L811" s="284">
        <f>ROUND(CC70,0)</f>
        <v>0</v>
      </c>
      <c r="M811" s="284">
        <f>ROUND(CC71,0)</f>
        <v>84179</v>
      </c>
      <c r="N811" s="284"/>
      <c r="O811" s="284"/>
      <c r="P811" s="284">
        <f>IF(CC77&gt;0,ROUND(CC77,0),0)</f>
        <v>0</v>
      </c>
      <c r="Q811" s="284">
        <f>IF(CC78&gt;0,ROUND(CC78,0),0)</f>
        <v>0</v>
      </c>
      <c r="R811" s="284">
        <f>IF(CC79&gt;0,ROUND(CC79,0),0)</f>
        <v>0</v>
      </c>
      <c r="S811" s="284">
        <f>IF(CC80&gt;0,ROUND(CC80,0),0)</f>
        <v>0</v>
      </c>
      <c r="T811" s="287">
        <f>IF(CC81&gt;0,ROUND(CC81,2),0)</f>
        <v>0</v>
      </c>
      <c r="U811" s="284"/>
      <c r="X811" s="284"/>
      <c r="Y811" s="284"/>
      <c r="Z811" s="284"/>
    </row>
    <row r="812" spans="1:26" ht="12.65" customHeight="1" x14ac:dyDescent="0.35">
      <c r="A812" s="209" t="str">
        <f>RIGHT($C$84,3)&amp;"*"&amp;RIGHT($C$83,4)&amp;"*"&amp;"9000"&amp;"*"&amp;"A"</f>
        <v xml:space="preserve"> #1*008*9000*A</v>
      </c>
      <c r="B812" s="284"/>
      <c r="C812" s="288"/>
      <c r="D812" s="284"/>
      <c r="E812" s="284"/>
      <c r="F812" s="284"/>
      <c r="G812" s="284"/>
      <c r="H812" s="284"/>
      <c r="I812" s="284"/>
      <c r="J812" s="284"/>
      <c r="K812" s="284"/>
      <c r="L812" s="284"/>
      <c r="M812" s="284"/>
      <c r="N812" s="284"/>
      <c r="O812" s="284"/>
      <c r="P812" s="284"/>
      <c r="Q812" s="284"/>
      <c r="R812" s="284"/>
      <c r="S812" s="284"/>
      <c r="T812" s="288"/>
      <c r="U812" s="284">
        <f>ROUND(CD70,0)</f>
        <v>0</v>
      </c>
      <c r="V812" s="180">
        <f>ROUND(CD69,0)</f>
        <v>0</v>
      </c>
      <c r="W812" s="180">
        <f>ROUND(CD71,0)</f>
        <v>0</v>
      </c>
      <c r="X812" s="284">
        <f>ROUND(CE73,0)</f>
        <v>3417356</v>
      </c>
      <c r="Y812" s="284">
        <f>ROUND(C132,0)</f>
        <v>0</v>
      </c>
      <c r="Z812" s="284"/>
    </row>
    <row r="814" spans="1:26" ht="12.65" customHeight="1" x14ac:dyDescent="0.35">
      <c r="B814" s="199" t="s">
        <v>1004</v>
      </c>
      <c r="C814" s="264">
        <f t="shared" ref="C814:K814" si="22">SUM(C733:C812)</f>
        <v>0</v>
      </c>
      <c r="D814" s="180">
        <f t="shared" si="22"/>
        <v>13136785</v>
      </c>
      <c r="E814" s="180">
        <f t="shared" si="22"/>
        <v>3225722</v>
      </c>
      <c r="F814" s="180">
        <f t="shared" si="22"/>
        <v>3106398</v>
      </c>
      <c r="G814" s="180">
        <f t="shared" si="22"/>
        <v>1720313</v>
      </c>
      <c r="H814" s="180">
        <f t="shared" si="22"/>
        <v>309685</v>
      </c>
      <c r="I814" s="180">
        <f t="shared" si="22"/>
        <v>2060619</v>
      </c>
      <c r="J814" s="180">
        <f t="shared" si="22"/>
        <v>1237939</v>
      </c>
      <c r="K814" s="180">
        <f t="shared" si="22"/>
        <v>435410</v>
      </c>
      <c r="L814" s="180">
        <f>SUM(L733:L812)+SUM(U733:U812)</f>
        <v>0</v>
      </c>
      <c r="M814" s="180">
        <f>SUM(M733:M812)+SUM(W733:W812)</f>
        <v>26400751</v>
      </c>
      <c r="N814" s="180">
        <f t="shared" ref="N814:Z814" si="23">SUM(N733:N812)</f>
        <v>37076</v>
      </c>
      <c r="O814" s="180">
        <f t="shared" si="23"/>
        <v>41377006</v>
      </c>
      <c r="P814" s="180">
        <f t="shared" si="23"/>
        <v>4752</v>
      </c>
      <c r="Q814" s="180">
        <f t="shared" si="23"/>
        <v>0</v>
      </c>
      <c r="R814" s="180">
        <f t="shared" si="23"/>
        <v>0</v>
      </c>
      <c r="S814" s="180">
        <f t="shared" si="23"/>
        <v>25</v>
      </c>
      <c r="T814" s="264">
        <f t="shared" si="23"/>
        <v>0</v>
      </c>
      <c r="U814" s="180">
        <f t="shared" si="23"/>
        <v>0</v>
      </c>
      <c r="V814" s="180">
        <f t="shared" si="23"/>
        <v>0</v>
      </c>
      <c r="W814" s="180">
        <f t="shared" si="23"/>
        <v>0</v>
      </c>
      <c r="X814" s="180">
        <f t="shared" si="23"/>
        <v>3417356</v>
      </c>
      <c r="Y814" s="180">
        <f t="shared" si="23"/>
        <v>0</v>
      </c>
      <c r="Z814" s="180" t="e">
        <f t="shared" si="23"/>
        <v>#DIV/0!</v>
      </c>
    </row>
    <row r="815" spans="1:26" ht="12.65" customHeight="1" x14ac:dyDescent="0.35">
      <c r="B815" s="180" t="s">
        <v>1005</v>
      </c>
      <c r="C815" s="264">
        <f>CE60</f>
        <v>0</v>
      </c>
      <c r="D815" s="180">
        <f>CE61</f>
        <v>13136786.169999998</v>
      </c>
      <c r="E815" s="180">
        <f>CE62</f>
        <v>3225722</v>
      </c>
      <c r="F815" s="180">
        <f>CE63</f>
        <v>3106398.2900000005</v>
      </c>
      <c r="G815" s="180">
        <f>CE64</f>
        <v>1720315.0099999993</v>
      </c>
      <c r="H815" s="241">
        <f>CE65</f>
        <v>309685.92199999996</v>
      </c>
      <c r="I815" s="241">
        <f>CE66</f>
        <v>2060619.3299999998</v>
      </c>
      <c r="J815" s="241">
        <f>CE67</f>
        <v>1237939</v>
      </c>
      <c r="K815" s="241">
        <f>CE68</f>
        <v>435410.58999999991</v>
      </c>
      <c r="L815" s="241">
        <f>CE70</f>
        <v>0</v>
      </c>
      <c r="M815" s="241">
        <f>CE71</f>
        <v>26400749.421999991</v>
      </c>
      <c r="N815" s="180">
        <f>CE76</f>
        <v>85625</v>
      </c>
      <c r="O815" s="180">
        <f>CE74</f>
        <v>41377004.74000001</v>
      </c>
      <c r="P815" s="180">
        <f>CE77</f>
        <v>4752</v>
      </c>
      <c r="Q815" s="180">
        <f>CE78</f>
        <v>0</v>
      </c>
      <c r="R815" s="180">
        <f>CE79</f>
        <v>0</v>
      </c>
      <c r="S815" s="180">
        <f>CE80</f>
        <v>23.910000000000004</v>
      </c>
      <c r="T815" s="264">
        <f>CE81</f>
        <v>0</v>
      </c>
      <c r="U815" s="181" t="s">
        <v>1006</v>
      </c>
      <c r="V815" s="181" t="s">
        <v>1006</v>
      </c>
      <c r="W815" s="181" t="s">
        <v>1006</v>
      </c>
      <c r="X815" s="181" t="s">
        <v>1006</v>
      </c>
      <c r="Y815" s="181" t="s">
        <v>1006</v>
      </c>
      <c r="Z815" s="180" t="e">
        <f>M715</f>
        <v>#DIV/0!</v>
      </c>
    </row>
    <row r="816" spans="1:26" ht="12.65" customHeight="1" x14ac:dyDescent="0.35">
      <c r="B816" s="180" t="s">
        <v>471</v>
      </c>
      <c r="C816" s="199" t="s">
        <v>1007</v>
      </c>
      <c r="D816" s="180">
        <f>C376</f>
        <v>0</v>
      </c>
      <c r="E816" s="180">
        <f>C377</f>
        <v>0</v>
      </c>
      <c r="F816" s="180">
        <f>C378</f>
        <v>13136786.27</v>
      </c>
      <c r="G816" s="241">
        <f>C379</f>
        <v>3225722.44</v>
      </c>
      <c r="H816" s="241">
        <f>C380</f>
        <v>3106398.26</v>
      </c>
      <c r="I816" s="241">
        <f>C381</f>
        <v>1720315.01</v>
      </c>
      <c r="J816" s="241">
        <f>C382</f>
        <v>309685.61</v>
      </c>
      <c r="K816" s="241">
        <f>C383</f>
        <v>2060619.33</v>
      </c>
      <c r="L816" s="241">
        <f>C384+C385+C386+C388</f>
        <v>2087810.9100000001</v>
      </c>
      <c r="M816" s="241">
        <f>C368</f>
        <v>0</v>
      </c>
      <c r="N816" s="180">
        <f>D360</f>
        <v>0</v>
      </c>
      <c r="O816" s="180">
        <f>C358</f>
        <v>0</v>
      </c>
    </row>
  </sheetData>
  <mergeCells count="1">
    <mergeCell ref="B220:C220"/>
  </mergeCells>
  <phoneticPr fontId="0" type="noConversion"/>
  <hyperlinks>
    <hyperlink ref="A16" r:id="rId1" xr:uid="{00000000-0004-0000-0A00-000000000000}"/>
    <hyperlink ref="A17" r:id="rId2" xr:uid="{00000000-0004-0000-0A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3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5" defaultRowHeight="13.3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3.75" thickBot="1" x14ac:dyDescent="0.3">
      <c r="J1" s="166" t="s">
        <v>1008</v>
      </c>
    </row>
    <row r="2" spans="2:13" ht="15.45" thickTop="1" x14ac:dyDescent="0.35">
      <c r="B2" s="141"/>
      <c r="C2" s="142"/>
      <c r="D2" s="142"/>
      <c r="E2" s="142"/>
      <c r="F2" s="142"/>
      <c r="G2" s="142"/>
      <c r="H2" s="142"/>
      <c r="I2" s="142"/>
      <c r="J2" s="143"/>
    </row>
    <row r="3" spans="2:13" ht="15" x14ac:dyDescent="0.3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ht="15" x14ac:dyDescent="0.3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ht="15" x14ac:dyDescent="0.35">
      <c r="B5" s="144"/>
      <c r="C5" s="8"/>
      <c r="D5" s="8"/>
      <c r="E5" s="8"/>
      <c r="F5" s="8"/>
      <c r="G5" s="8"/>
      <c r="H5" s="8"/>
      <c r="I5" s="8"/>
      <c r="J5" s="145"/>
    </row>
    <row r="6" spans="2:13" ht="15.45" thickBot="1" x14ac:dyDescent="0.4">
      <c r="B6" s="146"/>
      <c r="C6" s="147"/>
      <c r="D6" s="147"/>
      <c r="E6" s="147"/>
      <c r="F6" s="147"/>
      <c r="G6" s="147"/>
      <c r="H6" s="147"/>
      <c r="I6" s="147"/>
      <c r="J6" s="291" t="s">
        <v>1263</v>
      </c>
    </row>
    <row r="7" spans="2:13" ht="15.45" thickTop="1" x14ac:dyDescent="0.35">
      <c r="B7" s="144"/>
      <c r="C7" s="8"/>
      <c r="D7" s="8"/>
      <c r="E7" s="8"/>
      <c r="F7" s="8"/>
      <c r="G7" s="8"/>
      <c r="H7" s="8"/>
      <c r="I7" s="8"/>
      <c r="J7" s="145"/>
    </row>
    <row r="8" spans="2:13" ht="15.45" thickBot="1" x14ac:dyDescent="0.4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45" thickTop="1" x14ac:dyDescent="0.3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ht="15" x14ac:dyDescent="0.35">
      <c r="B10" s="144"/>
      <c r="C10" s="8"/>
      <c r="D10" s="8"/>
      <c r="E10" s="8"/>
      <c r="F10" s="76" t="s">
        <v>1260</v>
      </c>
      <c r="G10" s="76"/>
      <c r="H10" s="8"/>
      <c r="I10" s="8"/>
      <c r="J10" s="145"/>
    </row>
    <row r="11" spans="2:13" ht="15" x14ac:dyDescent="0.35">
      <c r="B11" s="144"/>
      <c r="C11" s="8"/>
      <c r="D11" s="8"/>
      <c r="E11" s="8"/>
      <c r="F11" s="76"/>
      <c r="G11" s="76"/>
      <c r="H11" s="8"/>
      <c r="I11" s="8"/>
      <c r="J11" s="145"/>
    </row>
    <row r="12" spans="2:13" ht="15" x14ac:dyDescent="0.35">
      <c r="B12" s="144"/>
      <c r="C12" s="8"/>
      <c r="D12" s="8"/>
      <c r="E12" s="8"/>
      <c r="F12" s="76" t="s">
        <v>1261</v>
      </c>
      <c r="G12" s="76"/>
      <c r="H12" s="8"/>
      <c r="I12" s="8"/>
      <c r="J12" s="145"/>
    </row>
    <row r="13" spans="2:13" ht="15" x14ac:dyDescent="0.35">
      <c r="B13" s="144"/>
      <c r="C13" s="8"/>
      <c r="D13" s="8"/>
      <c r="E13" s="8"/>
      <c r="F13" s="76" t="s">
        <v>1262</v>
      </c>
      <c r="G13" s="76"/>
      <c r="H13" s="8"/>
      <c r="I13" s="8"/>
      <c r="J13" s="145"/>
    </row>
    <row r="14" spans="2:13" ht="15.45" thickBot="1" x14ac:dyDescent="0.4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45" thickTop="1" x14ac:dyDescent="0.35">
      <c r="B15" s="144"/>
      <c r="C15" s="8"/>
      <c r="D15" s="8"/>
      <c r="E15" s="8"/>
      <c r="F15" s="8"/>
      <c r="G15" s="8"/>
      <c r="H15" s="8"/>
      <c r="I15" s="8"/>
      <c r="J15" s="145"/>
      <c r="M15" s="260"/>
    </row>
    <row r="16" spans="2:13" ht="15.45" thickBot="1" x14ac:dyDescent="0.4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45" thickTop="1" x14ac:dyDescent="0.35">
      <c r="B17" s="141"/>
      <c r="C17" s="150" t="s">
        <v>1014</v>
      </c>
      <c r="D17" s="150"/>
      <c r="E17" s="142" t="str">
        <f>+data!C84</f>
        <v>Klickitat County Public Hospital District #1</v>
      </c>
      <c r="F17" s="149"/>
      <c r="G17" s="149"/>
      <c r="H17" s="142"/>
      <c r="I17" s="142"/>
      <c r="J17" s="143"/>
    </row>
    <row r="18" spans="2:10" ht="15" x14ac:dyDescent="0.35">
      <c r="B18" s="144"/>
      <c r="C18" s="151" t="s">
        <v>1015</v>
      </c>
      <c r="D18" s="151"/>
      <c r="E18" s="8" t="str">
        <f>+"H-"&amp;data!C83</f>
        <v>H-008</v>
      </c>
      <c r="F18" s="76"/>
      <c r="G18" s="76"/>
      <c r="H18" s="8"/>
      <c r="I18" s="8"/>
      <c r="J18" s="145"/>
    </row>
    <row r="19" spans="2:10" ht="15" x14ac:dyDescent="0.35">
      <c r="B19" s="144"/>
      <c r="C19" s="151" t="s">
        <v>1016</v>
      </c>
      <c r="D19" s="151"/>
      <c r="E19" s="8" t="str">
        <f>+data!C85</f>
        <v>310 S Roosevelt</v>
      </c>
      <c r="F19" s="76"/>
      <c r="G19" s="76"/>
      <c r="H19" s="8"/>
      <c r="I19" s="8"/>
      <c r="J19" s="145"/>
    </row>
    <row r="20" spans="2:10" ht="15" x14ac:dyDescent="0.35">
      <c r="B20" s="144"/>
      <c r="C20" s="151" t="s">
        <v>1017</v>
      </c>
      <c r="D20" s="151"/>
      <c r="E20" s="8" t="str">
        <f>+data!C86</f>
        <v>310 S Roosebelt</v>
      </c>
      <c r="F20" s="76"/>
      <c r="G20" s="76"/>
      <c r="H20" s="8"/>
      <c r="I20" s="8"/>
      <c r="J20" s="145"/>
    </row>
    <row r="21" spans="2:10" ht="15" x14ac:dyDescent="0.35">
      <c r="B21" s="144"/>
      <c r="C21" s="151" t="s">
        <v>1018</v>
      </c>
      <c r="D21" s="151"/>
      <c r="E21" s="8" t="str">
        <f>+data!C87</f>
        <v>Goldendale</v>
      </c>
      <c r="F21" s="76"/>
      <c r="G21" s="76"/>
      <c r="H21" s="8"/>
      <c r="I21" s="8"/>
      <c r="J21" s="145"/>
    </row>
    <row r="22" spans="2:10" ht="15.45" thickBot="1" x14ac:dyDescent="0.4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45" thickTop="1" x14ac:dyDescent="0.35">
      <c r="B23" s="144"/>
      <c r="C23" s="8"/>
      <c r="D23" s="8"/>
      <c r="E23" s="8"/>
      <c r="F23" s="8"/>
      <c r="G23" s="8"/>
      <c r="H23" s="8"/>
      <c r="I23" s="8"/>
      <c r="J23" s="145"/>
    </row>
    <row r="24" spans="2:10" ht="15" x14ac:dyDescent="0.35">
      <c r="B24" s="144"/>
      <c r="C24" s="8"/>
      <c r="D24" s="8"/>
      <c r="E24" s="8"/>
      <c r="F24" s="8"/>
      <c r="G24" s="8"/>
      <c r="H24" s="8"/>
      <c r="I24" s="8"/>
      <c r="J24" s="145"/>
    </row>
    <row r="25" spans="2:10" ht="15" x14ac:dyDescent="0.35">
      <c r="B25" s="144"/>
      <c r="C25" s="8"/>
      <c r="D25" s="8"/>
      <c r="E25" s="8"/>
      <c r="F25" s="8"/>
      <c r="G25" s="8"/>
      <c r="H25" s="8"/>
      <c r="I25" s="8"/>
      <c r="J25" s="145"/>
    </row>
    <row r="26" spans="2:10" ht="15" x14ac:dyDescent="0.3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ht="15" x14ac:dyDescent="0.3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ht="15" x14ac:dyDescent="0.35">
      <c r="B28" s="144" t="str">
        <f>+"by the Department of Health for the fiscal year ended "&amp;data!C82&amp;"."</f>
        <v>by the Department of Health for the fiscal year ended 12/31/2020.</v>
      </c>
      <c r="C28" s="8"/>
      <c r="D28" s="8"/>
      <c r="E28" s="8"/>
      <c r="F28" s="8"/>
      <c r="G28" s="8"/>
      <c r="H28" s="8"/>
      <c r="I28" s="8"/>
      <c r="J28" s="145"/>
    </row>
    <row r="29" spans="2:10" ht="15" x14ac:dyDescent="0.3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ht="15" x14ac:dyDescent="0.3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ht="15" x14ac:dyDescent="0.3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ht="15" x14ac:dyDescent="0.35">
      <c r="B32" s="144"/>
      <c r="C32" s="8"/>
      <c r="D32" s="8"/>
      <c r="E32" s="8"/>
      <c r="F32" s="8"/>
      <c r="G32" s="8"/>
      <c r="H32" s="8"/>
      <c r="I32" s="8"/>
      <c r="J32" s="145"/>
    </row>
    <row r="33" spans="2:10" ht="15" x14ac:dyDescent="0.3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ht="15" x14ac:dyDescent="0.3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ht="15" x14ac:dyDescent="0.3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ht="15" x14ac:dyDescent="0.3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ht="15" x14ac:dyDescent="0.3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ht="15" x14ac:dyDescent="0.35">
      <c r="B38" s="144"/>
      <c r="C38" s="8"/>
      <c r="D38" s="8"/>
      <c r="E38" s="8"/>
      <c r="F38" s="8"/>
      <c r="G38" s="8"/>
      <c r="H38" s="8"/>
      <c r="I38" s="8"/>
      <c r="J38" s="145"/>
    </row>
    <row r="39" spans="2:10" ht="15" x14ac:dyDescent="0.3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ht="15" x14ac:dyDescent="0.3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ht="15" x14ac:dyDescent="0.3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45" thickBot="1" x14ac:dyDescent="0.4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3.75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875" defaultRowHeight="18" customHeight="1" x14ac:dyDescent="0.35"/>
  <cols>
    <col min="1" max="1" width="4.75" style="2" customWidth="1"/>
    <col min="2" max="2" width="15.437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875" style="2"/>
  </cols>
  <sheetData>
    <row r="1" spans="1:13" ht="20.149999999999999" customHeight="1" x14ac:dyDescent="0.3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49999999999999" customHeight="1" x14ac:dyDescent="0.3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49999999999999" customHeight="1" x14ac:dyDescent="0.35">
      <c r="A3" s="7"/>
      <c r="B3" s="5"/>
      <c r="C3" s="5"/>
      <c r="D3" s="5"/>
      <c r="E3" s="5"/>
      <c r="F3" s="5"/>
      <c r="G3" s="5"/>
      <c r="H3" s="7"/>
    </row>
    <row r="4" spans="1:13" ht="20.149999999999999" customHeight="1" x14ac:dyDescent="0.35">
      <c r="A4" s="13">
        <v>1</v>
      </c>
      <c r="B4" s="127" t="str">
        <f>"Fiscal Year Ended:  "&amp;data!C82</f>
        <v>Fiscal Year Ended:  12/31/2020</v>
      </c>
      <c r="C4" s="38"/>
      <c r="D4" s="120"/>
      <c r="E4" s="70"/>
      <c r="F4" s="127" t="str">
        <f>"License Number:  "&amp;"H-"&amp;FIXED(data!C83,0)</f>
        <v>License Number:  H-8</v>
      </c>
      <c r="G4" s="24"/>
      <c r="H4" s="7"/>
    </row>
    <row r="5" spans="1:13" ht="20.149999999999999" customHeight="1" x14ac:dyDescent="0.35">
      <c r="A5" s="13">
        <v>2</v>
      </c>
      <c r="B5" s="49" t="s">
        <v>257</v>
      </c>
      <c r="C5" s="24"/>
      <c r="D5" s="127" t="str">
        <f>"  "&amp;data!C84</f>
        <v xml:space="preserve">  Klickitat County Public Hospital District #1</v>
      </c>
      <c r="E5" s="70"/>
      <c r="F5" s="70"/>
      <c r="G5" s="24"/>
      <c r="H5" s="7"/>
    </row>
    <row r="6" spans="1:13" ht="20.149999999999999" customHeight="1" x14ac:dyDescent="0.35">
      <c r="A6" s="13">
        <v>3</v>
      </c>
      <c r="B6" s="49" t="s">
        <v>259</v>
      </c>
      <c r="C6" s="24"/>
      <c r="D6" s="127" t="str">
        <f>"  "&amp;data!C88</f>
        <v xml:space="preserve">  Klickitat</v>
      </c>
      <c r="E6" s="70"/>
      <c r="F6" s="70"/>
      <c r="G6" s="24"/>
      <c r="H6" s="7"/>
    </row>
    <row r="7" spans="1:13" ht="20.149999999999999" customHeight="1" x14ac:dyDescent="0.35">
      <c r="A7" s="13">
        <v>4</v>
      </c>
      <c r="B7" s="49" t="s">
        <v>1029</v>
      </c>
      <c r="C7" s="24"/>
      <c r="D7" s="127" t="str">
        <f>"  "&amp;data!C89</f>
        <v xml:space="preserve">  Leslie Hiebert</v>
      </c>
      <c r="E7" s="70"/>
      <c r="F7" s="70"/>
      <c r="G7" s="24"/>
      <c r="H7" s="7"/>
    </row>
    <row r="8" spans="1:13" ht="20.149999999999999" customHeight="1" x14ac:dyDescent="0.35">
      <c r="A8" s="13">
        <v>5</v>
      </c>
      <c r="B8" s="49" t="s">
        <v>1030</v>
      </c>
      <c r="C8" s="24"/>
      <c r="D8" s="127" t="str">
        <f>"  "&amp;data!C90</f>
        <v xml:space="preserve">  Lori Groves </v>
      </c>
      <c r="E8" s="70"/>
      <c r="F8" s="70"/>
      <c r="G8" s="24"/>
      <c r="H8" s="7"/>
    </row>
    <row r="9" spans="1:13" ht="20.149999999999999" customHeight="1" x14ac:dyDescent="0.35">
      <c r="A9" s="13">
        <v>6</v>
      </c>
      <c r="B9" s="49" t="s">
        <v>1031</v>
      </c>
      <c r="C9" s="24"/>
      <c r="D9" s="127" t="str">
        <f>"  "&amp;data!C91</f>
        <v xml:space="preserve">  </v>
      </c>
      <c r="E9" s="70"/>
      <c r="F9" s="70"/>
      <c r="G9" s="24"/>
      <c r="H9" s="7"/>
    </row>
    <row r="10" spans="1:13" ht="20.149999999999999" customHeight="1" x14ac:dyDescent="0.35">
      <c r="A10" s="13">
        <v>7</v>
      </c>
      <c r="B10" s="49" t="s">
        <v>1032</v>
      </c>
      <c r="C10" s="24"/>
      <c r="D10" s="127" t="str">
        <f>"  "&amp;data!C92</f>
        <v xml:space="preserve">  509.773.4022</v>
      </c>
      <c r="E10" s="70"/>
      <c r="F10" s="70"/>
      <c r="G10" s="24"/>
      <c r="H10" s="7"/>
    </row>
    <row r="11" spans="1:13" ht="20.149999999999999" customHeight="1" x14ac:dyDescent="0.35">
      <c r="A11" s="13">
        <v>8</v>
      </c>
      <c r="B11" s="49" t="s">
        <v>1033</v>
      </c>
      <c r="C11" s="24"/>
      <c r="D11" s="127" t="str">
        <f>"  "&amp;data!C93</f>
        <v xml:space="preserve">  509.773.4714</v>
      </c>
      <c r="E11" s="70"/>
      <c r="F11" s="70"/>
      <c r="G11" s="24"/>
      <c r="H11" s="7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  <c r="H12" s="7"/>
    </row>
    <row r="13" spans="1:13" ht="20.149999999999999" customHeight="1" x14ac:dyDescent="0.35">
      <c r="A13" s="74"/>
      <c r="B13" s="8"/>
      <c r="C13" s="8"/>
      <c r="D13" s="8"/>
      <c r="E13" s="8"/>
      <c r="F13" s="8"/>
      <c r="G13" s="126"/>
      <c r="H13" s="7"/>
    </row>
    <row r="14" spans="1:13" ht="20.149999999999999" customHeight="1" x14ac:dyDescent="0.3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49999999999999" customHeight="1" x14ac:dyDescent="0.3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49999999999999" customHeight="1" x14ac:dyDescent="0.3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49999999999999" customHeight="1" x14ac:dyDescent="0.3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49999999999999" customHeight="1" x14ac:dyDescent="0.3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49999999999999" customHeight="1" x14ac:dyDescent="0.35">
      <c r="A19" s="111" t="str">
        <f>IF(data!C99&gt;0," X","")</f>
        <v xml:space="preserve"> X</v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49999999999999" customHeight="1" x14ac:dyDescent="0.35">
      <c r="A20" s="73"/>
      <c r="B20" s="30"/>
      <c r="C20" s="30"/>
      <c r="D20" s="30"/>
      <c r="E20" s="30"/>
      <c r="F20" s="30"/>
      <c r="G20" s="20"/>
      <c r="H20" s="7"/>
    </row>
    <row r="21" spans="1:9" ht="20.149999999999999" customHeight="1" x14ac:dyDescent="0.35">
      <c r="A21" s="74"/>
      <c r="B21" s="8"/>
      <c r="C21" s="8"/>
      <c r="D21" s="8"/>
      <c r="E21" s="8"/>
      <c r="F21" s="8"/>
      <c r="G21" s="28"/>
      <c r="H21" s="7"/>
    </row>
    <row r="22" spans="1:9" ht="20.149999999999999" customHeight="1" x14ac:dyDescent="0.3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49999999999999" customHeight="1" x14ac:dyDescent="0.35">
      <c r="A23" s="130"/>
      <c r="B23" s="49" t="s">
        <v>1039</v>
      </c>
      <c r="C23" s="38"/>
      <c r="D23" s="38"/>
      <c r="E23" s="38"/>
      <c r="F23" s="13">
        <f>data!C111</f>
        <v>153</v>
      </c>
      <c r="G23" s="21">
        <f>data!D111</f>
        <v>526</v>
      </c>
      <c r="H23" s="7"/>
    </row>
    <row r="24" spans="1:9" ht="20.149999999999999" customHeight="1" x14ac:dyDescent="0.35">
      <c r="A24" s="130"/>
      <c r="B24" s="49" t="s">
        <v>1040</v>
      </c>
      <c r="C24" s="38"/>
      <c r="D24" s="38"/>
      <c r="E24" s="38"/>
      <c r="F24" s="13">
        <f>data!C112</f>
        <v>62</v>
      </c>
      <c r="G24" s="21">
        <f>data!D112</f>
        <v>770</v>
      </c>
      <c r="H24" s="7"/>
    </row>
    <row r="25" spans="1:9" ht="20.149999999999999" customHeight="1" x14ac:dyDescent="0.3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49999999999999" customHeight="1" x14ac:dyDescent="0.35">
      <c r="A26" s="13">
        <v>11</v>
      </c>
      <c r="B26" s="49" t="s">
        <v>281</v>
      </c>
      <c r="C26" s="38"/>
      <c r="D26" s="38"/>
      <c r="E26" s="38"/>
      <c r="F26" s="13">
        <f>data!C114</f>
        <v>0</v>
      </c>
      <c r="G26" s="13">
        <f>data!D114</f>
        <v>0</v>
      </c>
      <c r="H26" s="7"/>
    </row>
    <row r="27" spans="1:9" ht="20.149999999999999" customHeight="1" x14ac:dyDescent="0.35">
      <c r="A27" s="73"/>
      <c r="B27" s="30"/>
      <c r="C27" s="30"/>
      <c r="D27" s="30"/>
      <c r="E27" s="30"/>
      <c r="F27" s="30"/>
      <c r="G27" s="20"/>
      <c r="H27" s="7"/>
    </row>
    <row r="28" spans="1:9" ht="20.149999999999999" customHeight="1" x14ac:dyDescent="0.35">
      <c r="A28" s="74"/>
      <c r="B28" s="8"/>
      <c r="C28" s="8"/>
      <c r="D28" s="8"/>
      <c r="E28" s="8"/>
      <c r="F28" s="8"/>
      <c r="G28" s="28"/>
      <c r="H28" s="7"/>
    </row>
    <row r="29" spans="1:9" ht="20.149999999999999" customHeight="1" x14ac:dyDescent="0.3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49999999999999" customHeight="1" x14ac:dyDescent="0.35">
      <c r="A30" s="130"/>
      <c r="B30" s="49" t="s">
        <v>283</v>
      </c>
      <c r="C30" s="24"/>
      <c r="D30" s="21">
        <f>data!C116</f>
        <v>0</v>
      </c>
      <c r="E30" s="49" t="s">
        <v>288</v>
      </c>
      <c r="F30" s="24"/>
      <c r="G30" s="21">
        <f>data!C123</f>
        <v>0</v>
      </c>
      <c r="H30" s="7"/>
    </row>
    <row r="31" spans="1:9" ht="20.149999999999999" customHeight="1" x14ac:dyDescent="0.35">
      <c r="A31" s="130"/>
      <c r="B31" s="97" t="s">
        <v>1043</v>
      </c>
      <c r="C31" s="24"/>
      <c r="D31" s="21">
        <f>data!C117</f>
        <v>10</v>
      </c>
      <c r="E31" s="49" t="s">
        <v>289</v>
      </c>
      <c r="F31" s="24"/>
      <c r="G31" s="21">
        <f>data!C124</f>
        <v>7</v>
      </c>
      <c r="H31" s="7"/>
    </row>
    <row r="32" spans="1:9" ht="20.149999999999999" customHeight="1" x14ac:dyDescent="0.35">
      <c r="A32" s="130"/>
      <c r="B32" s="97" t="s">
        <v>1044</v>
      </c>
      <c r="C32" s="24"/>
      <c r="D32" s="21">
        <f>data!C118</f>
        <v>0</v>
      </c>
      <c r="E32" s="49" t="s">
        <v>1045</v>
      </c>
      <c r="F32" s="24"/>
      <c r="G32" s="21">
        <f>data!C125</f>
        <v>0</v>
      </c>
      <c r="H32" s="7"/>
    </row>
    <row r="33" spans="1:8" ht="20.149999999999999" customHeight="1" x14ac:dyDescent="0.3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49999999999999" customHeight="1" x14ac:dyDescent="0.35">
      <c r="A34" s="130"/>
      <c r="B34" s="97" t="s">
        <v>1048</v>
      </c>
      <c r="C34" s="24"/>
      <c r="D34" s="21">
        <f>data!C120</f>
        <v>0</v>
      </c>
      <c r="E34" s="49" t="s">
        <v>291</v>
      </c>
      <c r="F34" s="24"/>
      <c r="G34" s="21">
        <f>data!E127</f>
        <v>17</v>
      </c>
      <c r="H34" s="7"/>
    </row>
    <row r="35" spans="1:8" ht="20.149999999999999" customHeight="1" x14ac:dyDescent="0.3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49999999999999" customHeight="1" x14ac:dyDescent="0.3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25</v>
      </c>
      <c r="H36" s="7"/>
    </row>
    <row r="37" spans="1:8" ht="20.149999999999999" customHeight="1" x14ac:dyDescent="0.35">
      <c r="A37" s="130"/>
      <c r="E37" s="49" t="s">
        <v>293</v>
      </c>
      <c r="F37" s="24"/>
      <c r="G37" s="21">
        <f>data!C129</f>
        <v>0</v>
      </c>
      <c r="H37" s="7"/>
    </row>
    <row r="38" spans="1:8" ht="20.149999999999999" customHeight="1" x14ac:dyDescent="0.35">
      <c r="A38" s="130"/>
      <c r="B38" s="38"/>
      <c r="C38" s="38"/>
      <c r="D38" s="38"/>
      <c r="E38" s="38"/>
      <c r="F38" s="38"/>
      <c r="G38" s="24"/>
      <c r="H38" s="7"/>
    </row>
    <row r="39" spans="1:8" ht="20.149999999999999" customHeight="1" x14ac:dyDescent="0.3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49999999999999" customHeight="1" x14ac:dyDescent="0.35">
      <c r="A40" s="134"/>
      <c r="B40" s="135" t="s">
        <v>1051</v>
      </c>
      <c r="C40" s="136" t="s">
        <v>256</v>
      </c>
      <c r="D40" s="137">
        <f>data!C131</f>
        <v>338847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875" defaultRowHeight="20.149999999999999" customHeight="1" x14ac:dyDescent="0.35"/>
  <cols>
    <col min="1" max="1" width="10.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875" style="2"/>
  </cols>
  <sheetData>
    <row r="1" spans="1:13" ht="20.149999999999999" customHeight="1" x14ac:dyDescent="0.3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49999999999999" customHeight="1" x14ac:dyDescent="0.35">
      <c r="A2" s="105" t="str">
        <f>"Hospital Name: "&amp;data!C84</f>
        <v>Hospital Name: Klickitat County Public Hospital District #1</v>
      </c>
      <c r="B2" s="8"/>
      <c r="C2" s="8"/>
      <c r="D2" s="8"/>
      <c r="E2" s="8"/>
      <c r="F2" s="11"/>
      <c r="G2" s="76" t="s">
        <v>1054</v>
      </c>
    </row>
    <row r="3" spans="1:13" ht="20.149999999999999" customHeight="1" x14ac:dyDescent="0.35">
      <c r="A3" s="8"/>
      <c r="B3" s="8"/>
      <c r="C3" s="8"/>
      <c r="D3" s="8"/>
      <c r="E3" s="8"/>
      <c r="F3" s="8"/>
      <c r="G3" s="106" t="str">
        <f>"FYE: "&amp;data!C82</f>
        <v>FYE: 12/31/2020</v>
      </c>
    </row>
    <row r="4" spans="1:13" ht="20.149999999999999" customHeight="1" x14ac:dyDescent="0.35">
      <c r="A4" s="107" t="s">
        <v>1055</v>
      </c>
      <c r="B4" s="108"/>
      <c r="C4" s="108"/>
      <c r="D4" s="108"/>
      <c r="E4" s="108"/>
      <c r="F4" s="108"/>
      <c r="G4" s="95"/>
    </row>
    <row r="5" spans="1:13" ht="20.149999999999999" customHeight="1" x14ac:dyDescent="0.3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49999999999999" customHeight="1" x14ac:dyDescent="0.3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49999999999999" customHeight="1" x14ac:dyDescent="0.35">
      <c r="A7" s="23" t="s">
        <v>296</v>
      </c>
      <c r="B7" s="48">
        <f>data!B138</f>
        <v>105</v>
      </c>
      <c r="C7" s="48">
        <f>data!B139</f>
        <v>351</v>
      </c>
      <c r="D7" s="48">
        <f>data!B140</f>
        <v>0</v>
      </c>
      <c r="E7" s="48">
        <f>data!B141</f>
        <v>2314479.02</v>
      </c>
      <c r="F7" s="48">
        <f>data!B142</f>
        <v>20057692.309999999</v>
      </c>
      <c r="G7" s="48">
        <f>data!B141+data!B142</f>
        <v>22372171.329999998</v>
      </c>
    </row>
    <row r="8" spans="1:13" ht="20.149999999999999" customHeight="1" x14ac:dyDescent="0.35">
      <c r="A8" s="23" t="s">
        <v>297</v>
      </c>
      <c r="B8" s="48">
        <f>data!C138</f>
        <v>13</v>
      </c>
      <c r="C8" s="48">
        <f>data!C139</f>
        <v>35</v>
      </c>
      <c r="D8" s="48">
        <f>data!C140</f>
        <v>0</v>
      </c>
      <c r="E8" s="48">
        <f>data!C141</f>
        <v>482527.44</v>
      </c>
      <c r="F8" s="48">
        <f>data!C142</f>
        <v>9875757.8499999996</v>
      </c>
      <c r="G8" s="48">
        <f>data!C141+data!C142</f>
        <v>10358285.289999999</v>
      </c>
    </row>
    <row r="9" spans="1:13" ht="20.149999999999999" customHeight="1" x14ac:dyDescent="0.35">
      <c r="A9" s="23" t="s">
        <v>1058</v>
      </c>
      <c r="B9" s="48">
        <f>data!D138</f>
        <v>35</v>
      </c>
      <c r="C9" s="48">
        <f>data!D139</f>
        <v>140</v>
      </c>
      <c r="D9" s="48">
        <f>data!D140</f>
        <v>0</v>
      </c>
      <c r="E9" s="48">
        <f>data!D141</f>
        <v>839914.14000000013</v>
      </c>
      <c r="F9" s="48">
        <f>data!D142</f>
        <v>11789471.790000003</v>
      </c>
      <c r="G9" s="48">
        <f>data!D141+data!D142</f>
        <v>12629385.930000003</v>
      </c>
    </row>
    <row r="10" spans="1:13" ht="20.149999999999999" customHeight="1" x14ac:dyDescent="0.35">
      <c r="A10" s="111" t="s">
        <v>203</v>
      </c>
      <c r="B10" s="48">
        <f>data!E138</f>
        <v>153</v>
      </c>
      <c r="C10" s="48">
        <f>data!E139</f>
        <v>526</v>
      </c>
      <c r="D10" s="48">
        <f>data!E140</f>
        <v>0</v>
      </c>
      <c r="E10" s="48">
        <f>data!E141</f>
        <v>3636920.6</v>
      </c>
      <c r="F10" s="48">
        <f>data!E142</f>
        <v>41722921.950000003</v>
      </c>
      <c r="G10" s="48">
        <f>data!E141+data!E142</f>
        <v>45359842.550000004</v>
      </c>
    </row>
    <row r="11" spans="1:13" ht="20.149999999999999" customHeight="1" x14ac:dyDescent="0.35">
      <c r="A11" s="112"/>
      <c r="B11" s="113"/>
      <c r="C11" s="113"/>
      <c r="D11" s="113"/>
      <c r="E11" s="113"/>
      <c r="F11" s="113"/>
      <c r="G11" s="114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</row>
    <row r="13" spans="1:13" ht="20.149999999999999" customHeight="1" x14ac:dyDescent="0.35">
      <c r="A13" s="115" t="s">
        <v>1059</v>
      </c>
      <c r="B13" s="5"/>
      <c r="C13" s="5"/>
      <c r="D13" s="5"/>
      <c r="E13" s="5"/>
      <c r="F13" s="5"/>
      <c r="G13" s="116"/>
    </row>
    <row r="14" spans="1:13" ht="20.149999999999999" customHeight="1" x14ac:dyDescent="0.3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49999999999999" customHeight="1" x14ac:dyDescent="0.3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49999999999999" customHeight="1" x14ac:dyDescent="0.35">
      <c r="A16" s="23" t="s">
        <v>296</v>
      </c>
      <c r="B16" s="48">
        <f>data!B144</f>
        <v>36</v>
      </c>
      <c r="C16" s="48">
        <f>data!B145</f>
        <v>420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49999999999999" customHeight="1" x14ac:dyDescent="0.35">
      <c r="A17" s="23" t="s">
        <v>297</v>
      </c>
      <c r="B17" s="48">
        <f>data!C144</f>
        <v>12</v>
      </c>
      <c r="C17" s="48">
        <f>data!C145</f>
        <v>130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49999999999999" customHeight="1" x14ac:dyDescent="0.35">
      <c r="A18" s="23" t="s">
        <v>1058</v>
      </c>
      <c r="B18" s="48">
        <f>data!D144</f>
        <v>14</v>
      </c>
      <c r="C18" s="48">
        <f>data!D145</f>
        <v>220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49999999999999" customHeight="1" x14ac:dyDescent="0.35">
      <c r="A19" s="111" t="s">
        <v>203</v>
      </c>
      <c r="B19" s="48">
        <f>data!E144</f>
        <v>62</v>
      </c>
      <c r="C19" s="48">
        <f>data!E145</f>
        <v>770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49999999999999" customHeight="1" x14ac:dyDescent="0.35">
      <c r="A20" s="112"/>
      <c r="B20" s="113"/>
      <c r="C20" s="113"/>
      <c r="D20" s="113"/>
      <c r="E20" s="113"/>
      <c r="F20" s="113"/>
      <c r="G20" s="114"/>
    </row>
    <row r="21" spans="1:7" ht="20.149999999999999" customHeight="1" x14ac:dyDescent="0.35">
      <c r="A21" s="73"/>
      <c r="B21" s="30"/>
      <c r="C21" s="30"/>
      <c r="D21" s="30"/>
      <c r="E21" s="30"/>
      <c r="F21" s="30"/>
      <c r="G21" s="20"/>
    </row>
    <row r="22" spans="1:7" ht="20.149999999999999" customHeight="1" x14ac:dyDescent="0.35">
      <c r="A22" s="115" t="s">
        <v>1060</v>
      </c>
      <c r="B22" s="5"/>
      <c r="C22" s="5"/>
      <c r="D22" s="5"/>
      <c r="E22" s="5"/>
      <c r="F22" s="5"/>
      <c r="G22" s="116"/>
    </row>
    <row r="23" spans="1:7" ht="20.149999999999999" customHeight="1" x14ac:dyDescent="0.3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49999999999999" customHeight="1" x14ac:dyDescent="0.3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49999999999999" customHeight="1" x14ac:dyDescent="0.3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49999999999999" customHeight="1" x14ac:dyDescent="0.3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49999999999999" customHeight="1" x14ac:dyDescent="0.3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49999999999999" customHeight="1" x14ac:dyDescent="0.3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49999999999999" customHeight="1" x14ac:dyDescent="0.35">
      <c r="A29" s="112"/>
      <c r="B29" s="113"/>
      <c r="C29" s="113"/>
      <c r="D29" s="113"/>
      <c r="E29" s="113"/>
      <c r="F29" s="113"/>
      <c r="G29" s="114"/>
    </row>
    <row r="30" spans="1:7" ht="20.149999999999999" customHeight="1" x14ac:dyDescent="0.35">
      <c r="A30" s="73"/>
      <c r="B30" s="50"/>
      <c r="C30" s="30"/>
      <c r="D30" s="30"/>
      <c r="E30" s="30"/>
      <c r="F30" s="30"/>
      <c r="G30" s="20"/>
    </row>
    <row r="31" spans="1:7" ht="20.149999999999999" customHeight="1" x14ac:dyDescent="0.35">
      <c r="A31" s="118" t="s">
        <v>1061</v>
      </c>
      <c r="B31" s="119"/>
      <c r="C31" s="70"/>
      <c r="D31" s="120"/>
      <c r="E31" s="120"/>
      <c r="F31" s="120"/>
      <c r="G31" s="121"/>
    </row>
    <row r="32" spans="1:7" ht="20.149999999999999" customHeight="1" x14ac:dyDescent="0.3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49999999999999" customHeight="1" x14ac:dyDescent="0.3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49999999999999" customHeight="1" x14ac:dyDescent="0.3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875" defaultRowHeight="14.15" x14ac:dyDescent="0.35"/>
  <cols>
    <col min="1" max="1" width="5.75" style="2" customWidth="1"/>
    <col min="2" max="2" width="54.125" style="2" customWidth="1"/>
    <col min="3" max="3" width="13.75" style="2" customWidth="1"/>
    <col min="4" max="16384" width="8.875" style="2"/>
  </cols>
  <sheetData>
    <row r="1" spans="1:13" ht="20.149999999999999" customHeight="1" x14ac:dyDescent="0.35">
      <c r="A1" s="4" t="s">
        <v>305</v>
      </c>
      <c r="B1" s="5"/>
      <c r="C1" s="167" t="s">
        <v>1064</v>
      </c>
    </row>
    <row r="2" spans="1:13" ht="20.149999999999999" customHeight="1" x14ac:dyDescent="0.35">
      <c r="A2" s="94"/>
      <c r="B2" s="8"/>
      <c r="C2" s="8"/>
    </row>
    <row r="3" spans="1:13" ht="20.149999999999999" customHeight="1" x14ac:dyDescent="0.35">
      <c r="A3" s="29" t="str">
        <f>"Hospital: "&amp;data!C84</f>
        <v>Hospital: Klickitat County Public Hospital District #1</v>
      </c>
      <c r="B3" s="30"/>
      <c r="C3" s="31" t="str">
        <f>"FYE: "&amp;data!C82</f>
        <v>FYE: 12/31/2020</v>
      </c>
    </row>
    <row r="4" spans="1:13" ht="20.149999999999999" customHeight="1" x14ac:dyDescent="0.35">
      <c r="A4" s="30"/>
      <c r="B4" s="8"/>
      <c r="C4" s="8"/>
    </row>
    <row r="5" spans="1:13" ht="20.149999999999999" customHeight="1" x14ac:dyDescent="0.35">
      <c r="A5" s="23">
        <v>1</v>
      </c>
      <c r="B5" s="37" t="s">
        <v>306</v>
      </c>
      <c r="C5" s="95"/>
    </row>
    <row r="6" spans="1:13" ht="20.149999999999999" customHeight="1" x14ac:dyDescent="0.35">
      <c r="A6" s="96">
        <v>2</v>
      </c>
      <c r="B6" s="49" t="s">
        <v>1065</v>
      </c>
      <c r="C6" s="13">
        <f>data!C165</f>
        <v>1024757.7</v>
      </c>
    </row>
    <row r="7" spans="1:13" ht="20.149999999999999" customHeight="1" x14ac:dyDescent="0.35">
      <c r="A7" s="40">
        <v>3</v>
      </c>
      <c r="B7" s="97" t="s">
        <v>308</v>
      </c>
      <c r="C7" s="13">
        <f>data!C166</f>
        <v>24307.51</v>
      </c>
    </row>
    <row r="8" spans="1:13" ht="20.149999999999999" customHeight="1" x14ac:dyDescent="0.35">
      <c r="A8" s="40">
        <v>4</v>
      </c>
      <c r="B8" s="49" t="s">
        <v>309</v>
      </c>
      <c r="C8" s="13">
        <f>data!C167</f>
        <v>100644.13</v>
      </c>
    </row>
    <row r="9" spans="1:13" ht="20.149999999999999" customHeight="1" x14ac:dyDescent="0.35">
      <c r="A9" s="40">
        <v>5</v>
      </c>
      <c r="B9" s="49" t="s">
        <v>310</v>
      </c>
      <c r="C9" s="13">
        <f>data!C168</f>
        <v>1429820.71</v>
      </c>
    </row>
    <row r="10" spans="1:13" ht="20.149999999999999" customHeight="1" x14ac:dyDescent="0.35">
      <c r="A10" s="40">
        <v>6</v>
      </c>
      <c r="B10" s="49" t="s">
        <v>311</v>
      </c>
      <c r="C10" s="13">
        <f>data!C169</f>
        <v>12619.01</v>
      </c>
    </row>
    <row r="11" spans="1:13" ht="20.149999999999999" customHeight="1" x14ac:dyDescent="0.35">
      <c r="A11" s="40">
        <v>7</v>
      </c>
      <c r="B11" s="49" t="s">
        <v>312</v>
      </c>
      <c r="C11" s="13">
        <f>data!C170</f>
        <v>389626.78</v>
      </c>
    </row>
    <row r="12" spans="1:13" ht="20.149999999999999" customHeight="1" x14ac:dyDescent="0.35">
      <c r="A12" s="40">
        <v>8</v>
      </c>
      <c r="B12" s="49" t="s">
        <v>313</v>
      </c>
      <c r="C12" s="13">
        <f>data!C171</f>
        <v>39964.22</v>
      </c>
    </row>
    <row r="13" spans="1:13" ht="20.149999999999999" customHeight="1" x14ac:dyDescent="0.35">
      <c r="A13" s="40">
        <v>9</v>
      </c>
      <c r="B13" s="49" t="s">
        <v>313</v>
      </c>
      <c r="C13" s="13">
        <f>data!C172</f>
        <v>0</v>
      </c>
    </row>
    <row r="14" spans="1:13" ht="20.149999999999999" customHeight="1" x14ac:dyDescent="0.35">
      <c r="A14" s="40">
        <v>10</v>
      </c>
      <c r="B14" s="49" t="s">
        <v>1066</v>
      </c>
      <c r="C14" s="13">
        <f>data!D173</f>
        <v>3021740.06</v>
      </c>
    </row>
    <row r="15" spans="1:13" ht="20.149999999999999" customHeight="1" x14ac:dyDescent="0.35">
      <c r="A15" s="57"/>
      <c r="B15" s="45"/>
      <c r="C15" s="98"/>
      <c r="M15" s="180"/>
    </row>
    <row r="16" spans="1:13" ht="20.149999999999999" customHeight="1" x14ac:dyDescent="0.35">
      <c r="A16" s="73"/>
      <c r="B16" s="30"/>
      <c r="C16" s="20"/>
    </row>
    <row r="17" spans="1:3" ht="20.149999999999999" customHeight="1" x14ac:dyDescent="0.35">
      <c r="A17" s="99">
        <v>11</v>
      </c>
      <c r="B17" s="100" t="s">
        <v>314</v>
      </c>
      <c r="C17" s="101"/>
    </row>
    <row r="18" spans="1:3" ht="20.149999999999999" customHeight="1" x14ac:dyDescent="0.35">
      <c r="A18" s="13">
        <v>12</v>
      </c>
      <c r="B18" s="49" t="s">
        <v>1067</v>
      </c>
      <c r="C18" s="13">
        <f>data!C175</f>
        <v>2833.32</v>
      </c>
    </row>
    <row r="19" spans="1:3" ht="20.149999999999999" customHeight="1" x14ac:dyDescent="0.35">
      <c r="A19" s="13">
        <v>13</v>
      </c>
      <c r="B19" s="49" t="s">
        <v>1068</v>
      </c>
      <c r="C19" s="13">
        <f>data!C176</f>
        <v>413543.45</v>
      </c>
    </row>
    <row r="20" spans="1:3" ht="20.149999999999999" customHeight="1" x14ac:dyDescent="0.35">
      <c r="A20" s="13">
        <v>14</v>
      </c>
      <c r="B20" s="49" t="s">
        <v>1069</v>
      </c>
      <c r="C20" s="13">
        <f>data!D177</f>
        <v>416376.77</v>
      </c>
    </row>
    <row r="21" spans="1:3" ht="20.149999999999999" customHeight="1" x14ac:dyDescent="0.35">
      <c r="A21" s="57"/>
      <c r="B21" s="45"/>
      <c r="C21" s="98"/>
    </row>
    <row r="22" spans="1:3" ht="20.149999999999999" customHeight="1" x14ac:dyDescent="0.35">
      <c r="A22" s="73"/>
      <c r="B22" s="8"/>
      <c r="C22" s="44"/>
    </row>
    <row r="23" spans="1:3" ht="20.149999999999999" customHeight="1" x14ac:dyDescent="0.35">
      <c r="A23" s="102">
        <v>15</v>
      </c>
      <c r="B23" s="103" t="s">
        <v>317</v>
      </c>
      <c r="C23" s="95"/>
    </row>
    <row r="24" spans="1:3" ht="20.149999999999999" customHeight="1" x14ac:dyDescent="0.35">
      <c r="A24" s="13">
        <v>16</v>
      </c>
      <c r="B24" s="37" t="s">
        <v>1070</v>
      </c>
      <c r="C24" s="104"/>
    </row>
    <row r="25" spans="1:3" ht="20.149999999999999" customHeight="1" x14ac:dyDescent="0.35">
      <c r="A25" s="13">
        <v>17</v>
      </c>
      <c r="B25" s="49" t="s">
        <v>1071</v>
      </c>
      <c r="C25" s="13">
        <f>data!C179</f>
        <v>124476.14</v>
      </c>
    </row>
    <row r="26" spans="1:3" ht="20.149999999999999" customHeight="1" x14ac:dyDescent="0.35">
      <c r="A26" s="13">
        <v>18</v>
      </c>
      <c r="B26" s="49" t="s">
        <v>319</v>
      </c>
      <c r="C26" s="13">
        <f>data!C180</f>
        <v>63451.22</v>
      </c>
    </row>
    <row r="27" spans="1:3" ht="20.149999999999999" customHeight="1" x14ac:dyDescent="0.35">
      <c r="A27" s="13">
        <v>19</v>
      </c>
      <c r="B27" s="49" t="s">
        <v>1072</v>
      </c>
      <c r="C27" s="13">
        <f>data!D181</f>
        <v>187927.36</v>
      </c>
    </row>
    <row r="28" spans="1:3" ht="20.149999999999999" customHeight="1" x14ac:dyDescent="0.35">
      <c r="A28" s="57"/>
      <c r="B28" s="45"/>
      <c r="C28" s="98"/>
    </row>
    <row r="29" spans="1:3" ht="20.149999999999999" customHeight="1" x14ac:dyDescent="0.35">
      <c r="A29" s="73"/>
      <c r="B29" s="30"/>
      <c r="C29" s="20"/>
    </row>
    <row r="30" spans="1:3" ht="20.149999999999999" customHeight="1" x14ac:dyDescent="0.35">
      <c r="A30" s="102">
        <v>20</v>
      </c>
      <c r="B30" s="43" t="s">
        <v>1073</v>
      </c>
      <c r="C30" s="34"/>
    </row>
    <row r="31" spans="1:3" ht="20.149999999999999" customHeight="1" x14ac:dyDescent="0.35">
      <c r="A31" s="13">
        <v>21</v>
      </c>
      <c r="B31" s="49" t="s">
        <v>321</v>
      </c>
      <c r="C31" s="13">
        <f>data!C183</f>
        <v>25805.46</v>
      </c>
    </row>
    <row r="32" spans="1:3" ht="20.149999999999999" customHeight="1" x14ac:dyDescent="0.35">
      <c r="A32" s="13">
        <v>22</v>
      </c>
      <c r="B32" s="49" t="s">
        <v>1074</v>
      </c>
      <c r="C32" s="13">
        <f>data!C184</f>
        <v>0</v>
      </c>
    </row>
    <row r="33" spans="1:3" ht="20.149999999999999" customHeight="1" x14ac:dyDescent="0.35">
      <c r="A33" s="13">
        <v>23</v>
      </c>
      <c r="B33" s="49" t="s">
        <v>132</v>
      </c>
      <c r="C33" s="13">
        <f>data!C185</f>
        <v>0</v>
      </c>
    </row>
    <row r="34" spans="1:3" ht="20.149999999999999" customHeight="1" x14ac:dyDescent="0.35">
      <c r="A34" s="13">
        <v>24</v>
      </c>
      <c r="B34" s="49" t="s">
        <v>1075</v>
      </c>
      <c r="C34" s="13">
        <f>data!D186</f>
        <v>25805.46</v>
      </c>
    </row>
    <row r="35" spans="1:3" ht="20.149999999999999" customHeight="1" x14ac:dyDescent="0.35">
      <c r="A35" s="57"/>
      <c r="B35" s="45"/>
      <c r="C35" s="98"/>
    </row>
    <row r="36" spans="1:3" ht="20.149999999999999" customHeight="1" x14ac:dyDescent="0.35">
      <c r="A36" s="73"/>
      <c r="B36" s="30"/>
      <c r="C36" s="20"/>
    </row>
    <row r="37" spans="1:3" ht="20.149999999999999" customHeight="1" x14ac:dyDescent="0.35">
      <c r="A37" s="102">
        <v>25</v>
      </c>
      <c r="B37" s="43" t="s">
        <v>323</v>
      </c>
      <c r="C37" s="95"/>
    </row>
    <row r="38" spans="1:3" ht="20.149999999999999" customHeight="1" x14ac:dyDescent="0.35">
      <c r="A38" s="13">
        <v>26</v>
      </c>
      <c r="B38" s="49" t="s">
        <v>1076</v>
      </c>
      <c r="C38" s="13">
        <f>data!C188</f>
        <v>224242.38</v>
      </c>
    </row>
    <row r="39" spans="1:3" ht="20.149999999999999" customHeight="1" x14ac:dyDescent="0.35">
      <c r="A39" s="13">
        <v>27</v>
      </c>
      <c r="B39" s="49" t="s">
        <v>325</v>
      </c>
      <c r="C39" s="13">
        <f>data!C189</f>
        <v>0</v>
      </c>
    </row>
    <row r="40" spans="1:3" ht="20.149999999999999" customHeight="1" x14ac:dyDescent="0.35">
      <c r="A40" s="13">
        <v>28</v>
      </c>
      <c r="B40" s="49" t="s">
        <v>1077</v>
      </c>
      <c r="C40" s="13">
        <f>data!D190</f>
        <v>224242.38</v>
      </c>
    </row>
    <row r="41" spans="1:3" x14ac:dyDescent="0.3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875" defaultRowHeight="20.149999999999999" customHeight="1" x14ac:dyDescent="0.35"/>
  <cols>
    <col min="1" max="1" width="5.75" style="7" customWidth="1"/>
    <col min="2" max="2" width="22.5625" style="7" customWidth="1"/>
    <col min="3" max="5" width="13.75" style="7" customWidth="1"/>
    <col min="6" max="6" width="15.75" style="7" customWidth="1"/>
    <col min="7" max="16384" width="8.875" style="7"/>
  </cols>
  <sheetData>
    <row r="1" spans="1:13" ht="20.149999999999999" customHeight="1" x14ac:dyDescent="0.35">
      <c r="A1" s="4" t="s">
        <v>326</v>
      </c>
      <c r="B1" s="5"/>
      <c r="C1" s="5"/>
      <c r="D1" s="5"/>
      <c r="E1" s="5"/>
      <c r="F1" s="167" t="s">
        <v>1078</v>
      </c>
    </row>
    <row r="2" spans="1:13" ht="20.149999999999999" customHeight="1" x14ac:dyDescent="0.35">
      <c r="A2" s="8"/>
      <c r="B2" s="8"/>
      <c r="C2" s="8"/>
      <c r="D2" s="8"/>
      <c r="E2" s="8"/>
      <c r="F2" s="8"/>
    </row>
    <row r="3" spans="1:13" ht="20.149999999999999" customHeight="1" x14ac:dyDescent="0.35">
      <c r="A3" s="10" t="str">
        <f>"Hospital: "&amp;data!C84</f>
        <v>Hospital: Klickitat County Public Hospital District #1</v>
      </c>
      <c r="B3" s="8"/>
      <c r="C3" s="8"/>
      <c r="E3" s="11"/>
      <c r="F3" s="12" t="str">
        <f>" FYE: "&amp;data!C82</f>
        <v xml:space="preserve"> FYE: 12/31/2020</v>
      </c>
    </row>
    <row r="4" spans="1:13" ht="20.149999999999999" customHeight="1" x14ac:dyDescent="0.35">
      <c r="A4" s="39" t="s">
        <v>327</v>
      </c>
      <c r="B4" s="36"/>
      <c r="C4" s="36"/>
      <c r="D4" s="71"/>
      <c r="E4" s="71"/>
      <c r="F4" s="36"/>
    </row>
    <row r="5" spans="1:13" ht="20.149999999999999" customHeight="1" x14ac:dyDescent="0.35">
      <c r="A5" s="42"/>
      <c r="B5" s="52"/>
      <c r="C5" s="72" t="s">
        <v>1079</v>
      </c>
      <c r="D5" s="47"/>
      <c r="E5" s="47"/>
      <c r="F5" s="72" t="s">
        <v>1080</v>
      </c>
    </row>
    <row r="6" spans="1:13" ht="20.149999999999999" customHeight="1" x14ac:dyDescent="0.3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49999999999999" customHeight="1" x14ac:dyDescent="0.35">
      <c r="A7" s="13">
        <v>1</v>
      </c>
      <c r="B7" s="14" t="s">
        <v>332</v>
      </c>
      <c r="C7" s="21">
        <f>data!B195</f>
        <v>203706.33</v>
      </c>
      <c r="D7" s="21">
        <f>data!C195</f>
        <v>0</v>
      </c>
      <c r="E7" s="21">
        <f>data!D195</f>
        <v>0</v>
      </c>
      <c r="F7" s="21">
        <f>data!E195</f>
        <v>203706.33</v>
      </c>
    </row>
    <row r="8" spans="1:13" ht="20.149999999999999" customHeight="1" x14ac:dyDescent="0.35">
      <c r="A8" s="13">
        <v>2</v>
      </c>
      <c r="B8" s="14" t="s">
        <v>333</v>
      </c>
      <c r="C8" s="21">
        <f>data!B196</f>
        <v>1782695.72</v>
      </c>
      <c r="D8" s="21">
        <f>data!C196</f>
        <v>8032.91</v>
      </c>
      <c r="E8" s="21">
        <f>data!D196</f>
        <v>18775.849999999999</v>
      </c>
      <c r="F8" s="21">
        <f>data!E196</f>
        <v>1771952.7799999998</v>
      </c>
    </row>
    <row r="9" spans="1:13" ht="20.149999999999999" customHeight="1" x14ac:dyDescent="0.35">
      <c r="A9" s="13">
        <v>3</v>
      </c>
      <c r="B9" s="14" t="s">
        <v>334</v>
      </c>
      <c r="C9" s="21">
        <f>data!B197</f>
        <v>13659330.85</v>
      </c>
      <c r="D9" s="21">
        <f>data!C197</f>
        <v>11678.6</v>
      </c>
      <c r="E9" s="21">
        <f>data!D197</f>
        <v>13231.44</v>
      </c>
      <c r="F9" s="21">
        <f>data!E197</f>
        <v>13657778.01</v>
      </c>
    </row>
    <row r="10" spans="1:13" ht="20.149999999999999" customHeight="1" x14ac:dyDescent="0.35">
      <c r="A10" s="13">
        <v>4</v>
      </c>
      <c r="B10" s="14" t="s">
        <v>1083</v>
      </c>
      <c r="C10" s="21">
        <f>data!B198</f>
        <v>6824097.6299999999</v>
      </c>
      <c r="D10" s="21">
        <f>data!C198</f>
        <v>108285.41</v>
      </c>
      <c r="E10" s="21">
        <f>data!D198</f>
        <v>0</v>
      </c>
      <c r="F10" s="21">
        <f>data!E198</f>
        <v>6932383.04</v>
      </c>
    </row>
    <row r="11" spans="1:13" ht="20.149999999999999" customHeight="1" x14ac:dyDescent="0.35">
      <c r="A11" s="13">
        <v>5</v>
      </c>
      <c r="B11" s="14" t="s">
        <v>1084</v>
      </c>
      <c r="C11" s="21">
        <f>data!B199</f>
        <v>337147.97</v>
      </c>
      <c r="D11" s="21">
        <f>data!C199</f>
        <v>31362.25</v>
      </c>
      <c r="E11" s="21">
        <f>data!D199</f>
        <v>6500</v>
      </c>
      <c r="F11" s="21">
        <f>data!E199</f>
        <v>362010.22</v>
      </c>
    </row>
    <row r="12" spans="1:13" ht="20.149999999999999" customHeight="1" x14ac:dyDescent="0.35">
      <c r="A12" s="13">
        <v>6</v>
      </c>
      <c r="B12" s="14" t="s">
        <v>1085</v>
      </c>
      <c r="C12" s="21">
        <f>data!B200</f>
        <v>7139246.3200000003</v>
      </c>
      <c r="D12" s="21">
        <f>data!C200</f>
        <v>898283.05</v>
      </c>
      <c r="E12" s="21">
        <f>data!D200</f>
        <v>853170.94</v>
      </c>
      <c r="F12" s="21">
        <f>data!E200</f>
        <v>7184358.4299999997</v>
      </c>
    </row>
    <row r="13" spans="1:13" ht="20.149999999999999" customHeight="1" x14ac:dyDescent="0.3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49999999999999" customHeight="1" x14ac:dyDescent="0.35">
      <c r="A14" s="13">
        <v>8</v>
      </c>
      <c r="B14" s="14" t="s">
        <v>339</v>
      </c>
      <c r="C14" s="21">
        <f>data!B202</f>
        <v>0</v>
      </c>
      <c r="D14" s="21">
        <f>data!C202</f>
        <v>0</v>
      </c>
      <c r="E14" s="21">
        <f>data!D202</f>
        <v>0</v>
      </c>
      <c r="F14" s="21">
        <f>data!E202</f>
        <v>0</v>
      </c>
    </row>
    <row r="15" spans="1:13" ht="20.149999999999999" customHeight="1" x14ac:dyDescent="0.35">
      <c r="A15" s="13">
        <v>9</v>
      </c>
      <c r="B15" s="14" t="s">
        <v>1087</v>
      </c>
      <c r="C15" s="21">
        <f>data!B203</f>
        <v>211509.94</v>
      </c>
      <c r="D15" s="21">
        <f>data!C203</f>
        <v>599790.42000000004</v>
      </c>
      <c r="E15" s="21">
        <f>data!D203</f>
        <v>475657.86</v>
      </c>
      <c r="F15" s="21">
        <f>data!E203</f>
        <v>335642.50000000012</v>
      </c>
      <c r="M15" s="270"/>
    </row>
    <row r="16" spans="1:13" ht="20.149999999999999" customHeight="1" x14ac:dyDescent="0.35">
      <c r="A16" s="13">
        <v>10</v>
      </c>
      <c r="B16" s="14" t="s">
        <v>661</v>
      </c>
      <c r="C16" s="21">
        <f>data!B204</f>
        <v>30157734.760000002</v>
      </c>
      <c r="D16" s="21">
        <f>data!C204</f>
        <v>1657432.6400000001</v>
      </c>
      <c r="E16" s="21">
        <f>data!D204</f>
        <v>1367336.0899999999</v>
      </c>
      <c r="F16" s="21">
        <f>data!E204</f>
        <v>30447831.309999999</v>
      </c>
    </row>
    <row r="17" spans="1:6" ht="20.149999999999999" customHeight="1" x14ac:dyDescent="0.35">
      <c r="A17" s="73"/>
      <c r="B17" s="30"/>
      <c r="C17" s="30"/>
      <c r="D17" s="30"/>
      <c r="E17" s="30"/>
      <c r="F17" s="20"/>
    </row>
    <row r="18" spans="1:6" ht="20.149999999999999" customHeight="1" x14ac:dyDescent="0.35">
      <c r="A18" s="74"/>
      <c r="B18" s="8"/>
      <c r="C18" s="8"/>
      <c r="D18" s="8"/>
      <c r="E18" s="8"/>
      <c r="F18" s="28"/>
    </row>
    <row r="19" spans="1:6" ht="20.149999999999999" customHeight="1" x14ac:dyDescent="0.35">
      <c r="A19" s="74"/>
      <c r="B19" s="8"/>
      <c r="C19" s="8"/>
      <c r="D19" s="8"/>
      <c r="E19" s="8"/>
      <c r="F19" s="28"/>
    </row>
    <row r="20" spans="1:6" ht="20.149999999999999" customHeight="1" x14ac:dyDescent="0.35">
      <c r="A20" s="39" t="s">
        <v>341</v>
      </c>
      <c r="B20" s="36"/>
      <c r="C20" s="36"/>
      <c r="D20" s="36"/>
      <c r="E20" s="36"/>
      <c r="F20" s="36"/>
    </row>
    <row r="21" spans="1:6" ht="20.149999999999999" customHeight="1" x14ac:dyDescent="0.3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49999999999999" customHeight="1" x14ac:dyDescent="0.3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49999999999999" customHeight="1" x14ac:dyDescent="0.35">
      <c r="A23" s="13">
        <v>11</v>
      </c>
      <c r="B23" s="93" t="s">
        <v>332</v>
      </c>
      <c r="C23" s="92"/>
      <c r="D23" s="92"/>
      <c r="E23" s="92"/>
      <c r="F23" s="92"/>
    </row>
    <row r="24" spans="1:6" ht="20.149999999999999" customHeight="1" x14ac:dyDescent="0.35">
      <c r="A24" s="13">
        <v>12</v>
      </c>
      <c r="B24" s="14" t="s">
        <v>333</v>
      </c>
      <c r="C24" s="21">
        <f>data!B209</f>
        <v>1339496.78</v>
      </c>
      <c r="D24" s="21">
        <f>data!C209</f>
        <v>109701.09</v>
      </c>
      <c r="E24" s="21">
        <f>data!D209</f>
        <v>18776</v>
      </c>
      <c r="F24" s="21">
        <f>data!E209</f>
        <v>1430421.87</v>
      </c>
    </row>
    <row r="25" spans="1:6" ht="20.149999999999999" customHeight="1" x14ac:dyDescent="0.35">
      <c r="A25" s="13">
        <v>13</v>
      </c>
      <c r="B25" s="14" t="s">
        <v>334</v>
      </c>
      <c r="C25" s="21">
        <f>data!B210</f>
        <v>7731120.6200000001</v>
      </c>
      <c r="D25" s="21">
        <f>data!C210</f>
        <v>378314.12</v>
      </c>
      <c r="E25" s="21">
        <f>data!D210</f>
        <v>13231.44</v>
      </c>
      <c r="F25" s="21">
        <f>data!E210</f>
        <v>8096203.2999999998</v>
      </c>
    </row>
    <row r="26" spans="1:6" ht="20.149999999999999" customHeight="1" x14ac:dyDescent="0.35">
      <c r="A26" s="13">
        <v>14</v>
      </c>
      <c r="B26" s="14" t="s">
        <v>1083</v>
      </c>
      <c r="C26" s="21">
        <f>data!B211</f>
        <v>4363253.6100000003</v>
      </c>
      <c r="D26" s="21">
        <f>data!C211</f>
        <v>398676.59</v>
      </c>
      <c r="E26" s="21">
        <f>data!D211</f>
        <v>0</v>
      </c>
      <c r="F26" s="21">
        <f>data!E211</f>
        <v>4761930.2</v>
      </c>
    </row>
    <row r="27" spans="1:6" ht="20.149999999999999" customHeight="1" x14ac:dyDescent="0.35">
      <c r="A27" s="13">
        <v>15</v>
      </c>
      <c r="B27" s="14" t="s">
        <v>1084</v>
      </c>
      <c r="C27" s="21">
        <f>data!B212</f>
        <v>225917.32</v>
      </c>
      <c r="D27" s="21">
        <f>data!C212</f>
        <v>14187.52</v>
      </c>
      <c r="E27" s="21">
        <f>data!D212</f>
        <v>6500</v>
      </c>
      <c r="F27" s="21">
        <f>data!E212</f>
        <v>233604.84</v>
      </c>
    </row>
    <row r="28" spans="1:6" ht="20.149999999999999" customHeight="1" x14ac:dyDescent="0.35">
      <c r="A28" s="13">
        <v>16</v>
      </c>
      <c r="B28" s="14" t="s">
        <v>1085</v>
      </c>
      <c r="C28" s="21">
        <f>data!B213</f>
        <v>6124523.9800000004</v>
      </c>
      <c r="D28" s="21">
        <f>data!C213</f>
        <v>396722.18</v>
      </c>
      <c r="E28" s="21">
        <f>data!D213</f>
        <v>853171</v>
      </c>
      <c r="F28" s="21">
        <f>data!E213</f>
        <v>5668075.1600000001</v>
      </c>
    </row>
    <row r="29" spans="1:6" ht="20.149999999999999" customHeight="1" x14ac:dyDescent="0.3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49999999999999" customHeight="1" x14ac:dyDescent="0.3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49999999999999" customHeight="1" x14ac:dyDescent="0.3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49999999999999" customHeight="1" x14ac:dyDescent="0.35">
      <c r="A32" s="13">
        <v>20</v>
      </c>
      <c r="B32" s="14" t="s">
        <v>661</v>
      </c>
      <c r="C32" s="21">
        <f>data!B217</f>
        <v>19784312.310000002</v>
      </c>
      <c r="D32" s="21">
        <f>data!C217</f>
        <v>1297601.5</v>
      </c>
      <c r="E32" s="21">
        <f>data!D217</f>
        <v>891678.44</v>
      </c>
      <c r="F32" s="21">
        <f>data!E217</f>
        <v>20190235.370000001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875" defaultRowHeight="20.149999999999999" customHeight="1" x14ac:dyDescent="0.3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875" style="7"/>
  </cols>
  <sheetData>
    <row r="1" spans="1:13" ht="20.149999999999999" customHeight="1" x14ac:dyDescent="0.35">
      <c r="A1" s="6" t="s">
        <v>1089</v>
      </c>
      <c r="B1" s="6"/>
      <c r="C1" s="6"/>
      <c r="D1" s="169" t="s">
        <v>1090</v>
      </c>
    </row>
    <row r="2" spans="1:13" ht="20.149999999999999" customHeight="1" x14ac:dyDescent="0.35">
      <c r="A2" s="29" t="str">
        <f>"Hospital: "&amp;data!C84</f>
        <v>Hospital: Klickitat County Public Hospital District #1</v>
      </c>
      <c r="B2" s="30"/>
      <c r="C2" s="30"/>
      <c r="D2" s="31" t="str">
        <f>"FYE: "&amp;data!C82</f>
        <v>FYE: 12/31/2020</v>
      </c>
    </row>
    <row r="3" spans="1:13" ht="20.149999999999999" customHeight="1" x14ac:dyDescent="0.35">
      <c r="A3" s="42"/>
      <c r="B3" s="52"/>
      <c r="C3" s="52"/>
      <c r="D3" s="52"/>
    </row>
    <row r="4" spans="1:13" ht="20.149999999999999" customHeight="1" x14ac:dyDescent="0.35">
      <c r="A4" s="53"/>
      <c r="B4" s="41" t="s">
        <v>1091</v>
      </c>
      <c r="C4" s="41" t="s">
        <v>1092</v>
      </c>
      <c r="D4" s="54"/>
    </row>
    <row r="5" spans="1:13" ht="20.149999999999999" customHeight="1" x14ac:dyDescent="0.35">
      <c r="A5" s="102">
        <v>1</v>
      </c>
      <c r="B5" s="55"/>
      <c r="C5" s="22" t="s">
        <v>1254</v>
      </c>
      <c r="D5" s="14">
        <f>data!D221</f>
        <v>1466324.23</v>
      </c>
    </row>
    <row r="6" spans="1:13" ht="20.149999999999999" customHeight="1" x14ac:dyDescent="0.35">
      <c r="A6" s="13">
        <v>2</v>
      </c>
      <c r="B6" s="30"/>
      <c r="C6" s="31" t="s">
        <v>432</v>
      </c>
      <c r="D6" s="25"/>
    </row>
    <row r="7" spans="1:13" ht="20.149999999999999" customHeight="1" x14ac:dyDescent="0.35">
      <c r="A7" s="13">
        <v>3</v>
      </c>
      <c r="B7" s="55">
        <v>5810</v>
      </c>
      <c r="C7" s="14" t="s">
        <v>296</v>
      </c>
      <c r="D7" s="14">
        <f>data!C223</f>
        <v>9222785.8499999996</v>
      </c>
    </row>
    <row r="8" spans="1:13" ht="20.149999999999999" customHeight="1" x14ac:dyDescent="0.35">
      <c r="A8" s="13">
        <v>4</v>
      </c>
      <c r="B8" s="55">
        <v>5820</v>
      </c>
      <c r="C8" s="14" t="s">
        <v>297</v>
      </c>
      <c r="D8" s="14">
        <f>data!C224</f>
        <v>5427148.2599999998</v>
      </c>
    </row>
    <row r="9" spans="1:13" ht="20.149999999999999" customHeight="1" x14ac:dyDescent="0.35">
      <c r="A9" s="13">
        <v>5</v>
      </c>
      <c r="B9" s="55">
        <v>5830</v>
      </c>
      <c r="C9" s="14" t="s">
        <v>309</v>
      </c>
      <c r="D9" s="14">
        <f>data!C225</f>
        <v>120015.67999999999</v>
      </c>
    </row>
    <row r="10" spans="1:13" ht="20.149999999999999" customHeight="1" x14ac:dyDescent="0.35">
      <c r="A10" s="13">
        <v>6</v>
      </c>
      <c r="B10" s="55">
        <v>5840</v>
      </c>
      <c r="C10" s="14" t="s">
        <v>347</v>
      </c>
      <c r="D10" s="14">
        <f>data!C226</f>
        <v>0</v>
      </c>
    </row>
    <row r="11" spans="1:13" ht="20.149999999999999" customHeight="1" x14ac:dyDescent="0.35">
      <c r="A11" s="13">
        <v>7</v>
      </c>
      <c r="B11" s="55">
        <v>5850</v>
      </c>
      <c r="C11" s="14" t="s">
        <v>1093</v>
      </c>
      <c r="D11" s="14">
        <f>data!C227</f>
        <v>0</v>
      </c>
    </row>
    <row r="12" spans="1:13" ht="20.149999999999999" customHeight="1" x14ac:dyDescent="0.35">
      <c r="A12" s="13">
        <v>8</v>
      </c>
      <c r="B12" s="55">
        <v>5860</v>
      </c>
      <c r="C12" s="14" t="s">
        <v>132</v>
      </c>
      <c r="D12" s="14">
        <f>data!C228</f>
        <v>3886286.59</v>
      </c>
    </row>
    <row r="13" spans="1:13" ht="20.149999999999999" customHeight="1" x14ac:dyDescent="0.35">
      <c r="A13" s="23">
        <v>9</v>
      </c>
      <c r="B13" s="24"/>
      <c r="C13" s="14" t="s">
        <v>1094</v>
      </c>
      <c r="D13" s="14">
        <f>data!D229</f>
        <v>18656236.379999999</v>
      </c>
    </row>
    <row r="14" spans="1:13" ht="20.149999999999999" customHeight="1" x14ac:dyDescent="0.35">
      <c r="A14" s="81">
        <v>10</v>
      </c>
      <c r="B14" s="56"/>
      <c r="C14" s="56"/>
      <c r="D14" s="56"/>
    </row>
    <row r="15" spans="1:13" ht="20.149999999999999" customHeight="1" x14ac:dyDescent="0.35">
      <c r="A15" s="23">
        <v>11</v>
      </c>
      <c r="B15" s="58"/>
      <c r="C15" s="9" t="s">
        <v>351</v>
      </c>
      <c r="D15" s="25"/>
    </row>
    <row r="16" spans="1:13" ht="20.149999999999999" customHeight="1" x14ac:dyDescent="0.35">
      <c r="A16" s="81">
        <v>12</v>
      </c>
      <c r="B16" s="56"/>
      <c r="C16" s="49" t="s">
        <v>1095</v>
      </c>
      <c r="D16" s="140">
        <f>+data!C231</f>
        <v>0</v>
      </c>
      <c r="M16" s="270"/>
    </row>
    <row r="17" spans="1:4" ht="20.149999999999999" customHeight="1" x14ac:dyDescent="0.35">
      <c r="A17" s="23">
        <v>13</v>
      </c>
      <c r="B17" s="58"/>
      <c r="C17" s="45"/>
      <c r="D17" s="83"/>
    </row>
    <row r="18" spans="1:4" ht="20.149999999999999" customHeight="1" x14ac:dyDescent="0.35">
      <c r="A18" s="13">
        <v>14</v>
      </c>
      <c r="B18" s="59">
        <v>5900</v>
      </c>
      <c r="C18" s="14" t="s">
        <v>353</v>
      </c>
      <c r="D18" s="60">
        <f>data!C233</f>
        <v>0</v>
      </c>
    </row>
    <row r="19" spans="1:4" ht="20.149999999999999" customHeight="1" x14ac:dyDescent="0.35">
      <c r="A19" s="61">
        <v>15</v>
      </c>
      <c r="B19" s="55">
        <v>5910</v>
      </c>
      <c r="C19" s="22" t="s">
        <v>1096</v>
      </c>
      <c r="D19" s="14">
        <f>data!C234</f>
        <v>400922.4</v>
      </c>
    </row>
    <row r="20" spans="1:4" ht="20.149999999999999" customHeight="1" x14ac:dyDescent="0.35">
      <c r="A20" s="23">
        <v>16</v>
      </c>
      <c r="B20" s="24"/>
      <c r="C20" s="24"/>
      <c r="D20" s="56"/>
    </row>
    <row r="21" spans="1:4" ht="20.149999999999999" customHeight="1" x14ac:dyDescent="0.35">
      <c r="A21" s="23">
        <v>17</v>
      </c>
      <c r="B21" s="56"/>
      <c r="C21" s="56"/>
      <c r="D21" s="56"/>
    </row>
    <row r="22" spans="1:4" ht="20.149999999999999" customHeight="1" x14ac:dyDescent="0.35">
      <c r="A22" s="81">
        <v>18</v>
      </c>
      <c r="B22" s="56"/>
      <c r="C22" s="15" t="s">
        <v>1097</v>
      </c>
      <c r="D22" s="14">
        <f>data!D236</f>
        <v>400922.4</v>
      </c>
    </row>
    <row r="23" spans="1:4" ht="20.149999999999999" customHeight="1" x14ac:dyDescent="0.35">
      <c r="A23" s="62">
        <v>19</v>
      </c>
      <c r="B23" s="58"/>
      <c r="C23" s="58"/>
      <c r="D23" s="25"/>
    </row>
    <row r="24" spans="1:4" ht="20.149999999999999" customHeight="1" x14ac:dyDescent="0.35">
      <c r="A24" s="276">
        <v>20</v>
      </c>
      <c r="B24" s="55">
        <v>5970</v>
      </c>
      <c r="C24" s="14" t="s">
        <v>357</v>
      </c>
      <c r="D24" s="14">
        <f>data!C238</f>
        <v>1080267.05</v>
      </c>
    </row>
    <row r="25" spans="1:4" ht="20.149999999999999" customHeight="1" x14ac:dyDescent="0.35">
      <c r="A25" s="62">
        <v>21</v>
      </c>
      <c r="B25" s="30"/>
      <c r="C25" s="30"/>
      <c r="D25" s="25"/>
    </row>
    <row r="26" spans="1:4" ht="20.149999999999999" customHeight="1" x14ac:dyDescent="0.35">
      <c r="A26" s="23">
        <v>22</v>
      </c>
      <c r="B26" s="55">
        <v>5980</v>
      </c>
      <c r="C26" s="14" t="s">
        <v>1098</v>
      </c>
      <c r="D26" s="14">
        <f>data!C239</f>
        <v>-142624</v>
      </c>
    </row>
    <row r="27" spans="1:4" ht="20.149999999999999" customHeight="1" x14ac:dyDescent="0.35">
      <c r="A27" s="64">
        <v>23</v>
      </c>
      <c r="B27" s="63" t="s">
        <v>1099</v>
      </c>
      <c r="C27" s="56"/>
      <c r="D27" s="14">
        <f>data!D242</f>
        <v>21461126.059999999</v>
      </c>
    </row>
    <row r="28" spans="1:4" ht="20.149999999999999" customHeight="1" x14ac:dyDescent="0.35">
      <c r="A28" s="126">
        <v>24</v>
      </c>
      <c r="B28" s="65" t="s">
        <v>1100</v>
      </c>
      <c r="C28" s="50"/>
      <c r="D28" s="54"/>
    </row>
    <row r="29" spans="1:4" ht="20.149999999999999" customHeight="1" x14ac:dyDescent="0.35">
      <c r="A29" s="66"/>
      <c r="B29" s="67"/>
      <c r="C29" s="67"/>
      <c r="D29" s="56"/>
    </row>
    <row r="30" spans="1:4" ht="20.149999999999999" customHeight="1" x14ac:dyDescent="0.35">
      <c r="A30" s="68"/>
      <c r="B30" s="38"/>
      <c r="C30" s="38"/>
      <c r="D30" s="56"/>
    </row>
    <row r="31" spans="1:4" ht="20.149999999999999" customHeight="1" x14ac:dyDescent="0.35">
      <c r="A31" s="68"/>
      <c r="B31" s="38"/>
      <c r="C31" s="38"/>
      <c r="D31" s="56"/>
    </row>
    <row r="32" spans="1:4" ht="20.149999999999999" customHeight="1" x14ac:dyDescent="0.35">
      <c r="A32" s="68"/>
      <c r="B32" s="38"/>
      <c r="C32" s="38"/>
      <c r="D32" s="56"/>
    </row>
    <row r="33" spans="1:4" ht="20.149999999999999" customHeight="1" x14ac:dyDescent="0.35">
      <c r="A33" s="68"/>
      <c r="B33" s="38"/>
      <c r="C33" s="38"/>
      <c r="D33" s="24"/>
    </row>
    <row r="34" spans="1:4" ht="20.149999999999999" customHeight="1" x14ac:dyDescent="0.3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375" defaultRowHeight="15" x14ac:dyDescent="0.35"/>
  <cols>
    <col min="1" max="1" width="5.75" style="7" customWidth="1"/>
    <col min="2" max="2" width="55.75" style="7" customWidth="1"/>
    <col min="3" max="3" width="22" style="7" customWidth="1"/>
    <col min="4" max="4" width="5.6875" style="7" customWidth="1"/>
    <col min="5" max="16384" width="57.4375" style="7"/>
  </cols>
  <sheetData>
    <row r="1" spans="1:13" ht="20.149999999999999" customHeight="1" x14ac:dyDescent="0.35">
      <c r="A1" s="4" t="s">
        <v>1101</v>
      </c>
      <c r="B1" s="5"/>
      <c r="C1" s="6"/>
    </row>
    <row r="2" spans="1:13" ht="20.149999999999999" customHeight="1" x14ac:dyDescent="0.35">
      <c r="A2" s="4"/>
      <c r="B2" s="5"/>
      <c r="C2" s="167" t="s">
        <v>1102</v>
      </c>
    </row>
    <row r="3" spans="1:13" ht="20.149999999999999" customHeight="1" x14ac:dyDescent="0.35">
      <c r="A3" s="29" t="str">
        <f>"HOSPITAL: "&amp;data!C84</f>
        <v>HOSPITAL: Klickitat County Public Hospital District #1</v>
      </c>
      <c r="B3" s="30"/>
      <c r="C3" s="31" t="str">
        <f>" FYE: "&amp;data!C82</f>
        <v xml:space="preserve"> FYE: 12/31/2020</v>
      </c>
    </row>
    <row r="4" spans="1:13" ht="20.149999999999999" customHeight="1" x14ac:dyDescent="0.35">
      <c r="A4" s="32"/>
      <c r="B4" s="33" t="s">
        <v>1103</v>
      </c>
      <c r="C4" s="34"/>
    </row>
    <row r="5" spans="1:13" ht="20.149999999999999" customHeight="1" x14ac:dyDescent="0.35">
      <c r="A5" s="23">
        <v>1</v>
      </c>
      <c r="B5" s="35" t="s">
        <v>361</v>
      </c>
      <c r="C5" s="36"/>
    </row>
    <row r="6" spans="1:13" ht="20.149999999999999" customHeight="1" x14ac:dyDescent="0.35">
      <c r="A6" s="13">
        <v>2</v>
      </c>
      <c r="B6" s="14" t="s">
        <v>362</v>
      </c>
      <c r="C6" s="21">
        <f>data!C250</f>
        <v>15935819.08</v>
      </c>
    </row>
    <row r="7" spans="1:13" ht="20.149999999999999" customHeight="1" x14ac:dyDescent="0.35">
      <c r="A7" s="13">
        <v>3</v>
      </c>
      <c r="B7" s="14" t="s">
        <v>363</v>
      </c>
      <c r="C7" s="21">
        <f>data!C251</f>
        <v>0</v>
      </c>
    </row>
    <row r="8" spans="1:13" ht="20.149999999999999" customHeight="1" x14ac:dyDescent="0.35">
      <c r="A8" s="13">
        <v>4</v>
      </c>
      <c r="B8" s="14" t="s">
        <v>364</v>
      </c>
      <c r="C8" s="21">
        <f>data!C252</f>
        <v>7543236</v>
      </c>
    </row>
    <row r="9" spans="1:13" ht="20.149999999999999" customHeight="1" x14ac:dyDescent="0.35">
      <c r="A9" s="13">
        <v>5</v>
      </c>
      <c r="B9" s="14" t="s">
        <v>1104</v>
      </c>
      <c r="C9" s="21">
        <f>data!C253</f>
        <v>4441311.05</v>
      </c>
    </row>
    <row r="10" spans="1:13" ht="20.149999999999999" customHeight="1" x14ac:dyDescent="0.35">
      <c r="A10" s="13">
        <v>6</v>
      </c>
      <c r="B10" s="14" t="s">
        <v>1105</v>
      </c>
      <c r="C10" s="21">
        <f>data!C254</f>
        <v>139968.01</v>
      </c>
    </row>
    <row r="11" spans="1:13" ht="20.149999999999999" customHeight="1" x14ac:dyDescent="0.35">
      <c r="A11" s="13">
        <v>7</v>
      </c>
      <c r="B11" s="14" t="s">
        <v>1106</v>
      </c>
      <c r="C11" s="21">
        <f>data!C255</f>
        <v>636023.12</v>
      </c>
    </row>
    <row r="12" spans="1:13" ht="20.149999999999999" customHeight="1" x14ac:dyDescent="0.35">
      <c r="A12" s="13">
        <v>8</v>
      </c>
      <c r="B12" s="14" t="s">
        <v>367</v>
      </c>
      <c r="C12" s="21">
        <f>data!C256</f>
        <v>0</v>
      </c>
    </row>
    <row r="13" spans="1:13" ht="20.149999999999999" customHeight="1" x14ac:dyDescent="0.35">
      <c r="A13" s="13">
        <v>9</v>
      </c>
      <c r="B13" s="14" t="s">
        <v>368</v>
      </c>
      <c r="C13" s="21">
        <f>data!C257</f>
        <v>400046.57</v>
      </c>
    </row>
    <row r="14" spans="1:13" ht="20.149999999999999" customHeight="1" x14ac:dyDescent="0.35">
      <c r="A14" s="13">
        <v>10</v>
      </c>
      <c r="B14" s="14" t="s">
        <v>369</v>
      </c>
      <c r="C14" s="21">
        <f>data!C258</f>
        <v>126241.1</v>
      </c>
    </row>
    <row r="15" spans="1:13" ht="20.149999999999999" customHeight="1" x14ac:dyDescent="0.35">
      <c r="A15" s="13">
        <v>11</v>
      </c>
      <c r="B15" s="14" t="s">
        <v>1107</v>
      </c>
      <c r="C15" s="21">
        <f>data!C259</f>
        <v>0</v>
      </c>
      <c r="M15" s="270"/>
    </row>
    <row r="16" spans="1:13" ht="20.149999999999999" customHeight="1" x14ac:dyDescent="0.35">
      <c r="A16" s="13">
        <v>12</v>
      </c>
      <c r="B16" s="14" t="s">
        <v>1108</v>
      </c>
      <c r="C16" s="21">
        <f>data!D260</f>
        <v>20340022.829999998</v>
      </c>
    </row>
    <row r="17" spans="1:3" ht="20.149999999999999" customHeight="1" x14ac:dyDescent="0.35">
      <c r="A17" s="13">
        <v>13</v>
      </c>
      <c r="B17" s="24"/>
      <c r="C17" s="24"/>
    </row>
    <row r="18" spans="1:3" ht="20.149999999999999" customHeight="1" x14ac:dyDescent="0.35">
      <c r="A18" s="13">
        <v>14</v>
      </c>
      <c r="B18" s="37" t="s">
        <v>1109</v>
      </c>
      <c r="C18" s="36"/>
    </row>
    <row r="19" spans="1:3" ht="20.149999999999999" customHeight="1" x14ac:dyDescent="0.35">
      <c r="A19" s="13">
        <v>15</v>
      </c>
      <c r="B19" s="14" t="s">
        <v>362</v>
      </c>
      <c r="C19" s="21">
        <f>data!C262</f>
        <v>0</v>
      </c>
    </row>
    <row r="20" spans="1:3" ht="20.149999999999999" customHeight="1" x14ac:dyDescent="0.35">
      <c r="A20" s="13">
        <v>16</v>
      </c>
      <c r="B20" s="14" t="s">
        <v>363</v>
      </c>
      <c r="C20" s="21">
        <f>data!C263</f>
        <v>0</v>
      </c>
    </row>
    <row r="21" spans="1:3" ht="20.149999999999999" customHeight="1" x14ac:dyDescent="0.35">
      <c r="A21" s="13">
        <v>17</v>
      </c>
      <c r="B21" s="14" t="s">
        <v>373</v>
      </c>
      <c r="C21" s="21">
        <f>data!C264</f>
        <v>376827</v>
      </c>
    </row>
    <row r="22" spans="1:3" ht="20.149999999999999" customHeight="1" x14ac:dyDescent="0.35">
      <c r="A22" s="13">
        <v>18</v>
      </c>
      <c r="B22" s="14" t="s">
        <v>1110</v>
      </c>
      <c r="C22" s="21">
        <f>data!D265</f>
        <v>376827</v>
      </c>
    </row>
    <row r="23" spans="1:3" ht="20.149999999999999" customHeight="1" x14ac:dyDescent="0.35">
      <c r="A23" s="13">
        <v>19</v>
      </c>
      <c r="B23" s="38"/>
      <c r="C23" s="24"/>
    </row>
    <row r="24" spans="1:3" ht="20.149999999999999" customHeight="1" x14ac:dyDescent="0.35">
      <c r="A24" s="13">
        <v>20</v>
      </c>
      <c r="B24" s="37" t="s">
        <v>1111</v>
      </c>
      <c r="C24" s="36"/>
    </row>
    <row r="25" spans="1:3" ht="20.149999999999999" customHeight="1" x14ac:dyDescent="0.35">
      <c r="A25" s="13">
        <v>21</v>
      </c>
      <c r="B25" s="14" t="s">
        <v>332</v>
      </c>
      <c r="C25" s="21">
        <f>data!C267</f>
        <v>203706.33</v>
      </c>
    </row>
    <row r="26" spans="1:3" ht="20.149999999999999" customHeight="1" x14ac:dyDescent="0.35">
      <c r="A26" s="13">
        <v>22</v>
      </c>
      <c r="B26" s="14" t="s">
        <v>333</v>
      </c>
      <c r="C26" s="21">
        <f>data!C268</f>
        <v>1771952.7799999998</v>
      </c>
    </row>
    <row r="27" spans="1:3" ht="20.149999999999999" customHeight="1" x14ac:dyDescent="0.35">
      <c r="A27" s="13">
        <v>23</v>
      </c>
      <c r="B27" s="14" t="s">
        <v>334</v>
      </c>
      <c r="C27" s="21">
        <f>data!C269</f>
        <v>13657778.01</v>
      </c>
    </row>
    <row r="28" spans="1:3" ht="20.149999999999999" customHeight="1" x14ac:dyDescent="0.35">
      <c r="A28" s="13">
        <v>24</v>
      </c>
      <c r="B28" s="14" t="s">
        <v>1112</v>
      </c>
      <c r="C28" s="21">
        <f>data!C270</f>
        <v>6932383.04</v>
      </c>
    </row>
    <row r="29" spans="1:3" ht="20.149999999999999" customHeight="1" x14ac:dyDescent="0.35">
      <c r="A29" s="13">
        <v>25</v>
      </c>
      <c r="B29" s="14" t="s">
        <v>336</v>
      </c>
      <c r="C29" s="21">
        <f>data!C271</f>
        <v>362010.22</v>
      </c>
    </row>
    <row r="30" spans="1:3" ht="20.149999999999999" customHeight="1" x14ac:dyDescent="0.35">
      <c r="A30" s="13">
        <v>26</v>
      </c>
      <c r="B30" s="14" t="s">
        <v>378</v>
      </c>
      <c r="C30" s="21">
        <f>data!C272</f>
        <v>7184358.4299999997</v>
      </c>
    </row>
    <row r="31" spans="1:3" ht="20.149999999999999" customHeight="1" x14ac:dyDescent="0.35">
      <c r="A31" s="13">
        <v>27</v>
      </c>
      <c r="B31" s="14" t="s">
        <v>339</v>
      </c>
      <c r="C31" s="21">
        <f>data!C273</f>
        <v>0</v>
      </c>
    </row>
    <row r="32" spans="1:3" ht="20.149999999999999" customHeight="1" x14ac:dyDescent="0.35">
      <c r="A32" s="13">
        <v>28</v>
      </c>
      <c r="B32" s="14" t="s">
        <v>340</v>
      </c>
      <c r="C32" s="21">
        <f>data!C274</f>
        <v>335642.50000000012</v>
      </c>
    </row>
    <row r="33" spans="1:3" ht="20.149999999999999" customHeight="1" x14ac:dyDescent="0.35">
      <c r="A33" s="13">
        <v>29</v>
      </c>
      <c r="B33" s="14" t="s">
        <v>661</v>
      </c>
      <c r="C33" s="21">
        <f>data!D275</f>
        <v>30447831.309999999</v>
      </c>
    </row>
    <row r="34" spans="1:3" ht="20.149999999999999" customHeight="1" x14ac:dyDescent="0.35">
      <c r="A34" s="13">
        <v>30</v>
      </c>
      <c r="B34" s="14" t="s">
        <v>1113</v>
      </c>
      <c r="C34" s="21">
        <f>data!C276</f>
        <v>20190235</v>
      </c>
    </row>
    <row r="35" spans="1:3" ht="20.149999999999999" customHeight="1" x14ac:dyDescent="0.35">
      <c r="A35" s="13">
        <v>31</v>
      </c>
      <c r="B35" s="14" t="s">
        <v>1114</v>
      </c>
      <c r="C35" s="21">
        <f>data!D277</f>
        <v>10257596.309999999</v>
      </c>
    </row>
    <row r="36" spans="1:3" ht="20.149999999999999" customHeight="1" x14ac:dyDescent="0.35">
      <c r="A36" s="13">
        <v>32</v>
      </c>
      <c r="B36" s="38"/>
      <c r="C36" s="24"/>
    </row>
    <row r="37" spans="1:3" ht="20.149999999999999" customHeight="1" x14ac:dyDescent="0.35">
      <c r="A37" s="23">
        <v>33</v>
      </c>
      <c r="B37" s="37" t="s">
        <v>1115</v>
      </c>
      <c r="C37" s="36"/>
    </row>
    <row r="38" spans="1:3" ht="20.149999999999999" customHeight="1" x14ac:dyDescent="0.35">
      <c r="A38" s="13">
        <v>34</v>
      </c>
      <c r="B38" s="14" t="s">
        <v>1116</v>
      </c>
      <c r="C38" s="21">
        <f>data!C279</f>
        <v>0</v>
      </c>
    </row>
    <row r="39" spans="1:3" ht="20.149999999999999" customHeight="1" x14ac:dyDescent="0.35">
      <c r="A39" s="13">
        <v>35</v>
      </c>
      <c r="B39" s="14" t="s">
        <v>1117</v>
      </c>
      <c r="C39" s="21">
        <f>data!C280</f>
        <v>0</v>
      </c>
    </row>
    <row r="40" spans="1:3" ht="20.149999999999999" customHeight="1" x14ac:dyDescent="0.35">
      <c r="A40" s="13">
        <v>36</v>
      </c>
      <c r="B40" s="14" t="s">
        <v>385</v>
      </c>
      <c r="C40" s="21">
        <f>data!C281</f>
        <v>0</v>
      </c>
    </row>
    <row r="41" spans="1:3" ht="20.149999999999999" customHeight="1" x14ac:dyDescent="0.35">
      <c r="A41" s="13">
        <v>37</v>
      </c>
      <c r="B41" s="14" t="s">
        <v>373</v>
      </c>
      <c r="C41" s="21">
        <f>data!C282</f>
        <v>0</v>
      </c>
    </row>
    <row r="42" spans="1:3" ht="20.149999999999999" customHeight="1" x14ac:dyDescent="0.35">
      <c r="A42" s="13">
        <v>38</v>
      </c>
      <c r="B42" s="14" t="s">
        <v>1118</v>
      </c>
      <c r="C42" s="21">
        <f>data!D283</f>
        <v>0</v>
      </c>
    </row>
    <row r="43" spans="1:3" ht="20.149999999999999" customHeight="1" x14ac:dyDescent="0.35">
      <c r="A43" s="13">
        <v>39</v>
      </c>
      <c r="B43" s="38"/>
      <c r="C43" s="24"/>
    </row>
    <row r="44" spans="1:3" ht="20.149999999999999" customHeight="1" x14ac:dyDescent="0.35">
      <c r="A44" s="23">
        <v>40</v>
      </c>
      <c r="B44" s="37" t="s">
        <v>1119</v>
      </c>
      <c r="C44" s="36"/>
    </row>
    <row r="45" spans="1:3" ht="20.149999999999999" customHeight="1" x14ac:dyDescent="0.35">
      <c r="A45" s="13">
        <v>41</v>
      </c>
      <c r="B45" s="14" t="s">
        <v>388</v>
      </c>
      <c r="C45" s="21">
        <f>data!C286</f>
        <v>0</v>
      </c>
    </row>
    <row r="46" spans="1:3" ht="20.149999999999999" customHeight="1" x14ac:dyDescent="0.35">
      <c r="A46" s="13">
        <v>42</v>
      </c>
      <c r="B46" s="14" t="s">
        <v>389</v>
      </c>
      <c r="C46" s="21">
        <f>data!C287</f>
        <v>0</v>
      </c>
    </row>
    <row r="47" spans="1:3" ht="20.149999999999999" customHeight="1" x14ac:dyDescent="0.35">
      <c r="A47" s="13">
        <v>43</v>
      </c>
      <c r="B47" s="14" t="s">
        <v>1120</v>
      </c>
      <c r="C47" s="21">
        <f>data!C288</f>
        <v>0</v>
      </c>
    </row>
    <row r="48" spans="1:3" ht="20.149999999999999" customHeight="1" x14ac:dyDescent="0.35">
      <c r="A48" s="13">
        <v>44</v>
      </c>
      <c r="B48" s="14" t="s">
        <v>391</v>
      </c>
      <c r="C48" s="21">
        <f>data!C289</f>
        <v>0</v>
      </c>
    </row>
    <row r="49" spans="1:3" ht="20.149999999999999" customHeight="1" x14ac:dyDescent="0.35">
      <c r="A49" s="13">
        <v>45</v>
      </c>
      <c r="B49" s="14" t="s">
        <v>1121</v>
      </c>
      <c r="C49" s="21">
        <f>data!D290</f>
        <v>0</v>
      </c>
    </row>
    <row r="50" spans="1:3" ht="20.149999999999999" customHeight="1" x14ac:dyDescent="0.35">
      <c r="A50" s="40">
        <v>46</v>
      </c>
      <c r="B50" s="41" t="s">
        <v>1122</v>
      </c>
      <c r="C50" s="21">
        <f>data!D292</f>
        <v>30974446.139999997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4" t="s">
        <v>1123</v>
      </c>
      <c r="B53" s="5"/>
      <c r="C53" s="6"/>
    </row>
    <row r="54" spans="1:3" ht="20.149999999999999" customHeight="1" x14ac:dyDescent="0.35">
      <c r="A54" s="4"/>
      <c r="B54" s="5"/>
      <c r="C54" s="167" t="s">
        <v>1124</v>
      </c>
    </row>
    <row r="55" spans="1:3" ht="20.149999999999999" customHeight="1" x14ac:dyDescent="0.35">
      <c r="A55" s="29" t="str">
        <f>"HOSPITAL: "&amp;data!C84</f>
        <v>HOSPITAL: Klickitat County Public Hospital District #1</v>
      </c>
      <c r="B55" s="30"/>
      <c r="C55" s="31" t="str">
        <f>"FYE: "&amp;data!C82</f>
        <v>FYE: 12/31/2020</v>
      </c>
    </row>
    <row r="56" spans="1:3" ht="20.149999999999999" customHeight="1" x14ac:dyDescent="0.35">
      <c r="A56" s="42"/>
      <c r="B56" s="43" t="s">
        <v>1125</v>
      </c>
      <c r="C56" s="34"/>
    </row>
    <row r="57" spans="1:3" ht="20.149999999999999" customHeight="1" x14ac:dyDescent="0.35">
      <c r="A57" s="16">
        <v>1</v>
      </c>
      <c r="B57" s="4" t="s">
        <v>395</v>
      </c>
      <c r="C57" s="44"/>
    </row>
    <row r="58" spans="1:3" ht="20.149999999999999" customHeight="1" x14ac:dyDescent="0.35">
      <c r="A58" s="13">
        <v>2</v>
      </c>
      <c r="B58" s="14" t="s">
        <v>396</v>
      </c>
      <c r="C58" s="21">
        <f>data!C304</f>
        <v>2911051.96</v>
      </c>
    </row>
    <row r="59" spans="1:3" ht="20.149999999999999" customHeight="1" x14ac:dyDescent="0.35">
      <c r="A59" s="13">
        <v>3</v>
      </c>
      <c r="B59" s="14" t="s">
        <v>1126</v>
      </c>
      <c r="C59" s="21">
        <f>data!C305</f>
        <v>1065299.48</v>
      </c>
    </row>
    <row r="60" spans="1:3" ht="20.149999999999999" customHeight="1" x14ac:dyDescent="0.35">
      <c r="A60" s="13">
        <v>4</v>
      </c>
      <c r="B60" s="14" t="s">
        <v>1127</v>
      </c>
      <c r="C60" s="21">
        <f>data!C306</f>
        <v>1440946.68</v>
      </c>
    </row>
    <row r="61" spans="1:3" ht="20.149999999999999" customHeight="1" x14ac:dyDescent="0.35">
      <c r="A61" s="13">
        <v>5</v>
      </c>
      <c r="B61" s="14" t="s">
        <v>399</v>
      </c>
      <c r="C61" s="21">
        <f>data!C307</f>
        <v>13799.47</v>
      </c>
    </row>
    <row r="62" spans="1:3" ht="20.149999999999999" customHeight="1" x14ac:dyDescent="0.35">
      <c r="A62" s="13">
        <v>6</v>
      </c>
      <c r="B62" s="14" t="s">
        <v>1128</v>
      </c>
      <c r="C62" s="21">
        <f>data!C308</f>
        <v>0</v>
      </c>
    </row>
    <row r="63" spans="1:3" ht="20.149999999999999" customHeight="1" x14ac:dyDescent="0.35">
      <c r="A63" s="13">
        <v>7</v>
      </c>
      <c r="B63" s="14" t="s">
        <v>1129</v>
      </c>
      <c r="C63" s="21">
        <f>data!C309</f>
        <v>5681602.2199999997</v>
      </c>
    </row>
    <row r="64" spans="1:3" ht="20.149999999999999" customHeight="1" x14ac:dyDescent="0.35">
      <c r="A64" s="13">
        <v>8</v>
      </c>
      <c r="B64" s="14" t="s">
        <v>401</v>
      </c>
      <c r="C64" s="21">
        <f>data!C310</f>
        <v>0</v>
      </c>
    </row>
    <row r="65" spans="1:3" ht="20.149999999999999" customHeight="1" x14ac:dyDescent="0.35">
      <c r="A65" s="13">
        <v>9</v>
      </c>
      <c r="B65" s="14" t="s">
        <v>402</v>
      </c>
      <c r="C65" s="21">
        <f>data!C311</f>
        <v>665772.38</v>
      </c>
    </row>
    <row r="66" spans="1:3" ht="20.149999999999999" customHeight="1" x14ac:dyDescent="0.35">
      <c r="A66" s="13">
        <v>10</v>
      </c>
      <c r="B66" s="14" t="s">
        <v>403</v>
      </c>
      <c r="C66" s="21">
        <f>data!C312</f>
        <v>552428.47</v>
      </c>
    </row>
    <row r="67" spans="1:3" ht="20.149999999999999" customHeight="1" x14ac:dyDescent="0.35">
      <c r="A67" s="13">
        <v>11</v>
      </c>
      <c r="B67" s="14" t="s">
        <v>1130</v>
      </c>
      <c r="C67" s="21">
        <f>data!C313</f>
        <v>574480.89</v>
      </c>
    </row>
    <row r="68" spans="1:3" ht="20.149999999999999" customHeight="1" x14ac:dyDescent="0.35">
      <c r="A68" s="13">
        <v>12</v>
      </c>
      <c r="B68" s="14" t="s">
        <v>1131</v>
      </c>
      <c r="C68" s="21">
        <f>data!D314</f>
        <v>12905381.550000001</v>
      </c>
    </row>
    <row r="69" spans="1:3" ht="20.149999999999999" customHeight="1" x14ac:dyDescent="0.35">
      <c r="A69" s="13">
        <v>13</v>
      </c>
      <c r="B69" s="38"/>
      <c r="C69" s="24"/>
    </row>
    <row r="70" spans="1:3" ht="20.149999999999999" customHeight="1" x14ac:dyDescent="0.35">
      <c r="A70" s="13">
        <v>14</v>
      </c>
      <c r="B70" s="37" t="s">
        <v>1132</v>
      </c>
      <c r="C70" s="36"/>
    </row>
    <row r="71" spans="1:3" ht="20.149999999999999" customHeight="1" x14ac:dyDescent="0.35">
      <c r="A71" s="13">
        <v>15</v>
      </c>
      <c r="B71" s="14" t="s">
        <v>407</v>
      </c>
      <c r="C71" s="21">
        <f>data!C316</f>
        <v>0</v>
      </c>
    </row>
    <row r="72" spans="1:3" ht="20.149999999999999" customHeight="1" x14ac:dyDescent="0.35">
      <c r="A72" s="13">
        <v>16</v>
      </c>
      <c r="B72" s="14" t="s">
        <v>1133</v>
      </c>
      <c r="C72" s="21">
        <f>data!C317</f>
        <v>0</v>
      </c>
    </row>
    <row r="73" spans="1:3" ht="20.149999999999999" customHeight="1" x14ac:dyDescent="0.35">
      <c r="A73" s="13">
        <v>17</v>
      </c>
      <c r="B73" s="14" t="s">
        <v>409</v>
      </c>
      <c r="C73" s="21">
        <f>data!C318</f>
        <v>0</v>
      </c>
    </row>
    <row r="74" spans="1:3" ht="20.149999999999999" customHeight="1" x14ac:dyDescent="0.35">
      <c r="A74" s="13">
        <v>18</v>
      </c>
      <c r="B74" s="14" t="s">
        <v>1134</v>
      </c>
      <c r="C74" s="21">
        <f>data!D319</f>
        <v>0</v>
      </c>
    </row>
    <row r="75" spans="1:3" ht="20.149999999999999" customHeight="1" x14ac:dyDescent="0.35">
      <c r="A75" s="13">
        <v>19</v>
      </c>
      <c r="B75" s="38"/>
      <c r="C75" s="24"/>
    </row>
    <row r="76" spans="1:3" ht="20.149999999999999" customHeight="1" x14ac:dyDescent="0.35">
      <c r="A76" s="23">
        <v>20</v>
      </c>
      <c r="B76" s="37" t="s">
        <v>411</v>
      </c>
      <c r="C76" s="36"/>
    </row>
    <row r="77" spans="1:3" ht="20.149999999999999" customHeight="1" x14ac:dyDescent="0.35">
      <c r="A77" s="13">
        <v>21</v>
      </c>
      <c r="B77" s="14" t="s">
        <v>412</v>
      </c>
      <c r="C77" s="21">
        <f>data!C321</f>
        <v>0</v>
      </c>
    </row>
    <row r="78" spans="1:3" ht="20.149999999999999" customHeight="1" x14ac:dyDescent="0.35">
      <c r="A78" s="13">
        <v>22</v>
      </c>
      <c r="B78" s="14" t="s">
        <v>1135</v>
      </c>
      <c r="C78" s="21">
        <f>data!C322</f>
        <v>0</v>
      </c>
    </row>
    <row r="79" spans="1:3" ht="20.149999999999999" customHeight="1" x14ac:dyDescent="0.35">
      <c r="A79" s="13">
        <v>23</v>
      </c>
      <c r="B79" s="14" t="s">
        <v>414</v>
      </c>
      <c r="C79" s="21">
        <f>data!C323</f>
        <v>0</v>
      </c>
    </row>
    <row r="80" spans="1:3" ht="20.149999999999999" customHeight="1" x14ac:dyDescent="0.35">
      <c r="A80" s="13">
        <v>24</v>
      </c>
      <c r="B80" s="14" t="s">
        <v>1136</v>
      </c>
      <c r="C80" s="21">
        <f>data!C324</f>
        <v>0</v>
      </c>
    </row>
    <row r="81" spans="1:3" ht="20.149999999999999" customHeight="1" x14ac:dyDescent="0.35">
      <c r="A81" s="13">
        <v>25</v>
      </c>
      <c r="B81" s="14" t="s">
        <v>416</v>
      </c>
      <c r="C81" s="21">
        <f>data!C325</f>
        <v>4550767.93</v>
      </c>
    </row>
    <row r="82" spans="1:3" ht="20.149999999999999" customHeight="1" x14ac:dyDescent="0.35">
      <c r="A82" s="13">
        <v>26</v>
      </c>
      <c r="B82" s="14" t="s">
        <v>1137</v>
      </c>
      <c r="C82" s="21">
        <f>data!C326</f>
        <v>0</v>
      </c>
    </row>
    <row r="83" spans="1:3" ht="20.149999999999999" customHeight="1" x14ac:dyDescent="0.35">
      <c r="A83" s="13">
        <v>27</v>
      </c>
      <c r="B83" s="14" t="s">
        <v>418</v>
      </c>
      <c r="C83" s="21">
        <f>data!C327</f>
        <v>189181.3</v>
      </c>
    </row>
    <row r="84" spans="1:3" ht="20.149999999999999" customHeight="1" x14ac:dyDescent="0.35">
      <c r="A84" s="13">
        <v>28</v>
      </c>
      <c r="B84" s="14" t="s">
        <v>661</v>
      </c>
      <c r="C84" s="21">
        <f>data!D328</f>
        <v>4739949.2299999995</v>
      </c>
    </row>
    <row r="85" spans="1:3" ht="20.149999999999999" customHeight="1" x14ac:dyDescent="0.35">
      <c r="A85" s="13">
        <v>29</v>
      </c>
      <c r="B85" s="14" t="s">
        <v>1138</v>
      </c>
      <c r="C85" s="21">
        <f>data!D329</f>
        <v>574480.89</v>
      </c>
    </row>
    <row r="86" spans="1:3" ht="20.149999999999999" customHeight="1" x14ac:dyDescent="0.35">
      <c r="A86" s="13">
        <v>30</v>
      </c>
      <c r="B86" s="14" t="s">
        <v>1139</v>
      </c>
      <c r="C86" s="21">
        <f>data!D330</f>
        <v>4165468.3399999994</v>
      </c>
    </row>
    <row r="87" spans="1:3" ht="20.149999999999999" customHeight="1" x14ac:dyDescent="0.35">
      <c r="A87" s="13">
        <v>31</v>
      </c>
      <c r="B87" s="38"/>
      <c r="C87" s="24"/>
    </row>
    <row r="88" spans="1:3" ht="20.149999999999999" customHeight="1" x14ac:dyDescent="0.35">
      <c r="A88" s="13">
        <v>32</v>
      </c>
      <c r="B88" s="89" t="s">
        <v>1140</v>
      </c>
      <c r="C88" s="21">
        <f>data!C332</f>
        <v>9426490</v>
      </c>
    </row>
    <row r="89" spans="1:3" ht="20.149999999999999" customHeight="1" x14ac:dyDescent="0.35">
      <c r="A89" s="13">
        <v>33</v>
      </c>
      <c r="B89" s="24"/>
      <c r="C89" s="24"/>
    </row>
    <row r="90" spans="1:3" ht="20.149999999999999" customHeight="1" x14ac:dyDescent="0.35">
      <c r="A90" s="13">
        <v>34</v>
      </c>
      <c r="B90" s="37" t="s">
        <v>1141</v>
      </c>
      <c r="C90" s="36"/>
    </row>
    <row r="91" spans="1:3" ht="20.149999999999999" customHeight="1" x14ac:dyDescent="0.35">
      <c r="A91" s="13">
        <v>35</v>
      </c>
      <c r="B91" s="14" t="s">
        <v>1142</v>
      </c>
      <c r="C91" s="21">
        <f>data!C334</f>
        <v>0</v>
      </c>
    </row>
    <row r="92" spans="1:3" ht="20.149999999999999" customHeight="1" x14ac:dyDescent="0.35">
      <c r="A92" s="13">
        <v>36</v>
      </c>
      <c r="B92" s="38"/>
      <c r="C92" s="24"/>
    </row>
    <row r="93" spans="1:3" ht="20.149999999999999" customHeight="1" x14ac:dyDescent="0.35">
      <c r="A93" s="13">
        <v>37</v>
      </c>
      <c r="B93" s="14" t="s">
        <v>1143</v>
      </c>
      <c r="C93" s="21">
        <f>data!C335</f>
        <v>0</v>
      </c>
    </row>
    <row r="94" spans="1:3" ht="20.149999999999999" customHeight="1" x14ac:dyDescent="0.35">
      <c r="A94" s="13">
        <v>38</v>
      </c>
      <c r="B94" s="38"/>
      <c r="C94" s="24"/>
    </row>
    <row r="95" spans="1:3" ht="20.149999999999999" customHeight="1" x14ac:dyDescent="0.35">
      <c r="A95" s="13">
        <v>39</v>
      </c>
      <c r="B95" s="14" t="s">
        <v>1144</v>
      </c>
      <c r="C95" s="21">
        <f>data!C336</f>
        <v>0</v>
      </c>
    </row>
    <row r="96" spans="1:3" ht="20.149999999999999" customHeight="1" x14ac:dyDescent="0.35">
      <c r="A96" s="13">
        <v>40</v>
      </c>
      <c r="B96" s="38"/>
      <c r="C96" s="24"/>
    </row>
    <row r="97" spans="1:3" ht="20.149999999999999" customHeight="1" x14ac:dyDescent="0.35">
      <c r="A97" s="13">
        <v>41</v>
      </c>
      <c r="B97" s="14" t="s">
        <v>1145</v>
      </c>
      <c r="C97" s="21">
        <f>data!C337</f>
        <v>3913666.28</v>
      </c>
    </row>
    <row r="98" spans="1:3" ht="20.149999999999999" customHeight="1" x14ac:dyDescent="0.35">
      <c r="A98" s="13">
        <v>42</v>
      </c>
      <c r="B98" s="14" t="s">
        <v>1146</v>
      </c>
      <c r="C98" s="24"/>
    </row>
    <row r="99" spans="1:3" ht="20.149999999999999" customHeight="1" x14ac:dyDescent="0.35">
      <c r="A99" s="13">
        <v>43</v>
      </c>
      <c r="B99" s="38"/>
      <c r="C99" s="24"/>
    </row>
    <row r="100" spans="1:3" ht="20.149999999999999" customHeight="1" x14ac:dyDescent="0.35">
      <c r="A100" s="13">
        <v>44</v>
      </c>
      <c r="B100" s="14" t="s">
        <v>1147</v>
      </c>
      <c r="C100" s="21">
        <f>data!C338</f>
        <v>0</v>
      </c>
    </row>
    <row r="101" spans="1:3" ht="20.149999999999999" customHeight="1" x14ac:dyDescent="0.35">
      <c r="A101" s="13">
        <v>45</v>
      </c>
      <c r="B101" s="14" t="s">
        <v>1148</v>
      </c>
      <c r="C101" s="21">
        <f>data!C332+data!C334+data!C335+data!C336+data!C337-data!C338</f>
        <v>13340156.279999999</v>
      </c>
    </row>
    <row r="102" spans="1:3" ht="20.149999999999999" customHeight="1" x14ac:dyDescent="0.35">
      <c r="A102" s="13">
        <v>46</v>
      </c>
      <c r="B102" s="14" t="s">
        <v>1149</v>
      </c>
      <c r="C102" s="21">
        <f>data!D339</f>
        <v>30411006.170000002</v>
      </c>
    </row>
    <row r="103" spans="1:3" ht="20.149999999999999" customHeight="1" x14ac:dyDescent="0.35"/>
    <row r="104" spans="1:3" ht="20.149999999999999" customHeight="1" x14ac:dyDescent="0.35"/>
    <row r="105" spans="1:3" ht="20.149999999999999" customHeight="1" x14ac:dyDescent="0.35">
      <c r="A105" s="4" t="s">
        <v>1150</v>
      </c>
      <c r="B105" s="5"/>
      <c r="C105" s="6"/>
    </row>
    <row r="106" spans="1:3" ht="20.149999999999999" customHeight="1" x14ac:dyDescent="0.35">
      <c r="A106" s="45"/>
      <c r="B106" s="8"/>
      <c r="C106" s="167" t="s">
        <v>1151</v>
      </c>
    </row>
    <row r="107" spans="1:3" ht="20.149999999999999" customHeight="1" x14ac:dyDescent="0.35">
      <c r="A107" s="29" t="str">
        <f>"HOSPITAL: "&amp;data!C84</f>
        <v>HOSPITAL: Klickitat County Public Hospital District #1</v>
      </c>
      <c r="B107" s="30"/>
      <c r="C107" s="31" t="str">
        <f>" FYE: "&amp;data!C82</f>
        <v xml:space="preserve"> FYE: 12/31/2020</v>
      </c>
    </row>
    <row r="108" spans="1:3" ht="20.149999999999999" customHeight="1" x14ac:dyDescent="0.35">
      <c r="A108" s="32"/>
      <c r="B108" s="46"/>
      <c r="C108" s="47"/>
    </row>
    <row r="109" spans="1:3" ht="20.149999999999999" customHeight="1" x14ac:dyDescent="0.35">
      <c r="A109" s="13">
        <v>1</v>
      </c>
      <c r="B109" s="37" t="s">
        <v>1152</v>
      </c>
      <c r="C109" s="36"/>
    </row>
    <row r="110" spans="1:3" ht="20.149999999999999" customHeight="1" x14ac:dyDescent="0.35">
      <c r="A110" s="13">
        <v>2</v>
      </c>
      <c r="B110" s="14" t="s">
        <v>428</v>
      </c>
      <c r="C110" s="21">
        <f>data!C359</f>
        <v>3422586.93</v>
      </c>
    </row>
    <row r="111" spans="1:3" ht="20.149999999999999" customHeight="1" x14ac:dyDescent="0.35">
      <c r="A111" s="13">
        <v>3</v>
      </c>
      <c r="B111" s="14" t="s">
        <v>429</v>
      </c>
      <c r="C111" s="21">
        <f>data!C360</f>
        <v>43297033</v>
      </c>
    </row>
    <row r="112" spans="1:3" ht="20.149999999999999" customHeight="1" x14ac:dyDescent="0.35">
      <c r="A112" s="13">
        <v>4</v>
      </c>
      <c r="B112" s="14" t="s">
        <v>1153</v>
      </c>
      <c r="C112" s="21">
        <f>data!D361</f>
        <v>46719619.93</v>
      </c>
    </row>
    <row r="113" spans="1:3" ht="20.149999999999999" customHeight="1" x14ac:dyDescent="0.35">
      <c r="A113" s="13">
        <v>5</v>
      </c>
      <c r="B113" s="38"/>
      <c r="C113" s="24"/>
    </row>
    <row r="114" spans="1:3" ht="20.149999999999999" customHeight="1" x14ac:dyDescent="0.35">
      <c r="A114" s="13">
        <v>6</v>
      </c>
      <c r="B114" s="37" t="s">
        <v>1154</v>
      </c>
      <c r="C114" s="36"/>
    </row>
    <row r="115" spans="1:3" ht="20.149999999999999" customHeight="1" x14ac:dyDescent="0.35">
      <c r="A115" s="13">
        <v>7</v>
      </c>
      <c r="B115" s="275" t="s">
        <v>450</v>
      </c>
      <c r="C115" s="48">
        <f>data!C363</f>
        <v>1466324.23</v>
      </c>
    </row>
    <row r="116" spans="1:3" ht="20.149999999999999" customHeight="1" x14ac:dyDescent="0.35">
      <c r="A116" s="13">
        <v>8</v>
      </c>
      <c r="B116" s="14" t="s">
        <v>432</v>
      </c>
      <c r="C116" s="48">
        <f>data!C364</f>
        <v>19736503.43</v>
      </c>
    </row>
    <row r="117" spans="1:3" ht="20.149999999999999" customHeight="1" x14ac:dyDescent="0.35">
      <c r="A117" s="13">
        <v>9</v>
      </c>
      <c r="B117" s="14" t="s">
        <v>1155</v>
      </c>
      <c r="C117" s="48">
        <f>data!C365</f>
        <v>400922</v>
      </c>
    </row>
    <row r="118" spans="1:3" ht="20.149999999999999" customHeight="1" x14ac:dyDescent="0.35">
      <c r="A118" s="13">
        <v>10</v>
      </c>
      <c r="B118" s="14" t="s">
        <v>1156</v>
      </c>
      <c r="C118" s="48">
        <f>data!C366</f>
        <v>-142624</v>
      </c>
    </row>
    <row r="119" spans="1:3" ht="20.149999999999999" customHeight="1" x14ac:dyDescent="0.35">
      <c r="A119" s="13">
        <v>11</v>
      </c>
      <c r="B119" s="14" t="s">
        <v>1099</v>
      </c>
      <c r="C119" s="48">
        <f>data!D367</f>
        <v>21461125.66</v>
      </c>
    </row>
    <row r="120" spans="1:3" ht="20.149999999999999" customHeight="1" x14ac:dyDescent="0.35">
      <c r="A120" s="13">
        <v>12</v>
      </c>
      <c r="B120" s="14" t="s">
        <v>1157</v>
      </c>
      <c r="C120" s="48">
        <f>data!D368</f>
        <v>25258494.27</v>
      </c>
    </row>
    <row r="121" spans="1:3" ht="20.149999999999999" customHeight="1" x14ac:dyDescent="0.35">
      <c r="A121" s="13">
        <v>13</v>
      </c>
      <c r="B121" s="38"/>
      <c r="C121" s="24"/>
    </row>
    <row r="122" spans="1:3" ht="20.149999999999999" customHeight="1" x14ac:dyDescent="0.35">
      <c r="A122" s="13">
        <v>14</v>
      </c>
      <c r="B122" s="37" t="s">
        <v>436</v>
      </c>
      <c r="C122" s="36"/>
    </row>
    <row r="123" spans="1:3" ht="20.149999999999999" customHeight="1" x14ac:dyDescent="0.35">
      <c r="A123" s="13">
        <v>15</v>
      </c>
      <c r="B123" s="14" t="s">
        <v>437</v>
      </c>
      <c r="C123" s="48">
        <f>data!C370</f>
        <v>0</v>
      </c>
    </row>
    <row r="124" spans="1:3" ht="20.149999999999999" customHeight="1" x14ac:dyDescent="0.35">
      <c r="A124" s="13">
        <v>16</v>
      </c>
      <c r="B124" s="14" t="s">
        <v>438</v>
      </c>
      <c r="C124" s="48">
        <f>data!C371</f>
        <v>0</v>
      </c>
    </row>
    <row r="125" spans="1:3" ht="20.149999999999999" customHeight="1" x14ac:dyDescent="0.35">
      <c r="A125" s="13">
        <v>17</v>
      </c>
      <c r="B125" s="14" t="s">
        <v>1158</v>
      </c>
      <c r="C125" s="48">
        <f>data!D372</f>
        <v>0</v>
      </c>
    </row>
    <row r="126" spans="1:3" ht="20.149999999999999" customHeight="1" x14ac:dyDescent="0.35">
      <c r="A126" s="13">
        <v>18</v>
      </c>
      <c r="B126" s="14" t="s">
        <v>1159</v>
      </c>
      <c r="C126" s="48">
        <f>data!D373</f>
        <v>25258494.27</v>
      </c>
    </row>
    <row r="127" spans="1:3" ht="20.149999999999999" customHeight="1" x14ac:dyDescent="0.35">
      <c r="A127" s="13">
        <v>19</v>
      </c>
      <c r="B127" s="38"/>
      <c r="C127" s="24"/>
    </row>
    <row r="128" spans="1:3" ht="20.149999999999999" customHeight="1" x14ac:dyDescent="0.35">
      <c r="A128" s="13">
        <v>20</v>
      </c>
      <c r="B128" s="37" t="s">
        <v>1160</v>
      </c>
      <c r="C128" s="36"/>
    </row>
    <row r="129" spans="1:3" ht="20.149999999999999" customHeight="1" x14ac:dyDescent="0.35">
      <c r="A129" s="13">
        <v>21</v>
      </c>
      <c r="B129" s="14" t="s">
        <v>442</v>
      </c>
      <c r="C129" s="48">
        <f>data!C378</f>
        <v>14293531.720000001</v>
      </c>
    </row>
    <row r="130" spans="1:3" ht="20.149999999999999" customHeight="1" x14ac:dyDescent="0.35">
      <c r="A130" s="13">
        <v>22</v>
      </c>
      <c r="B130" s="14" t="s">
        <v>3</v>
      </c>
      <c r="C130" s="48">
        <f>data!C379</f>
        <v>3021740.06</v>
      </c>
    </row>
    <row r="131" spans="1:3" ht="20.149999999999999" customHeight="1" x14ac:dyDescent="0.35">
      <c r="A131" s="13">
        <v>23</v>
      </c>
      <c r="B131" s="14" t="s">
        <v>236</v>
      </c>
      <c r="C131" s="48">
        <f>data!C380</f>
        <v>2990765</v>
      </c>
    </row>
    <row r="132" spans="1:3" ht="20.149999999999999" customHeight="1" x14ac:dyDescent="0.35">
      <c r="A132" s="13">
        <v>24</v>
      </c>
      <c r="B132" s="14" t="s">
        <v>237</v>
      </c>
      <c r="C132" s="48">
        <f>data!C381</f>
        <v>2631968.4700000002</v>
      </c>
    </row>
    <row r="133" spans="1:3" ht="20.149999999999999" customHeight="1" x14ac:dyDescent="0.35">
      <c r="A133" s="13">
        <v>25</v>
      </c>
      <c r="B133" s="14" t="s">
        <v>1161</v>
      </c>
      <c r="C133" s="48">
        <f>data!C382</f>
        <v>267414.14</v>
      </c>
    </row>
    <row r="134" spans="1:3" ht="20.149999999999999" customHeight="1" x14ac:dyDescent="0.35">
      <c r="A134" s="13">
        <v>26</v>
      </c>
      <c r="B134" s="14" t="s">
        <v>1162</v>
      </c>
      <c r="C134" s="48">
        <f>data!C383</f>
        <v>2693618.12</v>
      </c>
    </row>
    <row r="135" spans="1:3" ht="20.149999999999999" customHeight="1" x14ac:dyDescent="0.35">
      <c r="A135" s="13">
        <v>27</v>
      </c>
      <c r="B135" s="14" t="s">
        <v>6</v>
      </c>
      <c r="C135" s="48">
        <f>data!C384</f>
        <v>1288739</v>
      </c>
    </row>
    <row r="136" spans="1:3" ht="20.149999999999999" customHeight="1" x14ac:dyDescent="0.35">
      <c r="A136" s="13">
        <v>28</v>
      </c>
      <c r="B136" s="14" t="s">
        <v>1163</v>
      </c>
      <c r="C136" s="48">
        <f>data!C385</f>
        <v>416376.77</v>
      </c>
    </row>
    <row r="137" spans="1:3" ht="20.149999999999999" customHeight="1" x14ac:dyDescent="0.35">
      <c r="A137" s="13">
        <v>29</v>
      </c>
      <c r="B137" s="14" t="s">
        <v>447</v>
      </c>
      <c r="C137" s="48">
        <f>data!C386</f>
        <v>187927.36</v>
      </c>
    </row>
    <row r="138" spans="1:3" ht="20.149999999999999" customHeight="1" x14ac:dyDescent="0.35">
      <c r="A138" s="13">
        <v>30</v>
      </c>
      <c r="B138" s="14" t="s">
        <v>1164</v>
      </c>
      <c r="C138" s="48">
        <f>data!C387</f>
        <v>25805.46</v>
      </c>
    </row>
    <row r="139" spans="1:3" ht="20.149999999999999" customHeight="1" x14ac:dyDescent="0.35">
      <c r="A139" s="13">
        <v>31</v>
      </c>
      <c r="B139" s="14" t="s">
        <v>449</v>
      </c>
      <c r="C139" s="48">
        <f>data!C388</f>
        <v>224242.38</v>
      </c>
    </row>
    <row r="140" spans="1:3" ht="20.149999999999999" customHeight="1" x14ac:dyDescent="0.35">
      <c r="A140" s="13">
        <v>32</v>
      </c>
      <c r="B140" s="14" t="s">
        <v>241</v>
      </c>
      <c r="C140" s="48">
        <f>data!C389</f>
        <v>736763.27</v>
      </c>
    </row>
    <row r="141" spans="1:3" ht="20.149999999999999" customHeight="1" x14ac:dyDescent="0.35">
      <c r="A141" s="13">
        <v>34</v>
      </c>
      <c r="B141" s="14" t="s">
        <v>1165</v>
      </c>
      <c r="C141" s="48">
        <f>data!D390</f>
        <v>28778891.75</v>
      </c>
    </row>
    <row r="142" spans="1:3" ht="20.149999999999999" customHeight="1" x14ac:dyDescent="0.35">
      <c r="A142" s="13">
        <v>35</v>
      </c>
      <c r="B142" s="14" t="s">
        <v>1166</v>
      </c>
      <c r="C142" s="48">
        <f>data!D391</f>
        <v>-3520397.4800000004</v>
      </c>
    </row>
    <row r="143" spans="1:3" ht="20.149999999999999" customHeight="1" x14ac:dyDescent="0.35">
      <c r="A143" s="13">
        <v>36</v>
      </c>
      <c r="B143" s="38"/>
      <c r="C143" s="24"/>
    </row>
    <row r="144" spans="1:3" ht="20.149999999999999" customHeight="1" x14ac:dyDescent="0.35">
      <c r="A144" s="13">
        <v>37</v>
      </c>
      <c r="B144" s="14" t="s">
        <v>1167</v>
      </c>
      <c r="C144" s="48">
        <f>data!C392</f>
        <v>7434063</v>
      </c>
    </row>
    <row r="145" spans="1:3" ht="20.149999999999999" customHeight="1" x14ac:dyDescent="0.35">
      <c r="A145" s="13">
        <v>38</v>
      </c>
      <c r="B145" s="38"/>
      <c r="C145" s="24"/>
    </row>
    <row r="146" spans="1:3" ht="20.149999999999999" customHeight="1" x14ac:dyDescent="0.35">
      <c r="A146" s="13">
        <v>39</v>
      </c>
      <c r="B146" s="14" t="s">
        <v>1168</v>
      </c>
      <c r="C146" s="21">
        <f>data!D393</f>
        <v>3913665.5199999996</v>
      </c>
    </row>
    <row r="147" spans="1:3" ht="20.149999999999999" customHeight="1" x14ac:dyDescent="0.35">
      <c r="A147" s="13">
        <v>40</v>
      </c>
      <c r="B147" s="38"/>
      <c r="C147" s="24"/>
    </row>
    <row r="148" spans="1:3" ht="20.149999999999999" customHeight="1" x14ac:dyDescent="0.35">
      <c r="A148" s="13">
        <v>41</v>
      </c>
      <c r="B148" s="14" t="s">
        <v>1169</v>
      </c>
      <c r="C148" s="48">
        <f>data!C394</f>
        <v>0</v>
      </c>
    </row>
    <row r="149" spans="1:3" ht="20.149999999999999" customHeight="1" x14ac:dyDescent="0.35">
      <c r="A149" s="13">
        <v>42</v>
      </c>
      <c r="B149" s="14" t="s">
        <v>1170</v>
      </c>
      <c r="C149" s="48">
        <f>data!C395</f>
        <v>0</v>
      </c>
    </row>
    <row r="150" spans="1:3" ht="20.149999999999999" customHeight="1" x14ac:dyDescent="0.35">
      <c r="A150" s="13">
        <v>43</v>
      </c>
      <c r="B150" s="38"/>
      <c r="C150" s="24"/>
    </row>
    <row r="151" spans="1:3" ht="20.149999999999999" customHeight="1" x14ac:dyDescent="0.35">
      <c r="A151" s="13">
        <v>44</v>
      </c>
      <c r="B151" s="14" t="s">
        <v>1171</v>
      </c>
      <c r="C151" s="48">
        <f>data!D396</f>
        <v>3913665.5199999996</v>
      </c>
    </row>
    <row r="152" spans="1:3" ht="20.149999999999999" customHeight="1" x14ac:dyDescent="0.35">
      <c r="A152" s="40">
        <v>45</v>
      </c>
      <c r="B152" s="49" t="s">
        <v>1172</v>
      </c>
      <c r="C152" s="24"/>
    </row>
    <row r="153" spans="1:3" ht="20.149999999999999" customHeight="1" x14ac:dyDescent="0.3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15</vt:i4>
      </vt:variant>
    </vt:vector>
  </HeadingPairs>
  <TitlesOfParts>
    <vt:vector size="26" baseType="lpstr">
      <vt:lpstr>data</vt:lpstr>
      <vt:lpstr>Sheet1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Costcenter</vt:lpstr>
      <vt:lpstr>'Prior Year'!Edit</vt:lpstr>
      <vt:lpstr>Edit</vt:lpstr>
      <vt:lpstr>Funds</vt:lpstr>
      <vt:lpstr>Hospital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Support</vt:lpstr>
    </vt:vector>
  </TitlesOfParts>
  <Manager>Randall.Huyck@DOH.WA.GOV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Baranowski, Carrie (DOH)</cp:lastModifiedBy>
  <cp:lastPrinted>2002-06-14T19:29:50Z</cp:lastPrinted>
  <dcterms:created xsi:type="dcterms:W3CDTF">1999-06-02T22:01:56Z</dcterms:created>
  <dcterms:modified xsi:type="dcterms:W3CDTF">2021-07-21T22:51:49Z</dcterms:modified>
</cp:coreProperties>
</file>