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St Joseph\"/>
    </mc:Choice>
  </mc:AlternateContent>
  <xr:revisionPtr revIDLastSave="0" documentId="13_ncr:1_{2C9B898A-EA43-4787-ABA5-A354D006878A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SJ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data!$DR$921:$DR$966</definedName>
    <definedName name="Costcenter" localSheetId="10">'Prior Year'!#REF!</definedName>
    <definedName name="Costcenter">data!$A$732:$W$813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data!$A$728:$CF$730</definedName>
    <definedName name="Hospital" localSheetId="10">'Prior Year'!#REF!</definedName>
    <definedName name="Hospital">data!$A$724:$BR$726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0" i="1" l="1"/>
  <c r="AJ59" i="1" l="1"/>
  <c r="D215" i="1" l="1"/>
  <c r="C313" i="1" l="1"/>
  <c r="C323" i="1"/>
  <c r="C324" i="1"/>
  <c r="E59" i="1" l="1"/>
  <c r="C59" i="1"/>
  <c r="D213" i="1" l="1"/>
  <c r="C213" i="1"/>
  <c r="C282" i="1" l="1"/>
  <c r="C281" i="1"/>
  <c r="E79" i="1" l="1"/>
  <c r="E77" i="1"/>
  <c r="BN76" i="1" l="1"/>
  <c r="AZ76" i="1" l="1"/>
  <c r="C215" i="1" l="1"/>
  <c r="D210" i="1"/>
  <c r="C210" i="1"/>
  <c r="D212" i="1"/>
  <c r="C212" i="1"/>
  <c r="D200" i="1"/>
  <c r="C200" i="1"/>
  <c r="B213" i="1"/>
  <c r="B200" i="1"/>
  <c r="C180" i="1" l="1"/>
  <c r="C226" i="1" l="1"/>
  <c r="C224" i="1"/>
  <c r="C223" i="1"/>
  <c r="C227" i="1" l="1"/>
  <c r="AV69" i="1" l="1"/>
  <c r="CD69" i="1"/>
  <c r="C231" i="1" l="1"/>
  <c r="C171" i="1" l="1"/>
  <c r="C170" i="1"/>
  <c r="C169" i="1"/>
  <c r="C168" i="1"/>
  <c r="C167" i="1"/>
  <c r="C166" i="1"/>
  <c r="B215" i="1" l="1"/>
  <c r="B212" i="1"/>
  <c r="B210" i="1"/>
  <c r="C203" i="1"/>
  <c r="C199" i="1"/>
  <c r="C202" i="1"/>
  <c r="C197" i="1"/>
  <c r="B197" i="1"/>
  <c r="B203" i="1" l="1"/>
  <c r="B199" i="1"/>
  <c r="B202" i="1"/>
  <c r="C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AV74" i="1" l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C73" i="1"/>
  <c r="C68" i="1"/>
  <c r="AV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AV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65" i="1"/>
  <c r="CC66" i="1"/>
  <c r="AV64" i="1"/>
  <c r="AV63" i="1"/>
  <c r="C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C64" i="1"/>
  <c r="C63" i="1"/>
  <c r="C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47" i="1"/>
  <c r="B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B47" i="1"/>
  <c r="O817" i="10" l="1"/>
  <c r="J817" i="10"/>
  <c r="D817" i="10"/>
  <c r="X813" i="10"/>
  <c r="X815" i="10" s="1"/>
  <c r="W813" i="10"/>
  <c r="W815" i="10" s="1"/>
  <c r="A813" i="10"/>
  <c r="T812" i="10"/>
  <c r="S812" i="10"/>
  <c r="R812" i="10"/>
  <c r="Q812" i="10"/>
  <c r="P812" i="10"/>
  <c r="L812" i="10"/>
  <c r="C812" i="10"/>
  <c r="A812" i="10"/>
  <c r="T811" i="10"/>
  <c r="R811" i="10"/>
  <c r="Q811" i="10"/>
  <c r="P811" i="10"/>
  <c r="L811" i="10"/>
  <c r="C811" i="10"/>
  <c r="A811" i="10"/>
  <c r="T810" i="10"/>
  <c r="R810" i="10"/>
  <c r="Q810" i="10"/>
  <c r="P810" i="10"/>
  <c r="L810" i="10"/>
  <c r="C810" i="10"/>
  <c r="A810" i="10"/>
  <c r="T809" i="10"/>
  <c r="R809" i="10"/>
  <c r="Q809" i="10"/>
  <c r="P809" i="10"/>
  <c r="L809" i="10"/>
  <c r="C809" i="10"/>
  <c r="A809" i="10"/>
  <c r="T808" i="10"/>
  <c r="R808" i="10"/>
  <c r="Q808" i="10"/>
  <c r="P808" i="10"/>
  <c r="L808" i="10"/>
  <c r="C808" i="10"/>
  <c r="A808" i="10"/>
  <c r="T807" i="10"/>
  <c r="R807" i="10"/>
  <c r="Q807" i="10"/>
  <c r="P807" i="10"/>
  <c r="L807" i="10"/>
  <c r="C807" i="10"/>
  <c r="A807" i="10"/>
  <c r="T806" i="10"/>
  <c r="R806" i="10"/>
  <c r="Q806" i="10"/>
  <c r="P806" i="10"/>
  <c r="L806" i="10"/>
  <c r="C806" i="10"/>
  <c r="A806" i="10"/>
  <c r="T805" i="10"/>
  <c r="R805" i="10"/>
  <c r="Q805" i="10"/>
  <c r="P805" i="10"/>
  <c r="L805" i="10"/>
  <c r="C805" i="10"/>
  <c r="A805" i="10"/>
  <c r="T804" i="10"/>
  <c r="R804" i="10"/>
  <c r="Q804" i="10"/>
  <c r="P804" i="10"/>
  <c r="L804" i="10"/>
  <c r="C804" i="10"/>
  <c r="A804" i="10"/>
  <c r="T803" i="10"/>
  <c r="R803" i="10"/>
  <c r="Q803" i="10"/>
  <c r="P803" i="10"/>
  <c r="L803" i="10"/>
  <c r="C803" i="10"/>
  <c r="A803" i="10"/>
  <c r="T802" i="10"/>
  <c r="R802" i="10"/>
  <c r="Q802" i="10"/>
  <c r="P802" i="10"/>
  <c r="L802" i="10"/>
  <c r="C802" i="10"/>
  <c r="A802" i="10"/>
  <c r="T801" i="10"/>
  <c r="S801" i="10"/>
  <c r="R801" i="10"/>
  <c r="Q801" i="10"/>
  <c r="P801" i="10"/>
  <c r="L801" i="10"/>
  <c r="C801" i="10"/>
  <c r="A801" i="10"/>
  <c r="T800" i="10"/>
  <c r="S800" i="10"/>
  <c r="R800" i="10"/>
  <c r="Q800" i="10"/>
  <c r="P800" i="10"/>
  <c r="L800" i="10"/>
  <c r="C800" i="10"/>
  <c r="A800" i="10"/>
  <c r="T799" i="10"/>
  <c r="S799" i="10"/>
  <c r="R799" i="10"/>
  <c r="Q799" i="10"/>
  <c r="P799" i="10"/>
  <c r="L799" i="10"/>
  <c r="C799" i="10"/>
  <c r="A799" i="10"/>
  <c r="T798" i="10"/>
  <c r="S798" i="10"/>
  <c r="R798" i="10"/>
  <c r="Q798" i="10"/>
  <c r="P798" i="10"/>
  <c r="L798" i="10"/>
  <c r="C798" i="10"/>
  <c r="A798" i="10"/>
  <c r="T797" i="10"/>
  <c r="S797" i="10"/>
  <c r="R797" i="10"/>
  <c r="Q797" i="10"/>
  <c r="P797" i="10"/>
  <c r="L797" i="10"/>
  <c r="C797" i="10"/>
  <c r="A797" i="10"/>
  <c r="T796" i="10"/>
  <c r="R796" i="10"/>
  <c r="Q796" i="10"/>
  <c r="P796" i="10"/>
  <c r="L796" i="10"/>
  <c r="C796" i="10"/>
  <c r="A796" i="10"/>
  <c r="T795" i="10"/>
  <c r="R795" i="10"/>
  <c r="Q795" i="10"/>
  <c r="P795" i="10"/>
  <c r="L795" i="10"/>
  <c r="C795" i="10"/>
  <c r="A795" i="10"/>
  <c r="T794" i="10"/>
  <c r="R794" i="10"/>
  <c r="Q794" i="10"/>
  <c r="P794" i="10"/>
  <c r="L794" i="10"/>
  <c r="C794" i="10"/>
  <c r="A794" i="10"/>
  <c r="T793" i="10"/>
  <c r="S793" i="10"/>
  <c r="R793" i="10"/>
  <c r="Q793" i="10"/>
  <c r="P793" i="10"/>
  <c r="L793" i="10"/>
  <c r="C793" i="10"/>
  <c r="A793" i="10"/>
  <c r="T792" i="10"/>
  <c r="R792" i="10"/>
  <c r="Q792" i="10"/>
  <c r="P792" i="10"/>
  <c r="L792" i="10"/>
  <c r="C792" i="10"/>
  <c r="A792" i="10"/>
  <c r="T791" i="10"/>
  <c r="R791" i="10"/>
  <c r="Q791" i="10"/>
  <c r="P791" i="10"/>
  <c r="L791" i="10"/>
  <c r="C791" i="10"/>
  <c r="A791" i="10"/>
  <c r="T790" i="10"/>
  <c r="S790" i="10"/>
  <c r="R790" i="10"/>
  <c r="Q790" i="10"/>
  <c r="P790" i="10"/>
  <c r="L790" i="10"/>
  <c r="C790" i="10"/>
  <c r="A790" i="10"/>
  <c r="T789" i="10"/>
  <c r="S789" i="10"/>
  <c r="R789" i="10"/>
  <c r="Q789" i="10"/>
  <c r="P789" i="10"/>
  <c r="L789" i="10"/>
  <c r="C789" i="10"/>
  <c r="A789" i="10"/>
  <c r="T788" i="10"/>
  <c r="S788" i="10"/>
  <c r="R788" i="10"/>
  <c r="Q788" i="10"/>
  <c r="P788" i="10"/>
  <c r="L788" i="10"/>
  <c r="C788" i="10"/>
  <c r="B788" i="10"/>
  <c r="A788" i="10"/>
  <c r="T787" i="10"/>
  <c r="S787" i="10"/>
  <c r="R787" i="10"/>
  <c r="Q787" i="10"/>
  <c r="P787" i="10"/>
  <c r="L787" i="10"/>
  <c r="C787" i="10"/>
  <c r="A787" i="10"/>
  <c r="T786" i="10"/>
  <c r="S786" i="10"/>
  <c r="R786" i="10"/>
  <c r="Q786" i="10"/>
  <c r="P786" i="10"/>
  <c r="L786" i="10"/>
  <c r="C786" i="10"/>
  <c r="A786" i="10"/>
  <c r="T785" i="10"/>
  <c r="S785" i="10"/>
  <c r="R785" i="10"/>
  <c r="Q785" i="10"/>
  <c r="P785" i="10"/>
  <c r="L785" i="10"/>
  <c r="C785" i="10"/>
  <c r="A785" i="10"/>
  <c r="T784" i="10"/>
  <c r="S784" i="10"/>
  <c r="R784" i="10"/>
  <c r="Q784" i="10"/>
  <c r="P784" i="10"/>
  <c r="L784" i="10"/>
  <c r="C784" i="10"/>
  <c r="B784" i="10"/>
  <c r="A784" i="10"/>
  <c r="T783" i="10"/>
  <c r="S783" i="10"/>
  <c r="R783" i="10"/>
  <c r="Q783" i="10"/>
  <c r="P783" i="10"/>
  <c r="L783" i="10"/>
  <c r="C783" i="10"/>
  <c r="B783" i="10"/>
  <c r="A783" i="10"/>
  <c r="T782" i="10"/>
  <c r="S782" i="10"/>
  <c r="R782" i="10"/>
  <c r="Q782" i="10"/>
  <c r="P782" i="10"/>
  <c r="L782" i="10"/>
  <c r="C782" i="10"/>
  <c r="B782" i="10"/>
  <c r="A782" i="10"/>
  <c r="T781" i="10"/>
  <c r="S781" i="10"/>
  <c r="R781" i="10"/>
  <c r="Q781" i="10"/>
  <c r="P781" i="10"/>
  <c r="L781" i="10"/>
  <c r="C781" i="10"/>
  <c r="A781" i="10"/>
  <c r="T780" i="10"/>
  <c r="S780" i="10"/>
  <c r="R780" i="10"/>
  <c r="Q780" i="10"/>
  <c r="P780" i="10"/>
  <c r="L780" i="10"/>
  <c r="C780" i="10"/>
  <c r="A780" i="10"/>
  <c r="T779" i="10"/>
  <c r="S779" i="10"/>
  <c r="R779" i="10"/>
  <c r="Q779" i="10"/>
  <c r="P779" i="10"/>
  <c r="L779" i="10"/>
  <c r="C779" i="10"/>
  <c r="A779" i="10"/>
  <c r="T778" i="10"/>
  <c r="S778" i="10"/>
  <c r="R778" i="10"/>
  <c r="Q778" i="10"/>
  <c r="P778" i="10"/>
  <c r="L778" i="10"/>
  <c r="C778" i="10"/>
  <c r="B778" i="10"/>
  <c r="A778" i="10"/>
  <c r="T777" i="10"/>
  <c r="S777" i="10"/>
  <c r="R777" i="10"/>
  <c r="Q777" i="10"/>
  <c r="P777" i="10"/>
  <c r="L777" i="10"/>
  <c r="C777" i="10"/>
  <c r="B777" i="10"/>
  <c r="A777" i="10"/>
  <c r="T776" i="10"/>
  <c r="S776" i="10"/>
  <c r="R776" i="10"/>
  <c r="Q776" i="10"/>
  <c r="P776" i="10"/>
  <c r="L776" i="10"/>
  <c r="C776" i="10"/>
  <c r="B776" i="10"/>
  <c r="A776" i="10"/>
  <c r="T775" i="10"/>
  <c r="S775" i="10"/>
  <c r="R775" i="10"/>
  <c r="Q775" i="10"/>
  <c r="P775" i="10"/>
  <c r="L775" i="10"/>
  <c r="C775" i="10"/>
  <c r="B775" i="10"/>
  <c r="A775" i="10"/>
  <c r="T774" i="10"/>
  <c r="S774" i="10"/>
  <c r="R774" i="10"/>
  <c r="Q774" i="10"/>
  <c r="P774" i="10"/>
  <c r="L774" i="10"/>
  <c r="C774" i="10"/>
  <c r="B774" i="10"/>
  <c r="A774" i="10"/>
  <c r="T773" i="10"/>
  <c r="S773" i="10"/>
  <c r="R773" i="10"/>
  <c r="Q773" i="10"/>
  <c r="P773" i="10"/>
  <c r="L773" i="10"/>
  <c r="C773" i="10"/>
  <c r="B773" i="10"/>
  <c r="A773" i="10"/>
  <c r="T772" i="10"/>
  <c r="S772" i="10"/>
  <c r="R772" i="10"/>
  <c r="Q772" i="10"/>
  <c r="P772" i="10"/>
  <c r="L772" i="10"/>
  <c r="C772" i="10"/>
  <c r="B772" i="10"/>
  <c r="A772" i="10"/>
  <c r="T771" i="10"/>
  <c r="S771" i="10"/>
  <c r="R771" i="10"/>
  <c r="Q771" i="10"/>
  <c r="P771" i="10"/>
  <c r="L771" i="10"/>
  <c r="C771" i="10"/>
  <c r="B771" i="10"/>
  <c r="A771" i="10"/>
  <c r="T770" i="10"/>
  <c r="S770" i="10"/>
  <c r="R770" i="10"/>
  <c r="Q770" i="10"/>
  <c r="P770" i="10"/>
  <c r="L770" i="10"/>
  <c r="C770" i="10"/>
  <c r="B770" i="10"/>
  <c r="A770" i="10"/>
  <c r="T769" i="10"/>
  <c r="S769" i="10"/>
  <c r="R769" i="10"/>
  <c r="Q769" i="10"/>
  <c r="P769" i="10"/>
  <c r="L769" i="10"/>
  <c r="C769" i="10"/>
  <c r="B769" i="10"/>
  <c r="A769" i="10"/>
  <c r="T768" i="10"/>
  <c r="S768" i="10"/>
  <c r="R768" i="10"/>
  <c r="Q768" i="10"/>
  <c r="P768" i="10"/>
  <c r="L768" i="10"/>
  <c r="C768" i="10"/>
  <c r="B768" i="10"/>
  <c r="A768" i="10"/>
  <c r="S767" i="10"/>
  <c r="R767" i="10"/>
  <c r="Q767" i="10"/>
  <c r="P767" i="10"/>
  <c r="L767" i="10"/>
  <c r="B767" i="10"/>
  <c r="A767" i="10"/>
  <c r="T766" i="10"/>
  <c r="S766" i="10"/>
  <c r="R766" i="10"/>
  <c r="Q766" i="10"/>
  <c r="P766" i="10"/>
  <c r="L766" i="10"/>
  <c r="C766" i="10"/>
  <c r="B766" i="10"/>
  <c r="A766" i="10"/>
  <c r="T765" i="10"/>
  <c r="S765" i="10"/>
  <c r="R765" i="10"/>
  <c r="Q765" i="10"/>
  <c r="P765" i="10"/>
  <c r="L765" i="10"/>
  <c r="C765" i="10"/>
  <c r="B765" i="10"/>
  <c r="A765" i="10"/>
  <c r="T764" i="10"/>
  <c r="S764" i="10"/>
  <c r="R764" i="10"/>
  <c r="Q764" i="10"/>
  <c r="P764" i="10"/>
  <c r="L764" i="10"/>
  <c r="C764" i="10"/>
  <c r="B764" i="10"/>
  <c r="A764" i="10"/>
  <c r="T763" i="10"/>
  <c r="S763" i="10"/>
  <c r="R763" i="10"/>
  <c r="Q763" i="10"/>
  <c r="P763" i="10"/>
  <c r="L763" i="10"/>
  <c r="C763" i="10"/>
  <c r="B763" i="10"/>
  <c r="A763" i="10"/>
  <c r="T762" i="10"/>
  <c r="S762" i="10"/>
  <c r="R762" i="10"/>
  <c r="Q762" i="10"/>
  <c r="P762" i="10"/>
  <c r="L762" i="10"/>
  <c r="C762" i="10"/>
  <c r="B762" i="10"/>
  <c r="A762" i="10"/>
  <c r="T761" i="10"/>
  <c r="S761" i="10"/>
  <c r="R761" i="10"/>
  <c r="Q761" i="10"/>
  <c r="P761" i="10"/>
  <c r="L761" i="10"/>
  <c r="C761" i="10"/>
  <c r="B761" i="10"/>
  <c r="A761" i="10"/>
  <c r="T760" i="10"/>
  <c r="S760" i="10"/>
  <c r="R760" i="10"/>
  <c r="Q760" i="10"/>
  <c r="P760" i="10"/>
  <c r="L760" i="10"/>
  <c r="C760" i="10"/>
  <c r="B760" i="10"/>
  <c r="A760" i="10"/>
  <c r="T759" i="10"/>
  <c r="S759" i="10"/>
  <c r="R759" i="10"/>
  <c r="Q759" i="10"/>
  <c r="P759" i="10"/>
  <c r="L759" i="10"/>
  <c r="C759" i="10"/>
  <c r="A759" i="10"/>
  <c r="T758" i="10"/>
  <c r="S758" i="10"/>
  <c r="R758" i="10"/>
  <c r="Q758" i="10"/>
  <c r="P758" i="10"/>
  <c r="L758" i="10"/>
  <c r="C758" i="10"/>
  <c r="B758" i="10"/>
  <c r="A758" i="10"/>
  <c r="T757" i="10"/>
  <c r="S757" i="10"/>
  <c r="R757" i="10"/>
  <c r="Q757" i="10"/>
  <c r="P757" i="10"/>
  <c r="L757" i="10"/>
  <c r="C757" i="10"/>
  <c r="B757" i="10"/>
  <c r="A757" i="10"/>
  <c r="T756" i="10"/>
  <c r="S756" i="10"/>
  <c r="R756" i="10"/>
  <c r="Q756" i="10"/>
  <c r="P756" i="10"/>
  <c r="L756" i="10"/>
  <c r="C756" i="10"/>
  <c r="B756" i="10"/>
  <c r="A756" i="10"/>
  <c r="T755" i="10"/>
  <c r="S755" i="10"/>
  <c r="R755" i="10"/>
  <c r="Q755" i="10"/>
  <c r="P755" i="10"/>
  <c r="L755" i="10"/>
  <c r="C755" i="10"/>
  <c r="B755" i="10"/>
  <c r="A755" i="10"/>
  <c r="T754" i="10"/>
  <c r="S754" i="10"/>
  <c r="R754" i="10"/>
  <c r="Q754" i="10"/>
  <c r="P754" i="10"/>
  <c r="L754" i="10"/>
  <c r="C754" i="10"/>
  <c r="B754" i="10"/>
  <c r="A754" i="10"/>
  <c r="T753" i="10"/>
  <c r="S753" i="10"/>
  <c r="R753" i="10"/>
  <c r="Q753" i="10"/>
  <c r="P753" i="10"/>
  <c r="L753" i="10"/>
  <c r="C753" i="10"/>
  <c r="B753" i="10"/>
  <c r="A753" i="10"/>
  <c r="T752" i="10"/>
  <c r="S752" i="10"/>
  <c r="R752" i="10"/>
  <c r="Q752" i="10"/>
  <c r="P752" i="10"/>
  <c r="L752" i="10"/>
  <c r="C752" i="10"/>
  <c r="B752" i="10"/>
  <c r="A752" i="10"/>
  <c r="T751" i="10"/>
  <c r="S751" i="10"/>
  <c r="R751" i="10"/>
  <c r="P751" i="10"/>
  <c r="L751" i="10"/>
  <c r="C751" i="10"/>
  <c r="A751" i="10"/>
  <c r="T750" i="10"/>
  <c r="S750" i="10"/>
  <c r="R750" i="10"/>
  <c r="Q750" i="10"/>
  <c r="P750" i="10"/>
  <c r="L750" i="10"/>
  <c r="C750" i="10"/>
  <c r="A750" i="10"/>
  <c r="T749" i="10"/>
  <c r="S749" i="10"/>
  <c r="R749" i="10"/>
  <c r="Q749" i="10"/>
  <c r="P749" i="10"/>
  <c r="L749" i="10"/>
  <c r="C749" i="10"/>
  <c r="B749" i="10"/>
  <c r="A749" i="10"/>
  <c r="T748" i="10"/>
  <c r="S748" i="10"/>
  <c r="R748" i="10"/>
  <c r="Q748" i="10"/>
  <c r="P748" i="10"/>
  <c r="L748" i="10"/>
  <c r="C748" i="10"/>
  <c r="B748" i="10"/>
  <c r="A748" i="10"/>
  <c r="T747" i="10"/>
  <c r="S747" i="10"/>
  <c r="R747" i="10"/>
  <c r="Q747" i="10"/>
  <c r="P747" i="10"/>
  <c r="L747" i="10"/>
  <c r="C747" i="10"/>
  <c r="B747" i="10"/>
  <c r="A747" i="10"/>
  <c r="T746" i="10"/>
  <c r="S746" i="10"/>
  <c r="R746" i="10"/>
  <c r="Q746" i="10"/>
  <c r="P746" i="10"/>
  <c r="L746" i="10"/>
  <c r="C746" i="10"/>
  <c r="B746" i="10"/>
  <c r="A746" i="10"/>
  <c r="T745" i="10"/>
  <c r="S745" i="10"/>
  <c r="R745" i="10"/>
  <c r="Q745" i="10"/>
  <c r="P745" i="10"/>
  <c r="L745" i="10"/>
  <c r="C745" i="10"/>
  <c r="B745" i="10"/>
  <c r="A745" i="10"/>
  <c r="T744" i="10"/>
  <c r="S744" i="10"/>
  <c r="R744" i="10"/>
  <c r="Q744" i="10"/>
  <c r="P744" i="10"/>
  <c r="L744" i="10"/>
  <c r="C744" i="10"/>
  <c r="B744" i="10"/>
  <c r="A744" i="10"/>
  <c r="T743" i="10"/>
  <c r="S743" i="10"/>
  <c r="R743" i="10"/>
  <c r="Q743" i="10"/>
  <c r="P743" i="10"/>
  <c r="L743" i="10"/>
  <c r="C743" i="10"/>
  <c r="B743" i="10"/>
  <c r="A743" i="10"/>
  <c r="T742" i="10"/>
  <c r="S742" i="10"/>
  <c r="R742" i="10"/>
  <c r="Q742" i="10"/>
  <c r="P742" i="10"/>
  <c r="L742" i="10"/>
  <c r="C742" i="10"/>
  <c r="B742" i="10"/>
  <c r="A742" i="10"/>
  <c r="T741" i="10"/>
  <c r="S741" i="10"/>
  <c r="R741" i="10"/>
  <c r="Q741" i="10"/>
  <c r="P741" i="10"/>
  <c r="L741" i="10"/>
  <c r="C741" i="10"/>
  <c r="B741" i="10"/>
  <c r="A741" i="10"/>
  <c r="T740" i="10"/>
  <c r="S740" i="10"/>
  <c r="R740" i="10"/>
  <c r="Q740" i="10"/>
  <c r="P740" i="10"/>
  <c r="L740" i="10"/>
  <c r="C740" i="10"/>
  <c r="B740" i="10"/>
  <c r="A740" i="10"/>
  <c r="T739" i="10"/>
  <c r="S739" i="10"/>
  <c r="R739" i="10"/>
  <c r="Q739" i="10"/>
  <c r="P739" i="10"/>
  <c r="L739" i="10"/>
  <c r="C739" i="10"/>
  <c r="B739" i="10"/>
  <c r="A739" i="10"/>
  <c r="T738" i="10"/>
  <c r="S738" i="10"/>
  <c r="R738" i="10"/>
  <c r="Q738" i="10"/>
  <c r="P738" i="10"/>
  <c r="L738" i="10"/>
  <c r="C738" i="10"/>
  <c r="B738" i="10"/>
  <c r="A738" i="10"/>
  <c r="T737" i="10"/>
  <c r="S737" i="10"/>
  <c r="R737" i="10"/>
  <c r="Q737" i="10"/>
  <c r="P737" i="10"/>
  <c r="L737" i="10"/>
  <c r="C737" i="10"/>
  <c r="B737" i="10"/>
  <c r="A737" i="10"/>
  <c r="T736" i="10"/>
  <c r="R736" i="10"/>
  <c r="P736" i="10"/>
  <c r="L736" i="10"/>
  <c r="C736" i="10"/>
  <c r="B736" i="10"/>
  <c r="A736" i="10"/>
  <c r="T735" i="10"/>
  <c r="S735" i="10"/>
  <c r="R735" i="10"/>
  <c r="Q735" i="10"/>
  <c r="P735" i="10"/>
  <c r="L735" i="10"/>
  <c r="C735" i="10"/>
  <c r="B735" i="10"/>
  <c r="A735" i="10"/>
  <c r="T734" i="10"/>
  <c r="S734" i="10"/>
  <c r="R734" i="10"/>
  <c r="Q734" i="10"/>
  <c r="P734" i="10"/>
  <c r="L734" i="10"/>
  <c r="C734" i="10"/>
  <c r="A734" i="10"/>
  <c r="CF730" i="10"/>
  <c r="CE730" i="10"/>
  <c r="CC730" i="10"/>
  <c r="BW730" i="10"/>
  <c r="BQ730" i="10"/>
  <c r="BP730" i="10"/>
  <c r="BJ730" i="10"/>
  <c r="BF730" i="10"/>
  <c r="BE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O730" i="10"/>
  <c r="AN730" i="10"/>
  <c r="AM730" i="10"/>
  <c r="AL730" i="10"/>
  <c r="AK730" i="10"/>
  <c r="AG730" i="10"/>
  <c r="AF730" i="10"/>
  <c r="AE730" i="10"/>
  <c r="AD730" i="10"/>
  <c r="AC730" i="10"/>
  <c r="Z730" i="10"/>
  <c r="Y730" i="10"/>
  <c r="W730" i="10"/>
  <c r="V730" i="10"/>
  <c r="U730" i="10"/>
  <c r="T730" i="10"/>
  <c r="S730" i="10"/>
  <c r="R730" i="10"/>
  <c r="P730" i="10"/>
  <c r="N730" i="10"/>
  <c r="M730" i="10"/>
  <c r="L730" i="10"/>
  <c r="K730" i="10"/>
  <c r="H730" i="10"/>
  <c r="F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P722" i="10"/>
  <c r="BM722" i="10"/>
  <c r="BL722" i="10"/>
  <c r="BK722" i="10"/>
  <c r="BG722" i="10"/>
  <c r="BD722" i="10"/>
  <c r="BC722" i="10"/>
  <c r="BB722" i="10"/>
  <c r="BA722" i="10"/>
  <c r="AX722" i="10"/>
  <c r="AR722" i="10"/>
  <c r="AL722" i="10"/>
  <c r="AK722" i="10"/>
  <c r="AJ722" i="10"/>
  <c r="AF722" i="10"/>
  <c r="AC722" i="10"/>
  <c r="AB722" i="10"/>
  <c r="AA722" i="10"/>
  <c r="Z722" i="10"/>
  <c r="W722" i="10"/>
  <c r="V722" i="10"/>
  <c r="U722" i="10"/>
  <c r="T722" i="10"/>
  <c r="S722" i="10"/>
  <c r="Q722" i="10"/>
  <c r="P722" i="10"/>
  <c r="O722" i="10"/>
  <c r="A722" i="10"/>
  <c r="E550" i="10"/>
  <c r="F550" i="10"/>
  <c r="E546" i="10"/>
  <c r="F546" i="10"/>
  <c r="E545" i="10"/>
  <c r="F545" i="10"/>
  <c r="E544" i="10"/>
  <c r="F544" i="10"/>
  <c r="H540" i="10"/>
  <c r="E540" i="10"/>
  <c r="F540" i="10"/>
  <c r="H539" i="10"/>
  <c r="F539" i="10"/>
  <c r="E539" i="10"/>
  <c r="E538" i="10"/>
  <c r="F538" i="10"/>
  <c r="F537" i="10"/>
  <c r="E537" i="10"/>
  <c r="H536" i="10"/>
  <c r="F536" i="10"/>
  <c r="E536" i="10"/>
  <c r="E535" i="10"/>
  <c r="F535" i="10"/>
  <c r="F534" i="10"/>
  <c r="E534" i="10"/>
  <c r="H534" i="10"/>
  <c r="F533" i="10"/>
  <c r="E533" i="10"/>
  <c r="H532" i="10"/>
  <c r="E532" i="10"/>
  <c r="F532" i="10"/>
  <c r="F531" i="10"/>
  <c r="E531" i="10"/>
  <c r="E530" i="10"/>
  <c r="E529" i="10"/>
  <c r="F529" i="10"/>
  <c r="E528" i="10"/>
  <c r="F528" i="10"/>
  <c r="E527" i="10"/>
  <c r="F527" i="10"/>
  <c r="F526" i="10"/>
  <c r="E526" i="10"/>
  <c r="H525" i="10"/>
  <c r="F525" i="10"/>
  <c r="E525" i="10"/>
  <c r="E524" i="10"/>
  <c r="F524" i="10"/>
  <c r="F523" i="10"/>
  <c r="E523" i="10"/>
  <c r="F522" i="10"/>
  <c r="E522" i="10"/>
  <c r="F521" i="10"/>
  <c r="F520" i="10"/>
  <c r="E520" i="10"/>
  <c r="H519" i="10"/>
  <c r="E519" i="10"/>
  <c r="F519" i="10"/>
  <c r="E518" i="10"/>
  <c r="F517" i="10"/>
  <c r="E517" i="10"/>
  <c r="H516" i="10"/>
  <c r="F516" i="10"/>
  <c r="E516" i="10"/>
  <c r="E515" i="10"/>
  <c r="E514" i="10"/>
  <c r="F514" i="10"/>
  <c r="F513" i="10"/>
  <c r="F512" i="10"/>
  <c r="F511" i="10"/>
  <c r="E511" i="10"/>
  <c r="H511" i="10"/>
  <c r="F510" i="10"/>
  <c r="E510" i="10"/>
  <c r="F509" i="10"/>
  <c r="E509" i="10"/>
  <c r="E508" i="10"/>
  <c r="F508" i="10"/>
  <c r="E507" i="10"/>
  <c r="H507" i="10"/>
  <c r="E506" i="10"/>
  <c r="H506" i="10"/>
  <c r="H505" i="10"/>
  <c r="F505" i="10"/>
  <c r="E505" i="10"/>
  <c r="H504" i="10"/>
  <c r="F504" i="10"/>
  <c r="E504" i="10"/>
  <c r="F503" i="10"/>
  <c r="E503" i="10"/>
  <c r="F502" i="10"/>
  <c r="E502" i="10"/>
  <c r="H502" i="10"/>
  <c r="E501" i="10"/>
  <c r="F501" i="10"/>
  <c r="E500" i="10"/>
  <c r="F500" i="10"/>
  <c r="E499" i="10"/>
  <c r="H499" i="10"/>
  <c r="E498" i="10"/>
  <c r="H497" i="10"/>
  <c r="F497" i="10"/>
  <c r="E497" i="10"/>
  <c r="F496" i="10"/>
  <c r="G493" i="10"/>
  <c r="E493" i="10"/>
  <c r="C493" i="10"/>
  <c r="A493" i="10"/>
  <c r="B475" i="10"/>
  <c r="B474" i="10"/>
  <c r="B473" i="10"/>
  <c r="B472" i="10"/>
  <c r="B471" i="10"/>
  <c r="B469" i="10"/>
  <c r="B463" i="10"/>
  <c r="C459" i="10"/>
  <c r="B459" i="10"/>
  <c r="B454" i="10"/>
  <c r="B453" i="10"/>
  <c r="C439" i="10"/>
  <c r="B439" i="10"/>
  <c r="B433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D730" i="10" s="1"/>
  <c r="C388" i="10"/>
  <c r="CA730" i="10" s="1"/>
  <c r="C387" i="10"/>
  <c r="BZ730" i="10" s="1"/>
  <c r="C386" i="10"/>
  <c r="B435" i="10" s="1"/>
  <c r="C385" i="10"/>
  <c r="B434" i="10" s="1"/>
  <c r="C383" i="10"/>
  <c r="C382" i="10"/>
  <c r="C381" i="10"/>
  <c r="B430" i="10" s="1"/>
  <c r="C380" i="10"/>
  <c r="B429" i="10" s="1"/>
  <c r="C379" i="10"/>
  <c r="B428" i="10" s="1"/>
  <c r="C370" i="10"/>
  <c r="D372" i="10" s="1"/>
  <c r="C365" i="10"/>
  <c r="BM730" i="10" s="1"/>
  <c r="C363" i="10"/>
  <c r="CB730" i="10" s="1"/>
  <c r="C360" i="10"/>
  <c r="BK730" i="10" s="1"/>
  <c r="C332" i="10"/>
  <c r="BB730" i="10" s="1"/>
  <c r="D328" i="10"/>
  <c r="D319" i="10"/>
  <c r="C313" i="10"/>
  <c r="AP730" i="10" s="1"/>
  <c r="C307" i="10"/>
  <c r="AJ730" i="10" s="1"/>
  <c r="C306" i="10"/>
  <c r="AI730" i="10" s="1"/>
  <c r="C305" i="10"/>
  <c r="AH730" i="10" s="1"/>
  <c r="D290" i="10"/>
  <c r="C282" i="10"/>
  <c r="AB730" i="10" s="1"/>
  <c r="C281" i="10"/>
  <c r="AA730" i="10" s="1"/>
  <c r="C276" i="10"/>
  <c r="X730" i="10" s="1"/>
  <c r="C269" i="10"/>
  <c r="Q730" i="10" s="1"/>
  <c r="C267" i="10"/>
  <c r="O730" i="10" s="1"/>
  <c r="D265" i="10"/>
  <c r="C258" i="10"/>
  <c r="J730" i="10" s="1"/>
  <c r="C257" i="10"/>
  <c r="I730" i="10" s="1"/>
  <c r="C255" i="10"/>
  <c r="G730" i="10" s="1"/>
  <c r="C253" i="10"/>
  <c r="E730" i="10" s="1"/>
  <c r="C252" i="10"/>
  <c r="D730" i="10" s="1"/>
  <c r="C250" i="10"/>
  <c r="B730" i="10" s="1"/>
  <c r="C238" i="10"/>
  <c r="CC722" i="10" s="1"/>
  <c r="C234" i="10"/>
  <c r="CB722" i="10" s="1"/>
  <c r="C228" i="10"/>
  <c r="BY722" i="10" s="1"/>
  <c r="C226" i="10"/>
  <c r="BW722" i="10" s="1"/>
  <c r="C224" i="10"/>
  <c r="BU722" i="10" s="1"/>
  <c r="C223" i="10"/>
  <c r="BT722" i="10" s="1"/>
  <c r="D221" i="10"/>
  <c r="CD722" i="10" s="1"/>
  <c r="E216" i="10"/>
  <c r="C215" i="10"/>
  <c r="BO722" i="10" s="1"/>
  <c r="B215" i="10"/>
  <c r="BN722" i="10" s="1"/>
  <c r="E214" i="10"/>
  <c r="D213" i="10"/>
  <c r="BJ722" i="10" s="1"/>
  <c r="C213" i="10"/>
  <c r="BI722" i="10" s="1"/>
  <c r="B213" i="10"/>
  <c r="BH722" i="10" s="1"/>
  <c r="C212" i="10"/>
  <c r="BF722" i="10" s="1"/>
  <c r="B212" i="10"/>
  <c r="BE722" i="10" s="1"/>
  <c r="E211" i="10"/>
  <c r="C210" i="10"/>
  <c r="AZ722" i="10" s="1"/>
  <c r="B210" i="10"/>
  <c r="AY722" i="10" s="1"/>
  <c r="C209" i="10"/>
  <c r="AW722" i="10" s="1"/>
  <c r="B209" i="10"/>
  <c r="AV722" i="10" s="1"/>
  <c r="C203" i="10"/>
  <c r="AQ722" i="10" s="1"/>
  <c r="B203" i="10"/>
  <c r="AP722" i="10" s="1"/>
  <c r="D202" i="10"/>
  <c r="AO722" i="10" s="1"/>
  <c r="C202" i="10"/>
  <c r="AN722" i="10" s="1"/>
  <c r="B202" i="10"/>
  <c r="AM722" i="10" s="1"/>
  <c r="E201" i="10"/>
  <c r="D200" i="10"/>
  <c r="AI722" i="10" s="1"/>
  <c r="C200" i="10"/>
  <c r="AH722" i="10" s="1"/>
  <c r="B200" i="10"/>
  <c r="AG722" i="10" s="1"/>
  <c r="C199" i="10"/>
  <c r="AE722" i="10" s="1"/>
  <c r="B199" i="10"/>
  <c r="AD722" i="10" s="1"/>
  <c r="E198" i="10"/>
  <c r="C471" i="10" s="1"/>
  <c r="C197" i="10"/>
  <c r="Y722" i="10" s="1"/>
  <c r="B197" i="10"/>
  <c r="X722" i="10" s="1"/>
  <c r="E196" i="10"/>
  <c r="C469" i="10" s="1"/>
  <c r="B195" i="10"/>
  <c r="R722" i="10" s="1"/>
  <c r="D190" i="10"/>
  <c r="D437" i="10" s="1"/>
  <c r="C184" i="10"/>
  <c r="N722" i="10" s="1"/>
  <c r="C183" i="10"/>
  <c r="M722" i="10" s="1"/>
  <c r="C180" i="10"/>
  <c r="L722" i="10" s="1"/>
  <c r="C179" i="10"/>
  <c r="K722" i="10" s="1"/>
  <c r="C176" i="10"/>
  <c r="J722" i="10" s="1"/>
  <c r="C175" i="10"/>
  <c r="I722" i="10" s="1"/>
  <c r="C172" i="10"/>
  <c r="C171" i="10"/>
  <c r="C170" i="10"/>
  <c r="G722" i="10" s="1"/>
  <c r="C169" i="10"/>
  <c r="F722" i="10" s="1"/>
  <c r="C168" i="10"/>
  <c r="E722" i="10" s="1"/>
  <c r="C167" i="10"/>
  <c r="D722" i="10" s="1"/>
  <c r="C166" i="10"/>
  <c r="C722" i="10" s="1"/>
  <c r="C165" i="10"/>
  <c r="B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AJ80" i="10"/>
  <c r="T767" i="10" s="1"/>
  <c r="CB79" i="10"/>
  <c r="S811" i="10" s="1"/>
  <c r="CA79" i="10"/>
  <c r="S810" i="10" s="1"/>
  <c r="BZ79" i="10"/>
  <c r="S809" i="10" s="1"/>
  <c r="BY79" i="10"/>
  <c r="S808" i="10" s="1"/>
  <c r="BX79" i="10"/>
  <c r="S807" i="10" s="1"/>
  <c r="BW79" i="10"/>
  <c r="S806" i="10" s="1"/>
  <c r="BV79" i="10"/>
  <c r="S805" i="10" s="1"/>
  <c r="BU79" i="10"/>
  <c r="S804" i="10" s="1"/>
  <c r="BT79" i="10"/>
  <c r="S803" i="10" s="1"/>
  <c r="BS79" i="10"/>
  <c r="S802" i="10" s="1"/>
  <c r="BM79" i="10"/>
  <c r="S796" i="10" s="1"/>
  <c r="BL79" i="10"/>
  <c r="S795" i="10" s="1"/>
  <c r="BK79" i="10"/>
  <c r="S794" i="10" s="1"/>
  <c r="BI79" i="10"/>
  <c r="S792" i="10" s="1"/>
  <c r="BH79" i="10"/>
  <c r="S791" i="10" s="1"/>
  <c r="E79" i="10"/>
  <c r="S736" i="10" s="1"/>
  <c r="CE78" i="10"/>
  <c r="T77" i="10"/>
  <c r="Q751" i="10" s="1"/>
  <c r="E77" i="10"/>
  <c r="Q736" i="10" s="1"/>
  <c r="CE76" i="10"/>
  <c r="CF76" i="10" s="1"/>
  <c r="CE74" i="10"/>
  <c r="C464" i="10" s="1"/>
  <c r="O778" i="10"/>
  <c r="O777" i="10"/>
  <c r="O776" i="10"/>
  <c r="O775" i="10"/>
  <c r="O774" i="10"/>
  <c r="O773" i="10"/>
  <c r="O772" i="10"/>
  <c r="O770" i="10"/>
  <c r="O769" i="10"/>
  <c r="O768" i="10"/>
  <c r="O767" i="10"/>
  <c r="O766" i="10"/>
  <c r="O765" i="10"/>
  <c r="O764" i="10"/>
  <c r="O762" i="10"/>
  <c r="O761" i="10"/>
  <c r="O760" i="10"/>
  <c r="O759" i="10"/>
  <c r="O758" i="10"/>
  <c r="O757" i="10"/>
  <c r="O756" i="10"/>
  <c r="O754" i="10"/>
  <c r="O753" i="10"/>
  <c r="O752" i="10"/>
  <c r="O751" i="10"/>
  <c r="O750" i="10"/>
  <c r="O749" i="10"/>
  <c r="O748" i="10"/>
  <c r="O746" i="10"/>
  <c r="O745" i="10"/>
  <c r="O744" i="10"/>
  <c r="L75" i="10"/>
  <c r="N743" i="10" s="1"/>
  <c r="O742" i="10"/>
  <c r="O741" i="10"/>
  <c r="O740" i="10"/>
  <c r="O738" i="10"/>
  <c r="O737" i="10"/>
  <c r="O736" i="10"/>
  <c r="O735" i="10"/>
  <c r="O734" i="10"/>
  <c r="V813" i="10"/>
  <c r="V815" i="10" s="1"/>
  <c r="M812" i="10"/>
  <c r="M811" i="10"/>
  <c r="M810" i="10"/>
  <c r="M809" i="10"/>
  <c r="M808" i="10"/>
  <c r="M807" i="10"/>
  <c r="M806" i="10"/>
  <c r="M804" i="10"/>
  <c r="M803" i="10"/>
  <c r="M802" i="10"/>
  <c r="M801" i="10"/>
  <c r="M800" i="10"/>
  <c r="M799" i="10"/>
  <c r="M798" i="10"/>
  <c r="M796" i="10"/>
  <c r="M795" i="10"/>
  <c r="M794" i="10"/>
  <c r="M793" i="10"/>
  <c r="M792" i="10"/>
  <c r="M791" i="10"/>
  <c r="M790" i="10"/>
  <c r="M788" i="10"/>
  <c r="M787" i="10"/>
  <c r="M786" i="10"/>
  <c r="M785" i="10"/>
  <c r="M784" i="10"/>
  <c r="M783" i="10"/>
  <c r="M782" i="10"/>
  <c r="M780" i="10"/>
  <c r="M779" i="10"/>
  <c r="M778" i="10"/>
  <c r="M777" i="10"/>
  <c r="M776" i="10"/>
  <c r="M775" i="10"/>
  <c r="M774" i="10"/>
  <c r="M772" i="10"/>
  <c r="M771" i="10"/>
  <c r="M770" i="10"/>
  <c r="M769" i="10"/>
  <c r="M768" i="10"/>
  <c r="M767" i="10"/>
  <c r="M766" i="10"/>
  <c r="M764" i="10"/>
  <c r="M763" i="10"/>
  <c r="M762" i="10"/>
  <c r="M761" i="10"/>
  <c r="M760" i="10"/>
  <c r="M759" i="10"/>
  <c r="M758" i="10"/>
  <c r="M756" i="10"/>
  <c r="M755" i="10"/>
  <c r="M754" i="10"/>
  <c r="M753" i="10"/>
  <c r="M752" i="10"/>
  <c r="M751" i="10"/>
  <c r="M750" i="10"/>
  <c r="M748" i="10"/>
  <c r="M747" i="10"/>
  <c r="M746" i="10"/>
  <c r="M745" i="10"/>
  <c r="M744" i="10"/>
  <c r="M743" i="10"/>
  <c r="M742" i="10"/>
  <c r="M740" i="10"/>
  <c r="M739" i="10"/>
  <c r="M738" i="10"/>
  <c r="M737" i="10"/>
  <c r="M736" i="10"/>
  <c r="M735" i="10"/>
  <c r="M734" i="10"/>
  <c r="CD69" i="10"/>
  <c r="U813" i="10" s="1"/>
  <c r="U815" i="10" s="1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08" i="10"/>
  <c r="D807" i="10"/>
  <c r="D806" i="10"/>
  <c r="D805" i="10"/>
  <c r="D804" i="10"/>
  <c r="D803" i="10"/>
  <c r="D800" i="10"/>
  <c r="D799" i="10"/>
  <c r="D798" i="10"/>
  <c r="D797" i="10"/>
  <c r="D796" i="10"/>
  <c r="D795" i="10"/>
  <c r="D792" i="10"/>
  <c r="D791" i="10"/>
  <c r="D790" i="10"/>
  <c r="D789" i="10"/>
  <c r="D788" i="10"/>
  <c r="D787" i="10"/>
  <c r="D786" i="10"/>
  <c r="D784" i="10"/>
  <c r="D783" i="10"/>
  <c r="D782" i="10"/>
  <c r="D781" i="10"/>
  <c r="D780" i="10"/>
  <c r="D779" i="10"/>
  <c r="D778" i="10"/>
  <c r="D776" i="10"/>
  <c r="D775" i="10"/>
  <c r="D774" i="10"/>
  <c r="D773" i="10"/>
  <c r="D772" i="10"/>
  <c r="D771" i="10"/>
  <c r="D770" i="10"/>
  <c r="D768" i="10"/>
  <c r="D767" i="10"/>
  <c r="D766" i="10"/>
  <c r="D765" i="10"/>
  <c r="D764" i="10"/>
  <c r="D763" i="10"/>
  <c r="D762" i="10"/>
  <c r="D760" i="10"/>
  <c r="D759" i="10"/>
  <c r="D758" i="10"/>
  <c r="D757" i="10"/>
  <c r="D756" i="10"/>
  <c r="D755" i="10"/>
  <c r="D754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AJ60" i="10"/>
  <c r="C767" i="10" s="1"/>
  <c r="C59" i="10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D52" i="10"/>
  <c r="AD67" i="10" s="1"/>
  <c r="J761" i="10" s="1"/>
  <c r="V52" i="10"/>
  <c r="N52" i="10"/>
  <c r="N67" i="10" s="1"/>
  <c r="J745" i="10" s="1"/>
  <c r="F52" i="10"/>
  <c r="AL67" i="10"/>
  <c r="J769" i="10" s="1"/>
  <c r="V67" i="10"/>
  <c r="J753" i="10" s="1"/>
  <c r="F67" i="10"/>
  <c r="J737" i="10" s="1"/>
  <c r="B53" i="10"/>
  <c r="B49" i="10"/>
  <c r="J52" i="10" l="1"/>
  <c r="J67" i="10" s="1"/>
  <c r="J741" i="10" s="1"/>
  <c r="R52" i="10"/>
  <c r="R67" i="10" s="1"/>
  <c r="J749" i="10" s="1"/>
  <c r="Z52" i="10"/>
  <c r="Z67" i="10" s="1"/>
  <c r="J757" i="10" s="1"/>
  <c r="AH52" i="10"/>
  <c r="AH67" i="10" s="1"/>
  <c r="J765" i="10" s="1"/>
  <c r="AP52" i="10"/>
  <c r="AP67" i="10" s="1"/>
  <c r="J773" i="10" s="1"/>
  <c r="AX52" i="10"/>
  <c r="AX67" i="10" s="1"/>
  <c r="J781" i="10" s="1"/>
  <c r="BF52" i="10"/>
  <c r="BF67" i="10" s="1"/>
  <c r="J789" i="10" s="1"/>
  <c r="BN52" i="10"/>
  <c r="BN67" i="10" s="1"/>
  <c r="J797" i="10" s="1"/>
  <c r="D52" i="10"/>
  <c r="D67" i="10" s="1"/>
  <c r="J735" i="10" s="1"/>
  <c r="H52" i="10"/>
  <c r="H67" i="10" s="1"/>
  <c r="J739" i="10" s="1"/>
  <c r="L52" i="10"/>
  <c r="L67" i="10" s="1"/>
  <c r="J743" i="10" s="1"/>
  <c r="P52" i="10"/>
  <c r="P67" i="10" s="1"/>
  <c r="J747" i="10" s="1"/>
  <c r="T52" i="10"/>
  <c r="T67" i="10" s="1"/>
  <c r="J751" i="10" s="1"/>
  <c r="X52" i="10"/>
  <c r="X67" i="10" s="1"/>
  <c r="J755" i="10" s="1"/>
  <c r="AB52" i="10"/>
  <c r="AB67" i="10" s="1"/>
  <c r="J759" i="10" s="1"/>
  <c r="AF52" i="10"/>
  <c r="AF67" i="10" s="1"/>
  <c r="J763" i="10" s="1"/>
  <c r="AJ52" i="10"/>
  <c r="AJ67" i="10" s="1"/>
  <c r="J767" i="10" s="1"/>
  <c r="AN52" i="10"/>
  <c r="AN67" i="10" s="1"/>
  <c r="J771" i="10" s="1"/>
  <c r="AR52" i="10"/>
  <c r="AR67" i="10" s="1"/>
  <c r="J775" i="10" s="1"/>
  <c r="AV52" i="10"/>
  <c r="AV67" i="10" s="1"/>
  <c r="J779" i="10" s="1"/>
  <c r="AZ52" i="10"/>
  <c r="AZ67" i="10" s="1"/>
  <c r="J783" i="10" s="1"/>
  <c r="BD52" i="10"/>
  <c r="BD67" i="10" s="1"/>
  <c r="J787" i="10" s="1"/>
  <c r="BH52" i="10"/>
  <c r="BH67" i="10" s="1"/>
  <c r="J791" i="10" s="1"/>
  <c r="BL52" i="10"/>
  <c r="BL67" i="10" s="1"/>
  <c r="J795" i="10" s="1"/>
  <c r="BP52" i="10"/>
  <c r="BP67" i="10" s="1"/>
  <c r="J799" i="10" s="1"/>
  <c r="F815" i="10"/>
  <c r="CC52" i="10"/>
  <c r="CC67" i="10" s="1"/>
  <c r="J812" i="10" s="1"/>
  <c r="CA52" i="10"/>
  <c r="CA67" i="10" s="1"/>
  <c r="J810" i="10" s="1"/>
  <c r="BY52" i="10"/>
  <c r="BY67" i="10" s="1"/>
  <c r="J808" i="10" s="1"/>
  <c r="BW52" i="10"/>
  <c r="BW67" i="10" s="1"/>
  <c r="J806" i="10" s="1"/>
  <c r="BU52" i="10"/>
  <c r="BU67" i="10" s="1"/>
  <c r="J804" i="10" s="1"/>
  <c r="BS52" i="10"/>
  <c r="BS67" i="10" s="1"/>
  <c r="J802" i="10" s="1"/>
  <c r="BQ52" i="10"/>
  <c r="BQ67" i="10" s="1"/>
  <c r="J800" i="10" s="1"/>
  <c r="BO52" i="10"/>
  <c r="BO67" i="10" s="1"/>
  <c r="J798" i="10" s="1"/>
  <c r="BM52" i="10"/>
  <c r="BM67" i="10" s="1"/>
  <c r="J796" i="10" s="1"/>
  <c r="BK52" i="10"/>
  <c r="BK67" i="10" s="1"/>
  <c r="J794" i="10" s="1"/>
  <c r="BI52" i="10"/>
  <c r="BI67" i="10" s="1"/>
  <c r="J792" i="10" s="1"/>
  <c r="BG52" i="10"/>
  <c r="BG67" i="10" s="1"/>
  <c r="J790" i="10" s="1"/>
  <c r="BE52" i="10"/>
  <c r="BE67" i="10" s="1"/>
  <c r="J788" i="10" s="1"/>
  <c r="BC52" i="10"/>
  <c r="BC67" i="10" s="1"/>
  <c r="J786" i="10" s="1"/>
  <c r="BA52" i="10"/>
  <c r="BA67" i="10" s="1"/>
  <c r="J784" i="10" s="1"/>
  <c r="AY52" i="10"/>
  <c r="AY67" i="10" s="1"/>
  <c r="J782" i="10" s="1"/>
  <c r="AW52" i="10"/>
  <c r="AW67" i="10" s="1"/>
  <c r="J780" i="10" s="1"/>
  <c r="AU52" i="10"/>
  <c r="AU67" i="10" s="1"/>
  <c r="J778" i="10" s="1"/>
  <c r="AS52" i="10"/>
  <c r="AS67" i="10" s="1"/>
  <c r="J776" i="10" s="1"/>
  <c r="AQ52" i="10"/>
  <c r="AQ67" i="10" s="1"/>
  <c r="J774" i="10" s="1"/>
  <c r="AO52" i="10"/>
  <c r="AO67" i="10" s="1"/>
  <c r="J772" i="10" s="1"/>
  <c r="AM52" i="10"/>
  <c r="AM67" i="10" s="1"/>
  <c r="J770" i="10" s="1"/>
  <c r="AK52" i="10"/>
  <c r="AK67" i="10" s="1"/>
  <c r="J768" i="10" s="1"/>
  <c r="AI52" i="10"/>
  <c r="AI67" i="10" s="1"/>
  <c r="J766" i="10" s="1"/>
  <c r="AG52" i="10"/>
  <c r="AG67" i="10" s="1"/>
  <c r="J764" i="10" s="1"/>
  <c r="AE52" i="10"/>
  <c r="AE67" i="10" s="1"/>
  <c r="J762" i="10" s="1"/>
  <c r="AC52" i="10"/>
  <c r="AC67" i="10" s="1"/>
  <c r="J760" i="10" s="1"/>
  <c r="AA52" i="10"/>
  <c r="AA67" i="10" s="1"/>
  <c r="J758" i="10" s="1"/>
  <c r="Y52" i="10"/>
  <c r="Y67" i="10" s="1"/>
  <c r="J756" i="10" s="1"/>
  <c r="W52" i="10"/>
  <c r="W67" i="10" s="1"/>
  <c r="J754" i="10" s="1"/>
  <c r="U52" i="10"/>
  <c r="U67" i="10" s="1"/>
  <c r="J752" i="10" s="1"/>
  <c r="S52" i="10"/>
  <c r="S67" i="10" s="1"/>
  <c r="J750" i="10" s="1"/>
  <c r="Q52" i="10"/>
  <c r="Q67" i="10" s="1"/>
  <c r="J748" i="10" s="1"/>
  <c r="O52" i="10"/>
  <c r="O67" i="10" s="1"/>
  <c r="J746" i="10" s="1"/>
  <c r="M52" i="10"/>
  <c r="M67" i="10" s="1"/>
  <c r="J744" i="10" s="1"/>
  <c r="K52" i="10"/>
  <c r="K67" i="10" s="1"/>
  <c r="J742" i="10" s="1"/>
  <c r="I52" i="10"/>
  <c r="I67" i="10" s="1"/>
  <c r="J740" i="10" s="1"/>
  <c r="G52" i="10"/>
  <c r="G67" i="10" s="1"/>
  <c r="J738" i="10" s="1"/>
  <c r="E52" i="10"/>
  <c r="E67" i="10" s="1"/>
  <c r="J736" i="10" s="1"/>
  <c r="C52" i="10"/>
  <c r="BZ52" i="10"/>
  <c r="BZ67" i="10" s="1"/>
  <c r="J809" i="10" s="1"/>
  <c r="BX52" i="10"/>
  <c r="BX67" i="10" s="1"/>
  <c r="J807" i="10" s="1"/>
  <c r="BT52" i="10"/>
  <c r="BT67" i="10" s="1"/>
  <c r="J803" i="10" s="1"/>
  <c r="CB52" i="10"/>
  <c r="CB67" i="10" s="1"/>
  <c r="J811" i="10" s="1"/>
  <c r="BV52" i="10"/>
  <c r="BV67" i="10" s="1"/>
  <c r="J805" i="10" s="1"/>
  <c r="CE69" i="10"/>
  <c r="L816" i="10" s="1"/>
  <c r="D361" i="10"/>
  <c r="N817" i="10" s="1"/>
  <c r="E203" i="10"/>
  <c r="C475" i="10" s="1"/>
  <c r="E209" i="10"/>
  <c r="C227" i="10"/>
  <c r="BX722" i="10" s="1"/>
  <c r="CE60" i="10"/>
  <c r="BI730" i="10" s="1"/>
  <c r="CE77" i="10"/>
  <c r="CF77" i="10" s="1"/>
  <c r="E195" i="10"/>
  <c r="C468" i="10" s="1"/>
  <c r="E197" i="10"/>
  <c r="C470" i="10" s="1"/>
  <c r="E199" i="10"/>
  <c r="C472" i="10" s="1"/>
  <c r="D472" i="10" s="1"/>
  <c r="E200" i="10"/>
  <c r="C473" i="10" s="1"/>
  <c r="C204" i="10"/>
  <c r="D217" i="10"/>
  <c r="D236" i="10"/>
  <c r="B446" i="10" s="1"/>
  <c r="D283" i="10"/>
  <c r="D329" i="10"/>
  <c r="D330" i="10" s="1"/>
  <c r="C366" i="10"/>
  <c r="BN730" i="10" s="1"/>
  <c r="B455" i="10"/>
  <c r="B464" i="10"/>
  <c r="B470" i="10"/>
  <c r="B478" i="10"/>
  <c r="C816" i="10"/>
  <c r="CE51" i="10"/>
  <c r="D753" i="10"/>
  <c r="D761" i="10"/>
  <c r="D769" i="10"/>
  <c r="D777" i="10"/>
  <c r="D785" i="10"/>
  <c r="D793" i="10"/>
  <c r="D801" i="10"/>
  <c r="D809" i="10"/>
  <c r="CE47" i="10"/>
  <c r="D794" i="10"/>
  <c r="D802" i="10"/>
  <c r="D810" i="10"/>
  <c r="B734" i="10"/>
  <c r="E496" i="10"/>
  <c r="D415" i="10"/>
  <c r="CE63" i="10"/>
  <c r="M741" i="10"/>
  <c r="M749" i="10"/>
  <c r="M757" i="10"/>
  <c r="M765" i="10"/>
  <c r="M773" i="10"/>
  <c r="M781" i="10"/>
  <c r="M789" i="10"/>
  <c r="M797" i="10"/>
  <c r="M805" i="10"/>
  <c r="O739" i="10"/>
  <c r="H75" i="10"/>
  <c r="N739" i="10" s="1"/>
  <c r="O747" i="10"/>
  <c r="P75" i="10"/>
  <c r="N747" i="10" s="1"/>
  <c r="O755" i="10"/>
  <c r="X75" i="10"/>
  <c r="N755" i="10" s="1"/>
  <c r="O763" i="10"/>
  <c r="AF75" i="10"/>
  <c r="N763" i="10" s="1"/>
  <c r="O771" i="10"/>
  <c r="AN75" i="10"/>
  <c r="N771" i="10" s="1"/>
  <c r="O779" i="10"/>
  <c r="AV75" i="10"/>
  <c r="N779" i="10" s="1"/>
  <c r="CE61" i="10"/>
  <c r="G734" i="10"/>
  <c r="G815" i="10" s="1"/>
  <c r="CE64" i="10"/>
  <c r="CE70" i="10"/>
  <c r="CD71" i="10"/>
  <c r="C575" i="10" s="1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H817" i="10"/>
  <c r="BU730" i="10"/>
  <c r="C438" i="10"/>
  <c r="B444" i="10"/>
  <c r="O743" i="10"/>
  <c r="D75" i="10"/>
  <c r="N735" i="10" s="1"/>
  <c r="T75" i="10"/>
  <c r="N751" i="10" s="1"/>
  <c r="AB75" i="10"/>
  <c r="N759" i="10" s="1"/>
  <c r="AJ75" i="10"/>
  <c r="N767" i="10" s="1"/>
  <c r="AR75" i="10"/>
  <c r="N775" i="10" s="1"/>
  <c r="CE80" i="10"/>
  <c r="E142" i="10"/>
  <c r="D464" i="10" s="1"/>
  <c r="E202" i="10"/>
  <c r="C474" i="10" s="1"/>
  <c r="I817" i="10"/>
  <c r="BV730" i="10"/>
  <c r="B432" i="10"/>
  <c r="C444" i="10"/>
  <c r="H527" i="10"/>
  <c r="C6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E139" i="10"/>
  <c r="C415" i="10" s="1"/>
  <c r="H722" i="10"/>
  <c r="D181" i="10"/>
  <c r="E212" i="10"/>
  <c r="E215" i="10"/>
  <c r="D240" i="10"/>
  <c r="B447" i="10" s="1"/>
  <c r="D260" i="10"/>
  <c r="D314" i="10"/>
  <c r="M817" i="10"/>
  <c r="BO730" i="10"/>
  <c r="K817" i="10"/>
  <c r="BX730" i="10"/>
  <c r="B468" i="10"/>
  <c r="H544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L817" i="10"/>
  <c r="BY730" i="10"/>
  <c r="B436" i="10"/>
  <c r="F499" i="10"/>
  <c r="F507" i="10"/>
  <c r="F530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D173" i="10"/>
  <c r="D428" i="10" s="1"/>
  <c r="B217" i="10"/>
  <c r="F498" i="10"/>
  <c r="F506" i="10"/>
  <c r="CE65" i="10"/>
  <c r="CE66" i="10"/>
  <c r="CE68" i="10"/>
  <c r="R816" i="10"/>
  <c r="I612" i="10"/>
  <c r="E141" i="10"/>
  <c r="D463" i="10" s="1"/>
  <c r="D186" i="10"/>
  <c r="D436" i="10" s="1"/>
  <c r="B204" i="10"/>
  <c r="C217" i="10"/>
  <c r="D433" i="10" s="1"/>
  <c r="E817" i="10"/>
  <c r="BR730" i="10"/>
  <c r="B437" i="10"/>
  <c r="C446" i="10"/>
  <c r="B458" i="10"/>
  <c r="H815" i="10"/>
  <c r="I815" i="10"/>
  <c r="K815" i="10"/>
  <c r="I75" i="10"/>
  <c r="N740" i="10" s="1"/>
  <c r="Q75" i="10"/>
  <c r="N748" i="10" s="1"/>
  <c r="Y75" i="10"/>
  <c r="N756" i="10" s="1"/>
  <c r="AG75" i="10"/>
  <c r="N764" i="10" s="1"/>
  <c r="AO75" i="10"/>
  <c r="N772" i="10" s="1"/>
  <c r="CE79" i="10"/>
  <c r="E138" i="10"/>
  <c r="C414" i="10" s="1"/>
  <c r="E210" i="10"/>
  <c r="E213" i="10"/>
  <c r="D275" i="10"/>
  <c r="F817" i="10"/>
  <c r="BS730" i="10"/>
  <c r="D390" i="10"/>
  <c r="B441" i="10" s="1"/>
  <c r="J75" i="10"/>
  <c r="N741" i="10" s="1"/>
  <c r="R75" i="10"/>
  <c r="N749" i="10" s="1"/>
  <c r="Z75" i="10"/>
  <c r="N757" i="10" s="1"/>
  <c r="AH75" i="10"/>
  <c r="N765" i="10" s="1"/>
  <c r="AP75" i="10"/>
  <c r="N773" i="10" s="1"/>
  <c r="P816" i="10"/>
  <c r="D612" i="10"/>
  <c r="D177" i="10"/>
  <c r="D434" i="10" s="1"/>
  <c r="D204" i="10"/>
  <c r="G817" i="10"/>
  <c r="BT730" i="10"/>
  <c r="B431" i="10"/>
  <c r="B438" i="10"/>
  <c r="B440" i="10" s="1"/>
  <c r="F515" i="10"/>
  <c r="F518" i="10"/>
  <c r="H538" i="10"/>
  <c r="T815" i="10"/>
  <c r="L815" i="10"/>
  <c r="P815" i="10"/>
  <c r="R815" i="10"/>
  <c r="Q815" i="10"/>
  <c r="C815" i="10"/>
  <c r="S815" i="10"/>
  <c r="B465" i="10" l="1"/>
  <c r="D465" i="10"/>
  <c r="C447" i="10"/>
  <c r="D229" i="10"/>
  <c r="B445" i="10" s="1"/>
  <c r="C364" i="10"/>
  <c r="C445" i="10" s="1"/>
  <c r="G612" i="10"/>
  <c r="C440" i="10"/>
  <c r="Q816" i="10"/>
  <c r="O815" i="10"/>
  <c r="M815" i="10"/>
  <c r="E217" i="10"/>
  <c r="C478" i="10" s="1"/>
  <c r="D478" i="10" s="1"/>
  <c r="E204" i="10"/>
  <c r="C476" i="10" s="1"/>
  <c r="H612" i="10"/>
  <c r="CE52" i="10"/>
  <c r="C67" i="10"/>
  <c r="D339" i="10"/>
  <c r="C482" i="10" s="1"/>
  <c r="D815" i="10"/>
  <c r="I816" i="10"/>
  <c r="C432" i="10"/>
  <c r="S816" i="10"/>
  <c r="CF79" i="10"/>
  <c r="J612" i="10"/>
  <c r="H816" i="10"/>
  <c r="C431" i="10"/>
  <c r="N734" i="10"/>
  <c r="N815" i="10" s="1"/>
  <c r="CE75" i="10"/>
  <c r="G816" i="10"/>
  <c r="F612" i="10"/>
  <c r="C430" i="10"/>
  <c r="O816" i="10"/>
  <c r="C463" i="10"/>
  <c r="K816" i="10"/>
  <c r="C434" i="10"/>
  <c r="D816" i="10"/>
  <c r="C427" i="10"/>
  <c r="CB48" i="10"/>
  <c r="CB62" i="10" s="1"/>
  <c r="BL48" i="10"/>
  <c r="BL62" i="10" s="1"/>
  <c r="AN48" i="10"/>
  <c r="AN62" i="10" s="1"/>
  <c r="X48" i="10"/>
  <c r="X62" i="10" s="1"/>
  <c r="H48" i="10"/>
  <c r="H62" i="10" s="1"/>
  <c r="CA48" i="10"/>
  <c r="CA62" i="10" s="1"/>
  <c r="BS48" i="10"/>
  <c r="BS62" i="10" s="1"/>
  <c r="BK48" i="10"/>
  <c r="BK62" i="10" s="1"/>
  <c r="AM48" i="10"/>
  <c r="AM62" i="10" s="1"/>
  <c r="AE48" i="10"/>
  <c r="AE62" i="10" s="1"/>
  <c r="W48" i="10"/>
  <c r="W62" i="10" s="1"/>
  <c r="O48" i="10"/>
  <c r="O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V48" i="10"/>
  <c r="BV62" i="10" s="1"/>
  <c r="BF48" i="10"/>
  <c r="BF62" i="10" s="1"/>
  <c r="AX48" i="10"/>
  <c r="AX62" i="10" s="1"/>
  <c r="AH48" i="10"/>
  <c r="AH62" i="10" s="1"/>
  <c r="R48" i="10"/>
  <c r="R62" i="10" s="1"/>
  <c r="AU48" i="10"/>
  <c r="AU62" i="10" s="1"/>
  <c r="G48" i="10"/>
  <c r="G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C48" i="10"/>
  <c r="BC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N48" i="10"/>
  <c r="BN62" i="10" s="1"/>
  <c r="AP48" i="10"/>
  <c r="AP62" i="10" s="1"/>
  <c r="Z48" i="10"/>
  <c r="Z62" i="10" s="1"/>
  <c r="J48" i="10"/>
  <c r="J62" i="10" s="1"/>
  <c r="BT48" i="10"/>
  <c r="BT62" i="10" s="1"/>
  <c r="BD48" i="10"/>
  <c r="BD62" i="10" s="1"/>
  <c r="AV48" i="10"/>
  <c r="AV62" i="10" s="1"/>
  <c r="AF48" i="10"/>
  <c r="AF62" i="10" s="1"/>
  <c r="P48" i="10"/>
  <c r="P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476" i="10"/>
  <c r="D277" i="10"/>
  <c r="D292" i="10" s="1"/>
  <c r="D341" i="10" s="1"/>
  <c r="C481" i="10" s="1"/>
  <c r="M816" i="10"/>
  <c r="C458" i="10"/>
  <c r="F816" i="10"/>
  <c r="C429" i="10"/>
  <c r="D435" i="10"/>
  <c r="D438" i="10"/>
  <c r="T816" i="10"/>
  <c r="L612" i="10"/>
  <c r="BL730" i="10" l="1"/>
  <c r="D367" i="10"/>
  <c r="C448" i="10" s="1"/>
  <c r="D242" i="10"/>
  <c r="B448" i="10" s="1"/>
  <c r="D476" i="10"/>
  <c r="CE67" i="10"/>
  <c r="J734" i="10"/>
  <c r="J815" i="10" s="1"/>
  <c r="E772" i="10"/>
  <c r="AO71" i="10"/>
  <c r="E783" i="10"/>
  <c r="AZ71" i="10"/>
  <c r="E761" i="10"/>
  <c r="AD71" i="10"/>
  <c r="E780" i="10"/>
  <c r="AW71" i="10"/>
  <c r="E750" i="10"/>
  <c r="S71" i="10"/>
  <c r="E786" i="10"/>
  <c r="BC71" i="10"/>
  <c r="E791" i="10"/>
  <c r="BH71" i="10"/>
  <c r="E789" i="10"/>
  <c r="BF71" i="10"/>
  <c r="E784" i="10"/>
  <c r="BA71" i="10"/>
  <c r="E769" i="10"/>
  <c r="AL71" i="10"/>
  <c r="E762" i="10"/>
  <c r="AE71" i="10"/>
  <c r="E795" i="10"/>
  <c r="BL71" i="10"/>
  <c r="D368" i="10"/>
  <c r="D373" i="10" s="1"/>
  <c r="D391" i="10" s="1"/>
  <c r="D393" i="10" s="1"/>
  <c r="D396" i="10" s="1"/>
  <c r="E788" i="10"/>
  <c r="BE71" i="10"/>
  <c r="E803" i="10"/>
  <c r="BT71" i="10"/>
  <c r="E758" i="10"/>
  <c r="AA71" i="10"/>
  <c r="E735" i="10"/>
  <c r="D71" i="10"/>
  <c r="E799" i="10"/>
  <c r="BP71" i="10"/>
  <c r="E805" i="10"/>
  <c r="BV71" i="10"/>
  <c r="E792" i="10"/>
  <c r="BI71" i="10"/>
  <c r="E777" i="10"/>
  <c r="AT71" i="10"/>
  <c r="E770" i="10"/>
  <c r="AM71" i="10"/>
  <c r="E811" i="10"/>
  <c r="CB71" i="10"/>
  <c r="E781" i="10"/>
  <c r="AX71" i="10"/>
  <c r="E743" i="10"/>
  <c r="L71" i="10"/>
  <c r="E785" i="10"/>
  <c r="BB71" i="10"/>
  <c r="E740" i="10"/>
  <c r="I71" i="10"/>
  <c r="E804" i="10"/>
  <c r="BU71" i="10"/>
  <c r="E757" i="10"/>
  <c r="Z71" i="10"/>
  <c r="E774" i="10"/>
  <c r="AQ71" i="10"/>
  <c r="E751" i="10"/>
  <c r="T71" i="10"/>
  <c r="E738" i="10"/>
  <c r="G71" i="10"/>
  <c r="E744" i="10"/>
  <c r="M71" i="10"/>
  <c r="E808" i="10"/>
  <c r="BY71" i="10"/>
  <c r="E793" i="10"/>
  <c r="BJ71" i="10"/>
  <c r="E802" i="10"/>
  <c r="BS71" i="10"/>
  <c r="E779" i="10"/>
  <c r="AV71" i="10"/>
  <c r="E771" i="10"/>
  <c r="AN71" i="10"/>
  <c r="E787" i="10"/>
  <c r="BD71" i="10"/>
  <c r="E741" i="10"/>
  <c r="J71" i="10"/>
  <c r="E736" i="10"/>
  <c r="E71" i="10"/>
  <c r="E812" i="10"/>
  <c r="CC71" i="10"/>
  <c r="E782" i="10"/>
  <c r="AY71" i="10"/>
  <c r="E759" i="10"/>
  <c r="AB71" i="10"/>
  <c r="E752" i="10"/>
  <c r="U71" i="10"/>
  <c r="E737" i="10"/>
  <c r="F71" i="10"/>
  <c r="E801" i="10"/>
  <c r="BR71" i="10"/>
  <c r="E810" i="10"/>
  <c r="CA71" i="10"/>
  <c r="N816" i="10"/>
  <c r="K612" i="10"/>
  <c r="C465" i="10"/>
  <c r="E742" i="10"/>
  <c r="K71" i="10"/>
  <c r="E776" i="10"/>
  <c r="AS71" i="10"/>
  <c r="E796" i="10"/>
  <c r="BM71" i="10"/>
  <c r="E807" i="10"/>
  <c r="BX71" i="10"/>
  <c r="E748" i="10"/>
  <c r="Q71" i="10"/>
  <c r="E773" i="10"/>
  <c r="AP71" i="10"/>
  <c r="E778" i="10"/>
  <c r="AU71" i="10"/>
  <c r="E756" i="10"/>
  <c r="Y71" i="10"/>
  <c r="E747" i="10"/>
  <c r="P71" i="10"/>
  <c r="E797" i="10"/>
  <c r="BN71" i="10"/>
  <c r="E790" i="10"/>
  <c r="BG71" i="10"/>
  <c r="E767" i="10"/>
  <c r="AJ71" i="10"/>
  <c r="E749" i="10"/>
  <c r="R71" i="10"/>
  <c r="E760" i="10"/>
  <c r="AC71" i="10"/>
  <c r="E745" i="10"/>
  <c r="N71" i="10"/>
  <c r="E809" i="10"/>
  <c r="BZ71" i="10"/>
  <c r="E739" i="10"/>
  <c r="H71" i="10"/>
  <c r="E806" i="10"/>
  <c r="BW71" i="10"/>
  <c r="E754" i="10"/>
  <c r="W71" i="10"/>
  <c r="E766" i="10"/>
  <c r="AI71" i="10"/>
  <c r="E800" i="10"/>
  <c r="BQ71" i="10"/>
  <c r="E794" i="10"/>
  <c r="BK71" i="10"/>
  <c r="E764" i="10"/>
  <c r="AG71" i="10"/>
  <c r="E763" i="10"/>
  <c r="AF71" i="10"/>
  <c r="CE48" i="10"/>
  <c r="C62" i="10"/>
  <c r="E798" i="10"/>
  <c r="BO71" i="10"/>
  <c r="E775" i="10"/>
  <c r="AR71" i="10"/>
  <c r="E765" i="10"/>
  <c r="AH71" i="10"/>
  <c r="E768" i="10"/>
  <c r="AK71" i="10"/>
  <c r="E753" i="10"/>
  <c r="V71" i="10"/>
  <c r="E746" i="10"/>
  <c r="O71" i="10"/>
  <c r="E755" i="10"/>
  <c r="X71" i="10"/>
  <c r="J816" i="10" l="1"/>
  <c r="C433" i="10"/>
  <c r="C686" i="10"/>
  <c r="C514" i="10"/>
  <c r="C713" i="10"/>
  <c r="C541" i="10"/>
  <c r="C711" i="10"/>
  <c r="C539" i="10"/>
  <c r="G539" i="10" s="1"/>
  <c r="C675" i="10"/>
  <c r="C503" i="10"/>
  <c r="C639" i="10"/>
  <c r="C564" i="10"/>
  <c r="C500" i="10"/>
  <c r="C672" i="10"/>
  <c r="C543" i="10"/>
  <c r="C616" i="10"/>
  <c r="C634" i="10"/>
  <c r="C554" i="10"/>
  <c r="C692" i="10"/>
  <c r="C520" i="10"/>
  <c r="C637" i="10"/>
  <c r="C557" i="10"/>
  <c r="C551" i="10"/>
  <c r="C629" i="10"/>
  <c r="C631" i="10"/>
  <c r="C542" i="10"/>
  <c r="C687" i="10"/>
  <c r="C515" i="10"/>
  <c r="C627" i="10"/>
  <c r="C560" i="10"/>
  <c r="C635" i="10"/>
  <c r="C556" i="10"/>
  <c r="C643" i="10"/>
  <c r="C568" i="10"/>
  <c r="C694" i="10"/>
  <c r="C522" i="10"/>
  <c r="C559" i="10"/>
  <c r="C619" i="10"/>
  <c r="C707" i="10"/>
  <c r="C535" i="10"/>
  <c r="C710" i="10"/>
  <c r="C538" i="10"/>
  <c r="G538" i="10" s="1"/>
  <c r="C678" i="10"/>
  <c r="C506" i="10"/>
  <c r="G506" i="10" s="1"/>
  <c r="C669" i="10"/>
  <c r="C497" i="10"/>
  <c r="G497" i="10" s="1"/>
  <c r="C647" i="10"/>
  <c r="C572" i="10"/>
  <c r="C641" i="10"/>
  <c r="C566" i="10"/>
  <c r="C563" i="10"/>
  <c r="C626" i="10"/>
  <c r="C544" i="10"/>
  <c r="G544" i="10" s="1"/>
  <c r="C625" i="10"/>
  <c r="C624" i="10"/>
  <c r="C549" i="10"/>
  <c r="C555" i="10"/>
  <c r="C617" i="10"/>
  <c r="C685" i="10"/>
  <c r="C513" i="10"/>
  <c r="C674" i="10"/>
  <c r="C502" i="10"/>
  <c r="G502" i="10" s="1"/>
  <c r="C573" i="10"/>
  <c r="C622" i="10"/>
  <c r="C642" i="10"/>
  <c r="C567" i="10"/>
  <c r="C640" i="10"/>
  <c r="C565" i="10"/>
  <c r="C696" i="10"/>
  <c r="C524" i="10"/>
  <c r="C636" i="10"/>
  <c r="C553" i="10"/>
  <c r="C695" i="10"/>
  <c r="C523" i="10"/>
  <c r="C677" i="10"/>
  <c r="C505" i="10"/>
  <c r="G505" i="10" s="1"/>
  <c r="C693" i="10"/>
  <c r="C521" i="10"/>
  <c r="C702" i="10"/>
  <c r="C530" i="10"/>
  <c r="E734" i="10"/>
  <c r="E815" i="10" s="1"/>
  <c r="CE62" i="10"/>
  <c r="C71" i="10"/>
  <c r="C562" i="10"/>
  <c r="C623" i="10"/>
  <c r="C673" i="10"/>
  <c r="C501" i="10"/>
  <c r="C683" i="10"/>
  <c r="C511" i="10"/>
  <c r="G511" i="10" s="1"/>
  <c r="C681" i="10"/>
  <c r="C509" i="10"/>
  <c r="C682" i="10"/>
  <c r="C510" i="10"/>
  <c r="C676" i="10"/>
  <c r="C504" i="10"/>
  <c r="G504" i="10" s="1"/>
  <c r="C671" i="10"/>
  <c r="C499" i="10"/>
  <c r="G499" i="10" s="1"/>
  <c r="C574" i="10"/>
  <c r="C620" i="10"/>
  <c r="C705" i="10"/>
  <c r="C533" i="10"/>
  <c r="C645" i="10"/>
  <c r="C570" i="10"/>
  <c r="C708" i="10"/>
  <c r="C536" i="10"/>
  <c r="G536" i="10" s="1"/>
  <c r="C632" i="10"/>
  <c r="C547" i="10"/>
  <c r="C704" i="10"/>
  <c r="C532" i="10"/>
  <c r="G532" i="10" s="1"/>
  <c r="C561" i="10"/>
  <c r="C621" i="10"/>
  <c r="C614" i="10"/>
  <c r="C550" i="10"/>
  <c r="C703" i="10"/>
  <c r="C531" i="10"/>
  <c r="C633" i="10"/>
  <c r="C548" i="10"/>
  <c r="C628" i="10"/>
  <c r="C545" i="10"/>
  <c r="C689" i="10"/>
  <c r="C517" i="10"/>
  <c r="C699" i="10"/>
  <c r="C527" i="10"/>
  <c r="G527" i="10" s="1"/>
  <c r="C697" i="10"/>
  <c r="C525" i="10"/>
  <c r="G525" i="10" s="1"/>
  <c r="C700" i="10"/>
  <c r="C528" i="10"/>
  <c r="C646" i="10"/>
  <c r="C571" i="10"/>
  <c r="C701" i="10"/>
  <c r="C529" i="10"/>
  <c r="C518" i="10"/>
  <c r="C690" i="10"/>
  <c r="C644" i="10"/>
  <c r="C569" i="10"/>
  <c r="C670" i="10"/>
  <c r="C498" i="10"/>
  <c r="C691" i="10"/>
  <c r="C519" i="10"/>
  <c r="G519" i="10" s="1"/>
  <c r="C630" i="10"/>
  <c r="C546" i="10"/>
  <c r="C512" i="10"/>
  <c r="C684" i="10"/>
  <c r="C706" i="10"/>
  <c r="C534" i="10"/>
  <c r="G534" i="10" s="1"/>
  <c r="C680" i="10"/>
  <c r="C508" i="10"/>
  <c r="C709" i="10"/>
  <c r="C537" i="10"/>
  <c r="C698" i="10"/>
  <c r="C526" i="10"/>
  <c r="C688" i="10"/>
  <c r="C516" i="10"/>
  <c r="G516" i="10" s="1"/>
  <c r="C679" i="10"/>
  <c r="C507" i="10"/>
  <c r="G507" i="10" s="1"/>
  <c r="C552" i="10"/>
  <c r="C618" i="10"/>
  <c r="C712" i="10"/>
  <c r="C540" i="10"/>
  <c r="G540" i="10" s="1"/>
  <c r="C638" i="10"/>
  <c r="C558" i="10"/>
  <c r="G518" i="10" l="1"/>
  <c r="H518" i="10" s="1"/>
  <c r="G522" i="10"/>
  <c r="H522" i="10" s="1"/>
  <c r="G515" i="10"/>
  <c r="H515" i="10"/>
  <c r="G514" i="10"/>
  <c r="H514" i="10" s="1"/>
  <c r="G508" i="10"/>
  <c r="H508" i="10" s="1"/>
  <c r="G529" i="10"/>
  <c r="H529" i="10" s="1"/>
  <c r="G531" i="10"/>
  <c r="H531" i="10" s="1"/>
  <c r="C496" i="10"/>
  <c r="C668" i="10"/>
  <c r="C715" i="10" s="1"/>
  <c r="E816" i="10"/>
  <c r="C428" i="10"/>
  <c r="C441" i="10" s="1"/>
  <c r="CE71" i="10"/>
  <c r="C716" i="10" s="1"/>
  <c r="G523" i="10"/>
  <c r="H523" i="10"/>
  <c r="G503" i="10"/>
  <c r="H503" i="10" s="1"/>
  <c r="G498" i="10"/>
  <c r="H498" i="10" s="1"/>
  <c r="G517" i="10"/>
  <c r="H517" i="10" s="1"/>
  <c r="G550" i="10"/>
  <c r="H550" i="10" s="1"/>
  <c r="G513" i="10"/>
  <c r="H513" i="10" s="1"/>
  <c r="G520" i="10"/>
  <c r="H520" i="10" s="1"/>
  <c r="G526" i="10"/>
  <c r="H526" i="10" s="1"/>
  <c r="G528" i="10"/>
  <c r="H528" i="10" s="1"/>
  <c r="G545" i="10"/>
  <c r="H545" i="10" s="1"/>
  <c r="G501" i="10"/>
  <c r="H501" i="10" s="1"/>
  <c r="G509" i="10"/>
  <c r="H509" i="10" s="1"/>
  <c r="C648" i="10"/>
  <c r="M716" i="10" s="1"/>
  <c r="Y816" i="10" s="1"/>
  <c r="D615" i="10"/>
  <c r="G530" i="10"/>
  <c r="H530" i="10" s="1"/>
  <c r="G535" i="10"/>
  <c r="H535" i="10" s="1"/>
  <c r="G512" i="10"/>
  <c r="H512" i="10" s="1"/>
  <c r="G521" i="10"/>
  <c r="H521" i="10" s="1"/>
  <c r="G524" i="10"/>
  <c r="H524" i="10" s="1"/>
  <c r="G537" i="10"/>
  <c r="H537" i="10" s="1"/>
  <c r="G546" i="10"/>
  <c r="H546" i="10"/>
  <c r="G533" i="10"/>
  <c r="H533" i="10"/>
  <c r="G510" i="10"/>
  <c r="H510" i="10" s="1"/>
  <c r="H500" i="10"/>
  <c r="G500" i="10"/>
  <c r="G496" i="10" l="1"/>
  <c r="H496" i="10" s="1"/>
  <c r="D716" i="10"/>
  <c r="D712" i="10"/>
  <c r="D711" i="10"/>
  <c r="D707" i="10"/>
  <c r="D699" i="10"/>
  <c r="D691" i="10"/>
  <c r="D683" i="10"/>
  <c r="D675" i="10"/>
  <c r="D710" i="10"/>
  <c r="D704" i="10"/>
  <c r="D696" i="10"/>
  <c r="D688" i="10"/>
  <c r="D680" i="10"/>
  <c r="D672" i="10"/>
  <c r="D701" i="10"/>
  <c r="D693" i="10"/>
  <c r="D685" i="10"/>
  <c r="D677" i="10"/>
  <c r="D709" i="10"/>
  <c r="D706" i="10"/>
  <c r="D698" i="10"/>
  <c r="D690" i="10"/>
  <c r="D682" i="10"/>
  <c r="D674" i="10"/>
  <c r="D713" i="10"/>
  <c r="D702" i="10"/>
  <c r="D686" i="10"/>
  <c r="D620" i="10"/>
  <c r="D616" i="10"/>
  <c r="D700" i="10"/>
  <c r="D684" i="10"/>
  <c r="D646" i="10"/>
  <c r="D623" i="10"/>
  <c r="D619" i="10"/>
  <c r="D708" i="10"/>
  <c r="D694" i="10"/>
  <c r="D678" i="10"/>
  <c r="D673" i="10"/>
  <c r="D628" i="10"/>
  <c r="D622" i="10"/>
  <c r="D618" i="10"/>
  <c r="D695" i="10"/>
  <c r="D679" i="10"/>
  <c r="D647" i="10"/>
  <c r="D692" i="10"/>
  <c r="D668" i="10"/>
  <c r="D629" i="10"/>
  <c r="D626" i="10"/>
  <c r="D621" i="10"/>
  <c r="D617" i="10"/>
  <c r="D681" i="10"/>
  <c r="D644" i="10"/>
  <c r="D636" i="10"/>
  <c r="D641" i="10"/>
  <c r="D633" i="10"/>
  <c r="D627" i="10"/>
  <c r="D703" i="10"/>
  <c r="D676" i="10"/>
  <c r="D670" i="10"/>
  <c r="D638" i="10"/>
  <c r="D630" i="10"/>
  <c r="D687" i="10"/>
  <c r="D643" i="10"/>
  <c r="D635" i="10"/>
  <c r="D669" i="10"/>
  <c r="D640" i="10"/>
  <c r="D632" i="10"/>
  <c r="D645" i="10"/>
  <c r="D637" i="10"/>
  <c r="D625" i="10"/>
  <c r="D642" i="10"/>
  <c r="D634" i="10"/>
  <c r="D624" i="10"/>
  <c r="D705" i="10"/>
  <c r="D697" i="10"/>
  <c r="D689" i="10"/>
  <c r="D671" i="10"/>
  <c r="D639" i="10"/>
  <c r="D631" i="10"/>
  <c r="D715" i="10" l="1"/>
  <c r="E623" i="10"/>
  <c r="E612" i="10"/>
  <c r="E712" i="10" l="1"/>
  <c r="E711" i="10"/>
  <c r="E713" i="10"/>
  <c r="E710" i="10"/>
  <c r="E704" i="10"/>
  <c r="E696" i="10"/>
  <c r="E688" i="10"/>
  <c r="E680" i="10"/>
  <c r="E672" i="10"/>
  <c r="E701" i="10"/>
  <c r="E693" i="10"/>
  <c r="E685" i="10"/>
  <c r="E677" i="10"/>
  <c r="E669" i="10"/>
  <c r="E709" i="10"/>
  <c r="E706" i="10"/>
  <c r="E698" i="10"/>
  <c r="E690" i="10"/>
  <c r="E682" i="10"/>
  <c r="E703" i="10"/>
  <c r="E695" i="10"/>
  <c r="E687" i="10"/>
  <c r="E679" i="10"/>
  <c r="E671" i="10"/>
  <c r="E708" i="10"/>
  <c r="E705" i="10"/>
  <c r="E699" i="10"/>
  <c r="E683" i="10"/>
  <c r="E670" i="10"/>
  <c r="E627" i="10"/>
  <c r="E697" i="10"/>
  <c r="E681" i="10"/>
  <c r="E625" i="10"/>
  <c r="E691" i="10"/>
  <c r="E674" i="10"/>
  <c r="E647" i="10"/>
  <c r="E692" i="10"/>
  <c r="E668" i="10"/>
  <c r="E629" i="10"/>
  <c r="E626" i="10"/>
  <c r="E689" i="10"/>
  <c r="E676" i="10"/>
  <c r="E675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0" i="10"/>
  <c r="E684" i="10"/>
  <c r="E673" i="10"/>
  <c r="E646" i="10"/>
  <c r="E707" i="10"/>
  <c r="E702" i="10"/>
  <c r="E716" i="10"/>
  <c r="E694" i="10"/>
  <c r="E686" i="10"/>
  <c r="E678" i="10"/>
  <c r="E628" i="10"/>
  <c r="E715" i="10" l="1"/>
  <c r="F624" i="10"/>
  <c r="F711" i="10" l="1"/>
  <c r="F713" i="10"/>
  <c r="F710" i="10"/>
  <c r="F701" i="10"/>
  <c r="F693" i="10"/>
  <c r="F685" i="10"/>
  <c r="F677" i="10"/>
  <c r="F669" i="10"/>
  <c r="F709" i="10"/>
  <c r="F706" i="10"/>
  <c r="F698" i="10"/>
  <c r="F690" i="10"/>
  <c r="F682" i="10"/>
  <c r="F674" i="10"/>
  <c r="F703" i="10"/>
  <c r="F695" i="10"/>
  <c r="F687" i="10"/>
  <c r="F679" i="10"/>
  <c r="F708" i="10"/>
  <c r="F700" i="10"/>
  <c r="F692" i="10"/>
  <c r="F684" i="10"/>
  <c r="F676" i="10"/>
  <c r="F668" i="10"/>
  <c r="F705" i="10"/>
  <c r="F707" i="10"/>
  <c r="F696" i="10"/>
  <c r="F680" i="10"/>
  <c r="F671" i="10"/>
  <c r="F646" i="10"/>
  <c r="F712" i="10"/>
  <c r="F694" i="10"/>
  <c r="F678" i="10"/>
  <c r="F673" i="10"/>
  <c r="F672" i="10"/>
  <c r="F628" i="10"/>
  <c r="F688" i="10"/>
  <c r="F629" i="10"/>
  <c r="F626" i="10"/>
  <c r="F704" i="10"/>
  <c r="F689" i="10"/>
  <c r="F675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16" i="10"/>
  <c r="F702" i="10"/>
  <c r="F686" i="10"/>
  <c r="F627" i="10"/>
  <c r="F670" i="10"/>
  <c r="F647" i="10"/>
  <c r="F699" i="10"/>
  <c r="F691" i="10"/>
  <c r="F683" i="10"/>
  <c r="F625" i="10"/>
  <c r="F697" i="10"/>
  <c r="F681" i="10"/>
  <c r="F715" i="10" l="1"/>
  <c r="G625" i="10"/>
  <c r="G711" i="10" l="1"/>
  <c r="G713" i="10"/>
  <c r="G716" i="10"/>
  <c r="G709" i="10"/>
  <c r="G706" i="10"/>
  <c r="G698" i="10"/>
  <c r="G690" i="10"/>
  <c r="G682" i="10"/>
  <c r="G674" i="10"/>
  <c r="G703" i="10"/>
  <c r="G695" i="10"/>
  <c r="G687" i="10"/>
  <c r="G679" i="10"/>
  <c r="G671" i="10"/>
  <c r="G708" i="10"/>
  <c r="G700" i="10"/>
  <c r="G692" i="10"/>
  <c r="G684" i="10"/>
  <c r="G705" i="10"/>
  <c r="G697" i="10"/>
  <c r="G689" i="10"/>
  <c r="G681" i="10"/>
  <c r="G673" i="10"/>
  <c r="G693" i="10"/>
  <c r="G677" i="10"/>
  <c r="G691" i="10"/>
  <c r="G647" i="10"/>
  <c r="G704" i="10"/>
  <c r="G701" i="10"/>
  <c r="G685" i="10"/>
  <c r="G675" i="10"/>
  <c r="G668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0" i="10"/>
  <c r="G702" i="10"/>
  <c r="G686" i="10"/>
  <c r="G676" i="10"/>
  <c r="G699" i="10"/>
  <c r="G683" i="10"/>
  <c r="G670" i="10"/>
  <c r="G669" i="10"/>
  <c r="G627" i="10"/>
  <c r="G696" i="10"/>
  <c r="G688" i="10"/>
  <c r="G680" i="10"/>
  <c r="G646" i="10"/>
  <c r="G626" i="10"/>
  <c r="G707" i="10"/>
  <c r="G694" i="10"/>
  <c r="G672" i="10"/>
  <c r="G629" i="10"/>
  <c r="G678" i="10"/>
  <c r="G712" i="10"/>
  <c r="G628" i="10"/>
  <c r="G715" i="10" l="1"/>
  <c r="H628" i="10"/>
  <c r="H713" i="10" l="1"/>
  <c r="H716" i="10"/>
  <c r="H712" i="10"/>
  <c r="H703" i="10"/>
  <c r="H695" i="10"/>
  <c r="H687" i="10"/>
  <c r="H679" i="10"/>
  <c r="H671" i="10"/>
  <c r="H708" i="10"/>
  <c r="H700" i="10"/>
  <c r="H692" i="10"/>
  <c r="H684" i="10"/>
  <c r="H676" i="10"/>
  <c r="H668" i="10"/>
  <c r="H711" i="10"/>
  <c r="H705" i="10"/>
  <c r="H697" i="10"/>
  <c r="H689" i="10"/>
  <c r="H681" i="10"/>
  <c r="H702" i="10"/>
  <c r="H694" i="10"/>
  <c r="H686" i="10"/>
  <c r="H678" i="10"/>
  <c r="H670" i="10"/>
  <c r="H647" i="10"/>
  <c r="H646" i="10"/>
  <c r="H645" i="10"/>
  <c r="H707" i="10"/>
  <c r="H709" i="10"/>
  <c r="H690" i="10"/>
  <c r="H672" i="10"/>
  <c r="H688" i="10"/>
  <c r="H629" i="10"/>
  <c r="H710" i="10"/>
  <c r="H706" i="10"/>
  <c r="H698" i="10"/>
  <c r="H682" i="10"/>
  <c r="H699" i="10"/>
  <c r="H683" i="10"/>
  <c r="H669" i="10"/>
  <c r="H696" i="10"/>
  <c r="H680" i="10"/>
  <c r="H704" i="10"/>
  <c r="H641" i="10"/>
  <c r="H633" i="10"/>
  <c r="H673" i="10"/>
  <c r="H638" i="10"/>
  <c r="H630" i="10"/>
  <c r="H691" i="10"/>
  <c r="H643" i="10"/>
  <c r="H635" i="10"/>
  <c r="H640" i="10"/>
  <c r="H632" i="10"/>
  <c r="H675" i="10"/>
  <c r="H637" i="10"/>
  <c r="H642" i="10"/>
  <c r="H634" i="10"/>
  <c r="H701" i="10"/>
  <c r="H693" i="10"/>
  <c r="H639" i="10"/>
  <c r="H631" i="10"/>
  <c r="H685" i="10"/>
  <c r="H677" i="10"/>
  <c r="H674" i="10"/>
  <c r="H644" i="10"/>
  <c r="H636" i="10"/>
  <c r="H715" i="10" l="1"/>
  <c r="I629" i="10"/>
  <c r="I713" i="10" l="1"/>
  <c r="I710" i="10"/>
  <c r="I716" i="10"/>
  <c r="I712" i="10"/>
  <c r="I709" i="10"/>
  <c r="I708" i="10"/>
  <c r="I700" i="10"/>
  <c r="I692" i="10"/>
  <c r="I684" i="10"/>
  <c r="I676" i="10"/>
  <c r="I668" i="10"/>
  <c r="I711" i="10"/>
  <c r="I705" i="10"/>
  <c r="I697" i="10"/>
  <c r="I689" i="10"/>
  <c r="I681" i="10"/>
  <c r="I673" i="10"/>
  <c r="I702" i="10"/>
  <c r="I694" i="10"/>
  <c r="I686" i="10"/>
  <c r="I678" i="10"/>
  <c r="I707" i="10"/>
  <c r="I699" i="10"/>
  <c r="I691" i="10"/>
  <c r="I683" i="10"/>
  <c r="I675" i="10"/>
  <c r="I644" i="10"/>
  <c r="I704" i="10"/>
  <c r="I703" i="10"/>
  <c r="I687" i="10"/>
  <c r="I701" i="10"/>
  <c r="I685" i="10"/>
  <c r="I67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5" i="10"/>
  <c r="I679" i="10"/>
  <c r="I669" i="10"/>
  <c r="I696" i="10"/>
  <c r="I680" i="10"/>
  <c r="I670" i="10"/>
  <c r="I693" i="10"/>
  <c r="I677" i="10"/>
  <c r="I646" i="10"/>
  <c r="I688" i="10"/>
  <c r="I647" i="10"/>
  <c r="I672" i="10"/>
  <c r="I698" i="10"/>
  <c r="I690" i="10"/>
  <c r="I645" i="10"/>
  <c r="I706" i="10"/>
  <c r="I682" i="10"/>
  <c r="I671" i="10"/>
  <c r="I715" i="10" l="1"/>
  <c r="J630" i="10"/>
  <c r="J713" i="10" l="1"/>
  <c r="J710" i="10"/>
  <c r="J716" i="10"/>
  <c r="J712" i="10"/>
  <c r="J711" i="10"/>
  <c r="J705" i="10"/>
  <c r="J697" i="10"/>
  <c r="J689" i="10"/>
  <c r="J681" i="10"/>
  <c r="J673" i="10"/>
  <c r="J702" i="10"/>
  <c r="J694" i="10"/>
  <c r="J686" i="10"/>
  <c r="J678" i="10"/>
  <c r="J670" i="10"/>
  <c r="J647" i="10"/>
  <c r="J646" i="10"/>
  <c r="J645" i="10"/>
  <c r="J707" i="10"/>
  <c r="J699" i="10"/>
  <c r="J691" i="10"/>
  <c r="J683" i="10"/>
  <c r="J704" i="10"/>
  <c r="J696" i="10"/>
  <c r="J688" i="10"/>
  <c r="J680" i="10"/>
  <c r="J672" i="10"/>
  <c r="J700" i="10"/>
  <c r="J684" i="10"/>
  <c r="J706" i="10"/>
  <c r="J698" i="10"/>
  <c r="J682" i="10"/>
  <c r="J675" i="10"/>
  <c r="J644" i="10"/>
  <c r="J692" i="10"/>
  <c r="J676" i="10"/>
  <c r="J693" i="10"/>
  <c r="J677" i="10"/>
  <c r="J690" i="10"/>
  <c r="J671" i="10"/>
  <c r="J709" i="10"/>
  <c r="J638" i="10"/>
  <c r="J703" i="10"/>
  <c r="J643" i="10"/>
  <c r="J635" i="10"/>
  <c r="J708" i="10"/>
  <c r="J695" i="10"/>
  <c r="J687" i="10"/>
  <c r="J640" i="10"/>
  <c r="J632" i="10"/>
  <c r="J679" i="10"/>
  <c r="J669" i="10"/>
  <c r="J637" i="10"/>
  <c r="J642" i="10"/>
  <c r="J634" i="10"/>
  <c r="J701" i="10"/>
  <c r="J639" i="10"/>
  <c r="J631" i="10"/>
  <c r="J685" i="10"/>
  <c r="J674" i="10"/>
  <c r="J668" i="10"/>
  <c r="J636" i="10"/>
  <c r="J641" i="10"/>
  <c r="J633" i="10"/>
  <c r="L647" i="10" l="1"/>
  <c r="L716" i="10" s="1"/>
  <c r="K644" i="10"/>
  <c r="J715" i="10"/>
  <c r="L684" i="10" l="1"/>
  <c r="L669" i="10"/>
  <c r="L697" i="10"/>
  <c r="L670" i="10"/>
  <c r="L694" i="10"/>
  <c r="L689" i="10"/>
  <c r="L695" i="10"/>
  <c r="L705" i="10"/>
  <c r="L686" i="10"/>
  <c r="L692" i="10"/>
  <c r="L674" i="10"/>
  <c r="L706" i="10"/>
  <c r="L709" i="10"/>
  <c r="L690" i="10"/>
  <c r="L685" i="10"/>
  <c r="L672" i="10"/>
  <c r="L681" i="10"/>
  <c r="L668" i="10"/>
  <c r="L679" i="10"/>
  <c r="L673" i="10"/>
  <c r="L700" i="10"/>
  <c r="L687" i="10"/>
  <c r="L671" i="10"/>
  <c r="L702" i="10"/>
  <c r="L676" i="10"/>
  <c r="L678" i="10"/>
  <c r="L703" i="10"/>
  <c r="L710" i="10"/>
  <c r="L682" i="10"/>
  <c r="L698" i="10"/>
  <c r="L677" i="10"/>
  <c r="L701" i="10"/>
  <c r="L688" i="10"/>
  <c r="L683" i="10"/>
  <c r="L708" i="10"/>
  <c r="L693" i="10"/>
  <c r="L713" i="10"/>
  <c r="L680" i="10"/>
  <c r="L704" i="10"/>
  <c r="L699" i="10"/>
  <c r="L712" i="10"/>
  <c r="L696" i="10"/>
  <c r="L675" i="10"/>
  <c r="L691" i="10"/>
  <c r="L707" i="10"/>
  <c r="L711" i="10"/>
  <c r="K716" i="10"/>
  <c r="K712" i="10"/>
  <c r="K711" i="10"/>
  <c r="K702" i="10"/>
  <c r="M702" i="10" s="1"/>
  <c r="Y768" i="10" s="1"/>
  <c r="K694" i="10"/>
  <c r="M694" i="10" s="1"/>
  <c r="Y760" i="10" s="1"/>
  <c r="K686" i="10"/>
  <c r="K678" i="10"/>
  <c r="K670" i="10"/>
  <c r="M670" i="10" s="1"/>
  <c r="Y736" i="10" s="1"/>
  <c r="K707" i="10"/>
  <c r="K699" i="10"/>
  <c r="M699" i="10" s="1"/>
  <c r="Y765" i="10" s="1"/>
  <c r="K691" i="10"/>
  <c r="K683" i="10"/>
  <c r="K675" i="10"/>
  <c r="M675" i="10" s="1"/>
  <c r="Y741" i="10" s="1"/>
  <c r="K704" i="10"/>
  <c r="K696" i="10"/>
  <c r="K688" i="10"/>
  <c r="M688" i="10" s="1"/>
  <c r="Y754" i="10" s="1"/>
  <c r="K680" i="10"/>
  <c r="K713" i="10"/>
  <c r="K701" i="10"/>
  <c r="K693" i="10"/>
  <c r="K685" i="10"/>
  <c r="M685" i="10" s="1"/>
  <c r="Y751" i="10" s="1"/>
  <c r="K677" i="10"/>
  <c r="K669" i="10"/>
  <c r="K706" i="10"/>
  <c r="K697" i="10"/>
  <c r="M697" i="10" s="1"/>
  <c r="Y763" i="10" s="1"/>
  <c r="K681" i="10"/>
  <c r="K674" i="10"/>
  <c r="K673" i="10"/>
  <c r="K708" i="10"/>
  <c r="M708" i="10" s="1"/>
  <c r="Y774" i="10" s="1"/>
  <c r="K695" i="10"/>
  <c r="K679" i="10"/>
  <c r="M679" i="10" s="1"/>
  <c r="Y745" i="10" s="1"/>
  <c r="K668" i="10"/>
  <c r="K689" i="10"/>
  <c r="K690" i="10"/>
  <c r="M690" i="10" s="1"/>
  <c r="Y756" i="10" s="1"/>
  <c r="K671" i="10"/>
  <c r="K709" i="10"/>
  <c r="K703" i="10"/>
  <c r="M703" i="10" s="1"/>
  <c r="Y769" i="10" s="1"/>
  <c r="K687" i="10"/>
  <c r="M687" i="10" s="1"/>
  <c r="Y753" i="10" s="1"/>
  <c r="K672" i="10"/>
  <c r="K692" i="10"/>
  <c r="M692" i="10" s="1"/>
  <c r="Y758" i="10" s="1"/>
  <c r="K684" i="10"/>
  <c r="M684" i="10" s="1"/>
  <c r="Y750" i="10" s="1"/>
  <c r="K676" i="10"/>
  <c r="K698" i="10"/>
  <c r="K682" i="10"/>
  <c r="K705" i="10"/>
  <c r="K710" i="10"/>
  <c r="M710" i="10" s="1"/>
  <c r="Y776" i="10" s="1"/>
  <c r="K700" i="10"/>
  <c r="M700" i="10" s="1"/>
  <c r="Y766" i="10" s="1"/>
  <c r="M707" i="10"/>
  <c r="Y773" i="10" s="1"/>
  <c r="M668" i="10"/>
  <c r="M706" i="10"/>
  <c r="Y772" i="10" s="1"/>
  <c r="M683" i="10"/>
  <c r="Y749" i="10" s="1"/>
  <c r="M671" i="10"/>
  <c r="Y737" i="10" s="1"/>
  <c r="M674" i="10"/>
  <c r="Y740" i="10" s="1"/>
  <c r="M673" i="10"/>
  <c r="Y739" i="10" s="1"/>
  <c r="M693" i="10"/>
  <c r="Y759" i="10" s="1"/>
  <c r="M712" i="10" l="1"/>
  <c r="Y778" i="10" s="1"/>
  <c r="M696" i="10"/>
  <c r="Y762" i="10" s="1"/>
  <c r="L715" i="10"/>
  <c r="M705" i="10"/>
  <c r="Y771" i="10" s="1"/>
  <c r="M698" i="10"/>
  <c r="Y764" i="10" s="1"/>
  <c r="M672" i="10"/>
  <c r="Y738" i="10" s="1"/>
  <c r="M689" i="10"/>
  <c r="Y755" i="10" s="1"/>
  <c r="M669" i="10"/>
  <c r="Y735" i="10" s="1"/>
  <c r="M701" i="10"/>
  <c r="Y767" i="10" s="1"/>
  <c r="M680" i="10"/>
  <c r="Y746" i="10" s="1"/>
  <c r="M691" i="10"/>
  <c r="Y757" i="10" s="1"/>
  <c r="M678" i="10"/>
  <c r="Y744" i="10" s="1"/>
  <c r="M711" i="10"/>
  <c r="Y777" i="10" s="1"/>
  <c r="M676" i="10"/>
  <c r="Y742" i="10" s="1"/>
  <c r="M682" i="10"/>
  <c r="Y748" i="10" s="1"/>
  <c r="M709" i="10"/>
  <c r="Y775" i="10" s="1"/>
  <c r="M695" i="10"/>
  <c r="Y761" i="10" s="1"/>
  <c r="M681" i="10"/>
  <c r="Y747" i="10" s="1"/>
  <c r="M677" i="10"/>
  <c r="Y743" i="10" s="1"/>
  <c r="M713" i="10"/>
  <c r="Y779" i="10" s="1"/>
  <c r="M704" i="10"/>
  <c r="Y770" i="10" s="1"/>
  <c r="M686" i="10"/>
  <c r="Y752" i="10" s="1"/>
  <c r="Y734" i="10"/>
  <c r="K715" i="10"/>
  <c r="M715" i="10" l="1"/>
  <c r="Y815" i="10"/>
  <c r="F493" i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F501" i="1" s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H48" i="1" s="1"/>
  <c r="H62" i="1" s="1"/>
  <c r="E739" i="1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N761" i="1" s="1"/>
  <c r="AA75" i="1"/>
  <c r="F122" i="9" s="1"/>
  <c r="Z75" i="1"/>
  <c r="X75" i="1"/>
  <c r="C122" i="9" s="1"/>
  <c r="W75" i="1"/>
  <c r="N754" i="1" s="1"/>
  <c r="V75" i="1"/>
  <c r="H90" i="9" s="1"/>
  <c r="T75" i="1"/>
  <c r="N751" i="1" s="1"/>
  <c r="R75" i="1"/>
  <c r="Q75" i="1"/>
  <c r="P75" i="1"/>
  <c r="O75" i="1"/>
  <c r="N746" i="1" s="1"/>
  <c r="N75" i="1"/>
  <c r="M75" i="1"/>
  <c r="F58" i="9" s="1"/>
  <c r="L75" i="1"/>
  <c r="I75" i="1"/>
  <c r="N740" i="1" s="1"/>
  <c r="H75" i="1"/>
  <c r="H26" i="9" s="1"/>
  <c r="G75" i="1"/>
  <c r="F75" i="1"/>
  <c r="F26" i="9" s="1"/>
  <c r="AV75" i="1"/>
  <c r="AP75" i="1"/>
  <c r="AJ75" i="1"/>
  <c r="AL75" i="1"/>
  <c r="AK75" i="1"/>
  <c r="AG75" i="1"/>
  <c r="E154" i="9" s="1"/>
  <c r="AE75" i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E197" i="1"/>
  <c r="E198" i="1"/>
  <c r="C270" i="1" s="1"/>
  <c r="E199" i="1"/>
  <c r="C271" i="1" s="1"/>
  <c r="S730" i="1" s="1"/>
  <c r="E200" i="1"/>
  <c r="C272" i="1" s="1"/>
  <c r="E201" i="1"/>
  <c r="E202" i="1"/>
  <c r="E203" i="1"/>
  <c r="F15" i="6" s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C417" i="1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4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R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J726" i="1"/>
  <c r="AI726" i="1"/>
  <c r="AH726" i="1"/>
  <c r="AE726" i="1"/>
  <c r="AD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1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29" i="8"/>
  <c r="C28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16" i="8"/>
  <c r="G122" i="9"/>
  <c r="H58" i="9"/>
  <c r="F90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AC726" i="1"/>
  <c r="E138" i="1"/>
  <c r="C414" i="1" s="1"/>
  <c r="C204" i="1"/>
  <c r="D16" i="6" s="1"/>
  <c r="E195" i="1"/>
  <c r="C267" i="1" s="1"/>
  <c r="O730" i="1" s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F28" i="4"/>
  <c r="CD71" i="1"/>
  <c r="C615" i="1"/>
  <c r="E372" i="9"/>
  <c r="C141" i="8"/>
  <c r="B10" i="4"/>
  <c r="I381" i="9"/>
  <c r="F499" i="1"/>
  <c r="F511" i="1"/>
  <c r="H505" i="1"/>
  <c r="F505" i="1"/>
  <c r="F497" i="1"/>
  <c r="H497" i="1"/>
  <c r="H499" i="1"/>
  <c r="H511" i="1"/>
  <c r="N737" i="1" l="1"/>
  <c r="C474" i="1"/>
  <c r="C273" i="1"/>
  <c r="I122" i="9"/>
  <c r="I366" i="9"/>
  <c r="C470" i="1"/>
  <c r="C269" i="1"/>
  <c r="C475" i="1"/>
  <c r="C274" i="1"/>
  <c r="C218" i="9"/>
  <c r="B468" i="1"/>
  <c r="B472" i="1"/>
  <c r="F8" i="6"/>
  <c r="C268" i="1"/>
  <c r="C10" i="4"/>
  <c r="C27" i="5"/>
  <c r="F12" i="6"/>
  <c r="G90" i="9"/>
  <c r="H122" i="9"/>
  <c r="N765" i="1"/>
  <c r="BI730" i="1"/>
  <c r="C464" i="1"/>
  <c r="N758" i="1"/>
  <c r="N739" i="1"/>
  <c r="CF77" i="1"/>
  <c r="CF76" i="1"/>
  <c r="BC52" i="1" s="1"/>
  <c r="BC67" i="1" s="1"/>
  <c r="J786" i="1" s="1"/>
  <c r="I816" i="1"/>
  <c r="L816" i="1"/>
  <c r="C469" i="1"/>
  <c r="N753" i="1"/>
  <c r="C816" i="1"/>
  <c r="C432" i="1"/>
  <c r="C440" i="1"/>
  <c r="N778" i="1"/>
  <c r="N755" i="1"/>
  <c r="BY48" i="1"/>
  <c r="BY62" i="1" s="1"/>
  <c r="E808" i="1" s="1"/>
  <c r="I612" i="1"/>
  <c r="CC48" i="1"/>
  <c r="CC62" i="1" s="1"/>
  <c r="E812" i="1" s="1"/>
  <c r="BS48" i="1"/>
  <c r="BS62" i="1" s="1"/>
  <c r="E802" i="1" s="1"/>
  <c r="G612" i="1"/>
  <c r="AT48" i="1"/>
  <c r="AT62" i="1" s="1"/>
  <c r="E777" i="1" s="1"/>
  <c r="R816" i="1"/>
  <c r="H815" i="1"/>
  <c r="AD48" i="1"/>
  <c r="AD62" i="1" s="1"/>
  <c r="E761" i="1" s="1"/>
  <c r="BJ48" i="1"/>
  <c r="BJ62" i="1" s="1"/>
  <c r="E793" i="1" s="1"/>
  <c r="S48" i="1"/>
  <c r="S62" i="1" s="1"/>
  <c r="E750" i="1" s="1"/>
  <c r="BM48" i="1"/>
  <c r="BM62" i="1" s="1"/>
  <c r="C427" i="1"/>
  <c r="N774" i="1"/>
  <c r="X48" i="1"/>
  <c r="X62" i="1" s="1"/>
  <c r="E755" i="1" s="1"/>
  <c r="B440" i="1"/>
  <c r="N48" i="1"/>
  <c r="N62" i="1" s="1"/>
  <c r="E745" i="1" s="1"/>
  <c r="AL48" i="1"/>
  <c r="AL62" i="1" s="1"/>
  <c r="E769" i="1" s="1"/>
  <c r="BB48" i="1"/>
  <c r="BB62" i="1" s="1"/>
  <c r="E785" i="1" s="1"/>
  <c r="BR48" i="1"/>
  <c r="BR62" i="1" s="1"/>
  <c r="E801" i="1" s="1"/>
  <c r="AY48" i="1"/>
  <c r="AY62" i="1" s="1"/>
  <c r="E782" i="1" s="1"/>
  <c r="AG48" i="1"/>
  <c r="AG62" i="1" s="1"/>
  <c r="E764" i="1" s="1"/>
  <c r="AK48" i="1"/>
  <c r="AK62" i="1" s="1"/>
  <c r="E768" i="1" s="1"/>
  <c r="CD722" i="1"/>
  <c r="BC48" i="1"/>
  <c r="BC62" i="1" s="1"/>
  <c r="F236" i="9" s="1"/>
  <c r="G48" i="1"/>
  <c r="G62" i="1" s="1"/>
  <c r="G12" i="9" s="1"/>
  <c r="D436" i="1"/>
  <c r="N775" i="1"/>
  <c r="B465" i="1"/>
  <c r="N763" i="1"/>
  <c r="N777" i="1"/>
  <c r="C430" i="1"/>
  <c r="D5" i="7"/>
  <c r="C815" i="1"/>
  <c r="F815" i="1"/>
  <c r="N771" i="1"/>
  <c r="N734" i="1"/>
  <c r="M816" i="1"/>
  <c r="G816" i="1"/>
  <c r="E373" i="9"/>
  <c r="C575" i="1"/>
  <c r="F13" i="6"/>
  <c r="C473" i="1"/>
  <c r="C472" i="1"/>
  <c r="F11" i="6"/>
  <c r="C186" i="9"/>
  <c r="N769" i="1"/>
  <c r="G186" i="9"/>
  <c r="N773" i="1"/>
  <c r="C90" i="9"/>
  <c r="N748" i="1"/>
  <c r="E122" i="9"/>
  <c r="N757" i="1"/>
  <c r="G154" i="9"/>
  <c r="N766" i="1"/>
  <c r="I365" i="9"/>
  <c r="C429" i="1"/>
  <c r="BK48" i="1"/>
  <c r="BK62" i="1" s="1"/>
  <c r="AS48" i="1"/>
  <c r="AS62" i="1" s="1"/>
  <c r="C204" i="9" s="1"/>
  <c r="D816" i="1"/>
  <c r="AB48" i="1"/>
  <c r="AB62" i="1" s="1"/>
  <c r="E759" i="1" s="1"/>
  <c r="T48" i="1"/>
  <c r="T62" i="1" s="1"/>
  <c r="E751" i="1" s="1"/>
  <c r="L48" i="1"/>
  <c r="L62" i="1" s="1"/>
  <c r="D48" i="1"/>
  <c r="D62" i="1" s="1"/>
  <c r="E735" i="1" s="1"/>
  <c r="BZ48" i="1"/>
  <c r="BZ62" i="1" s="1"/>
  <c r="E809" i="1" s="1"/>
  <c r="AC48" i="1"/>
  <c r="AC62" i="1" s="1"/>
  <c r="H108" i="9" s="1"/>
  <c r="M48" i="1"/>
  <c r="M62" i="1" s="1"/>
  <c r="E744" i="1" s="1"/>
  <c r="O48" i="1"/>
  <c r="O62" i="1" s="1"/>
  <c r="E746" i="1" s="1"/>
  <c r="BI48" i="1"/>
  <c r="BI62" i="1" s="1"/>
  <c r="E268" i="9" s="1"/>
  <c r="BA48" i="1"/>
  <c r="BA62" i="1" s="1"/>
  <c r="E784" i="1" s="1"/>
  <c r="U48" i="1"/>
  <c r="U62" i="1" s="1"/>
  <c r="G76" i="9" s="1"/>
  <c r="BU48" i="1"/>
  <c r="BU62" i="1" s="1"/>
  <c r="C332" i="9" s="1"/>
  <c r="BE48" i="1"/>
  <c r="BE62" i="1" s="1"/>
  <c r="H236" i="9" s="1"/>
  <c r="AO48" i="1"/>
  <c r="AO62" i="1" s="1"/>
  <c r="E772" i="1" s="1"/>
  <c r="Y48" i="1"/>
  <c r="Y62" i="1" s="1"/>
  <c r="D108" i="9" s="1"/>
  <c r="I48" i="1"/>
  <c r="I62" i="1" s="1"/>
  <c r="E740" i="1" s="1"/>
  <c r="BW48" i="1"/>
  <c r="BW62" i="1" s="1"/>
  <c r="E332" i="9" s="1"/>
  <c r="BG48" i="1"/>
  <c r="BG62" i="1" s="1"/>
  <c r="C268" i="9" s="1"/>
  <c r="AQ48" i="1"/>
  <c r="AQ62" i="1" s="1"/>
  <c r="E774" i="1" s="1"/>
  <c r="AA48" i="1"/>
  <c r="AA62" i="1" s="1"/>
  <c r="F108" i="9" s="1"/>
  <c r="K48" i="1"/>
  <c r="K62" i="1" s="1"/>
  <c r="E742" i="1" s="1"/>
  <c r="C48" i="1"/>
  <c r="C62" i="1" s="1"/>
  <c r="E734" i="1" s="1"/>
  <c r="CA48" i="1"/>
  <c r="CA62" i="1" s="1"/>
  <c r="I332" i="9" s="1"/>
  <c r="BX48" i="1"/>
  <c r="BX62" i="1" s="1"/>
  <c r="E807" i="1" s="1"/>
  <c r="BT48" i="1"/>
  <c r="BT62" i="1" s="1"/>
  <c r="E803" i="1" s="1"/>
  <c r="BP48" i="1"/>
  <c r="BP62" i="1" s="1"/>
  <c r="E799" i="1" s="1"/>
  <c r="BL48" i="1"/>
  <c r="BL62" i="1" s="1"/>
  <c r="E795" i="1" s="1"/>
  <c r="BH48" i="1"/>
  <c r="BH62" i="1" s="1"/>
  <c r="E791" i="1" s="1"/>
  <c r="BD48" i="1"/>
  <c r="BD62" i="1" s="1"/>
  <c r="G236" i="9" s="1"/>
  <c r="AZ48" i="1"/>
  <c r="AZ62" i="1" s="1"/>
  <c r="E783" i="1" s="1"/>
  <c r="AV48" i="1"/>
  <c r="AV62" i="1" s="1"/>
  <c r="E779" i="1" s="1"/>
  <c r="AR48" i="1"/>
  <c r="AR62" i="1" s="1"/>
  <c r="E775" i="1" s="1"/>
  <c r="AN48" i="1"/>
  <c r="AN62" i="1" s="1"/>
  <c r="E172" i="9" s="1"/>
  <c r="AJ48" i="1"/>
  <c r="AJ62" i="1" s="1"/>
  <c r="E767" i="1" s="1"/>
  <c r="AF48" i="1"/>
  <c r="AF62" i="1" s="1"/>
  <c r="D140" i="9" s="1"/>
  <c r="Z48" i="1"/>
  <c r="Z62" i="1" s="1"/>
  <c r="E757" i="1" s="1"/>
  <c r="R48" i="1"/>
  <c r="R62" i="1" s="1"/>
  <c r="E749" i="1" s="1"/>
  <c r="J48" i="1"/>
  <c r="J62" i="1" s="1"/>
  <c r="E741" i="1" s="1"/>
  <c r="BG52" i="1"/>
  <c r="BG67" i="1" s="1"/>
  <c r="J790" i="1" s="1"/>
  <c r="H300" i="9"/>
  <c r="F48" i="1"/>
  <c r="F62" i="1" s="1"/>
  <c r="E737" i="1" s="1"/>
  <c r="V48" i="1"/>
  <c r="V62" i="1" s="1"/>
  <c r="E753" i="1" s="1"/>
  <c r="AH48" i="1"/>
  <c r="AH62" i="1" s="1"/>
  <c r="E765" i="1" s="1"/>
  <c r="AP48" i="1"/>
  <c r="AP62" i="1" s="1"/>
  <c r="E773" i="1" s="1"/>
  <c r="AX48" i="1"/>
  <c r="AX62" i="1" s="1"/>
  <c r="E781" i="1" s="1"/>
  <c r="BF48" i="1"/>
  <c r="BF62" i="1" s="1"/>
  <c r="E789" i="1" s="1"/>
  <c r="BN48" i="1"/>
  <c r="BN62" i="1" s="1"/>
  <c r="C300" i="9" s="1"/>
  <c r="BV48" i="1"/>
  <c r="BV62" i="1" s="1"/>
  <c r="E805" i="1" s="1"/>
  <c r="CB48" i="1"/>
  <c r="CB62" i="1" s="1"/>
  <c r="C364" i="9" s="1"/>
  <c r="AI48" i="1"/>
  <c r="AI62" i="1" s="1"/>
  <c r="E766" i="1" s="1"/>
  <c r="BO48" i="1"/>
  <c r="BO62" i="1" s="1"/>
  <c r="D300" i="9" s="1"/>
  <c r="Q48" i="1"/>
  <c r="Q62" i="1" s="1"/>
  <c r="E748" i="1" s="1"/>
  <c r="AW48" i="1"/>
  <c r="AW62" i="1" s="1"/>
  <c r="E780" i="1" s="1"/>
  <c r="E48" i="1"/>
  <c r="E62" i="1" s="1"/>
  <c r="E736" i="1" s="1"/>
  <c r="BQ48" i="1"/>
  <c r="BQ62" i="1" s="1"/>
  <c r="F300" i="9" s="1"/>
  <c r="AM48" i="1"/>
  <c r="AM62" i="1" s="1"/>
  <c r="E770" i="1" s="1"/>
  <c r="AE48" i="1"/>
  <c r="AE62" i="1" s="1"/>
  <c r="E762" i="1" s="1"/>
  <c r="AU48" i="1"/>
  <c r="AU62" i="1" s="1"/>
  <c r="E778" i="1" s="1"/>
  <c r="I26" i="9"/>
  <c r="D368" i="1"/>
  <c r="C120" i="8" s="1"/>
  <c r="P48" i="1"/>
  <c r="P62" i="1" s="1"/>
  <c r="I363" i="9"/>
  <c r="D32" i="6"/>
  <c r="B19" i="4"/>
  <c r="F19" i="4"/>
  <c r="E28" i="4"/>
  <c r="C421" i="1"/>
  <c r="C434" i="1"/>
  <c r="C448" i="1"/>
  <c r="W48" i="1"/>
  <c r="W62" i="1" s="1"/>
  <c r="E754" i="1" s="1"/>
  <c r="B445" i="1"/>
  <c r="D13" i="7"/>
  <c r="C84" i="8"/>
  <c r="D330" i="1"/>
  <c r="C86" i="8" s="1"/>
  <c r="E26" i="9"/>
  <c r="N736" i="1"/>
  <c r="C154" i="9"/>
  <c r="N762" i="1"/>
  <c r="I154" i="9"/>
  <c r="N768" i="1"/>
  <c r="E58" i="9"/>
  <c r="N743" i="1"/>
  <c r="G58" i="9"/>
  <c r="N745" i="1"/>
  <c r="I58" i="9"/>
  <c r="N747" i="1"/>
  <c r="N770" i="1"/>
  <c r="D186" i="9"/>
  <c r="I815" i="1"/>
  <c r="G28" i="4"/>
  <c r="W52" i="1"/>
  <c r="W67" i="1" s="1"/>
  <c r="J754" i="1" s="1"/>
  <c r="R815" i="1"/>
  <c r="P816" i="1"/>
  <c r="D612" i="1"/>
  <c r="Q815" i="1"/>
  <c r="I362" i="9"/>
  <c r="S815" i="1"/>
  <c r="D815" i="1"/>
  <c r="P815" i="1"/>
  <c r="I90" i="9"/>
  <c r="I372" i="9"/>
  <c r="K816" i="1"/>
  <c r="G815" i="1"/>
  <c r="F816" i="1"/>
  <c r="C12" i="9"/>
  <c r="G108" i="9"/>
  <c r="H12" i="9"/>
  <c r="D76" i="9"/>
  <c r="I300" i="9"/>
  <c r="C76" i="9"/>
  <c r="E140" i="9"/>
  <c r="C44" i="9"/>
  <c r="H140" i="9"/>
  <c r="C236" i="9"/>
  <c r="E300" i="9"/>
  <c r="D236" i="9"/>
  <c r="H332" i="9"/>
  <c r="E108" i="9"/>
  <c r="I172" i="9"/>
  <c r="D268" i="9"/>
  <c r="F332" i="9"/>
  <c r="I268" i="9"/>
  <c r="E796" i="1"/>
  <c r="D172" i="9"/>
  <c r="F76" i="9"/>
  <c r="I12" i="9"/>
  <c r="I140" i="9"/>
  <c r="F172" i="9"/>
  <c r="C140" i="9"/>
  <c r="D12" i="9"/>
  <c r="I108" i="9"/>
  <c r="D204" i="9"/>
  <c r="F268" i="9"/>
  <c r="G332" i="9"/>
  <c r="H76" i="9"/>
  <c r="G172" i="9"/>
  <c r="I236" i="9"/>
  <c r="D332" i="9"/>
  <c r="H204" i="9"/>
  <c r="G44" i="9"/>
  <c r="C172" i="9"/>
  <c r="E236" i="9"/>
  <c r="G300" i="9"/>
  <c r="H44" i="9"/>
  <c r="B446" i="1"/>
  <c r="D242" i="1"/>
  <c r="G140" i="9"/>
  <c r="E12" i="9"/>
  <c r="C418" i="1"/>
  <c r="D438" i="1"/>
  <c r="F14" i="6"/>
  <c r="O815" i="1"/>
  <c r="T815" i="1"/>
  <c r="C471" i="1"/>
  <c r="F10" i="6"/>
  <c r="D26" i="9"/>
  <c r="N735" i="1"/>
  <c r="CE75" i="1"/>
  <c r="G204" i="9"/>
  <c r="E204" i="9"/>
  <c r="F7" i="6"/>
  <c r="E204" i="1"/>
  <c r="C468" i="1"/>
  <c r="I383" i="9"/>
  <c r="S816" i="1"/>
  <c r="D22" i="7"/>
  <c r="C40" i="5"/>
  <c r="I76" i="9"/>
  <c r="C420" i="1"/>
  <c r="B28" i="4"/>
  <c r="N772" i="1"/>
  <c r="F186" i="9"/>
  <c r="I204" i="9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C26" i="8" l="1"/>
  <c r="P730" i="1"/>
  <c r="B469" i="1"/>
  <c r="F140" i="9"/>
  <c r="H172" i="9"/>
  <c r="C108" i="9"/>
  <c r="F44" i="9"/>
  <c r="AJ52" i="1"/>
  <c r="AJ67" i="1" s="1"/>
  <c r="H145" i="9" s="1"/>
  <c r="D364" i="9"/>
  <c r="E76" i="9"/>
  <c r="F204" i="9"/>
  <c r="C27" i="8"/>
  <c r="Q730" i="1"/>
  <c r="B470" i="1"/>
  <c r="B474" i="1"/>
  <c r="C31" i="8"/>
  <c r="U730" i="1"/>
  <c r="H268" i="9"/>
  <c r="C32" i="8"/>
  <c r="V730" i="1"/>
  <c r="B475" i="1"/>
  <c r="F241" i="9"/>
  <c r="I81" i="9"/>
  <c r="Z52" i="1"/>
  <c r="Z67" i="1" s="1"/>
  <c r="C273" i="9"/>
  <c r="X730" i="1"/>
  <c r="B478" i="1"/>
  <c r="C34" i="8"/>
  <c r="D275" i="1"/>
  <c r="T730" i="1"/>
  <c r="B473" i="1"/>
  <c r="C30" i="8"/>
  <c r="AW52" i="1"/>
  <c r="AW67" i="1" s="1"/>
  <c r="AW71" i="1" s="1"/>
  <c r="G213" i="9" s="1"/>
  <c r="BW52" i="1"/>
  <c r="BW67" i="1" s="1"/>
  <c r="J806" i="1" s="1"/>
  <c r="AT52" i="1"/>
  <c r="AT67" i="1" s="1"/>
  <c r="BE52" i="1"/>
  <c r="BE67" i="1" s="1"/>
  <c r="BE71" i="1" s="1"/>
  <c r="C614" i="1" s="1"/>
  <c r="AM52" i="1"/>
  <c r="AM67" i="1" s="1"/>
  <c r="AM71" i="1" s="1"/>
  <c r="C532" i="1" s="1"/>
  <c r="G532" i="1" s="1"/>
  <c r="E792" i="1"/>
  <c r="AO52" i="1"/>
  <c r="AO67" i="1" s="1"/>
  <c r="F177" i="9" s="1"/>
  <c r="Q52" i="1"/>
  <c r="Q67" i="1" s="1"/>
  <c r="J748" i="1" s="1"/>
  <c r="Y52" i="1"/>
  <c r="Y67" i="1" s="1"/>
  <c r="D113" i="9" s="1"/>
  <c r="AK52" i="1"/>
  <c r="AK67" i="1" s="1"/>
  <c r="J768" i="1" s="1"/>
  <c r="BY52" i="1"/>
  <c r="BY67" i="1" s="1"/>
  <c r="J808" i="1" s="1"/>
  <c r="CA52" i="1"/>
  <c r="CA67" i="1" s="1"/>
  <c r="J810" i="1" s="1"/>
  <c r="P52" i="1"/>
  <c r="P67" i="1" s="1"/>
  <c r="P71" i="1" s="1"/>
  <c r="C509" i="1" s="1"/>
  <c r="G509" i="1" s="1"/>
  <c r="BH52" i="1"/>
  <c r="BH67" i="1" s="1"/>
  <c r="J791" i="1" s="1"/>
  <c r="AG52" i="1"/>
  <c r="AG67" i="1" s="1"/>
  <c r="E145" i="9" s="1"/>
  <c r="R52" i="1"/>
  <c r="R67" i="1" s="1"/>
  <c r="J749" i="1" s="1"/>
  <c r="G52" i="1"/>
  <c r="G67" i="1" s="1"/>
  <c r="G71" i="1" s="1"/>
  <c r="C500" i="1" s="1"/>
  <c r="G500" i="1" s="1"/>
  <c r="D52" i="1"/>
  <c r="D67" i="1" s="1"/>
  <c r="J735" i="1" s="1"/>
  <c r="BN52" i="1"/>
  <c r="BN67" i="1" s="1"/>
  <c r="BN71" i="1" s="1"/>
  <c r="C559" i="1" s="1"/>
  <c r="BM52" i="1"/>
  <c r="BM67" i="1" s="1"/>
  <c r="BM71" i="1" s="1"/>
  <c r="C638" i="1" s="1"/>
  <c r="BQ52" i="1"/>
  <c r="BQ67" i="1" s="1"/>
  <c r="BQ71" i="1" s="1"/>
  <c r="F309" i="9" s="1"/>
  <c r="E788" i="1"/>
  <c r="BZ52" i="1"/>
  <c r="BZ67" i="1" s="1"/>
  <c r="H337" i="9" s="1"/>
  <c r="K52" i="1"/>
  <c r="K67" i="1" s="1"/>
  <c r="J742" i="1" s="1"/>
  <c r="X52" i="1"/>
  <c r="X67" i="1" s="1"/>
  <c r="C113" i="9" s="1"/>
  <c r="U52" i="1"/>
  <c r="U67" i="1" s="1"/>
  <c r="J752" i="1" s="1"/>
  <c r="I52" i="1"/>
  <c r="I67" i="1" s="1"/>
  <c r="J740" i="1" s="1"/>
  <c r="AH52" i="1"/>
  <c r="AH67" i="1" s="1"/>
  <c r="F145" i="9" s="1"/>
  <c r="C52" i="1"/>
  <c r="C67" i="1" s="1"/>
  <c r="C71" i="1" s="1"/>
  <c r="C21" i="9" s="1"/>
  <c r="AV52" i="1"/>
  <c r="AV67" i="1" s="1"/>
  <c r="J779" i="1" s="1"/>
  <c r="AP52" i="1"/>
  <c r="AP67" i="1" s="1"/>
  <c r="BK52" i="1"/>
  <c r="BK67" i="1" s="1"/>
  <c r="BK71" i="1" s="1"/>
  <c r="G277" i="9" s="1"/>
  <c r="AD52" i="1"/>
  <c r="AD67" i="1" s="1"/>
  <c r="AQ52" i="1"/>
  <c r="AQ67" i="1" s="1"/>
  <c r="AE52" i="1"/>
  <c r="AE67" i="1" s="1"/>
  <c r="C145" i="9" s="1"/>
  <c r="E738" i="1"/>
  <c r="BR52" i="1"/>
  <c r="BR67" i="1" s="1"/>
  <c r="BR71" i="1" s="1"/>
  <c r="G309" i="9" s="1"/>
  <c r="AX52" i="1"/>
  <c r="AX67" i="1" s="1"/>
  <c r="J781" i="1" s="1"/>
  <c r="AA52" i="1"/>
  <c r="AA67" i="1" s="1"/>
  <c r="J758" i="1" s="1"/>
  <c r="BV52" i="1"/>
  <c r="BV67" i="1" s="1"/>
  <c r="BV71" i="1" s="1"/>
  <c r="C642" i="1" s="1"/>
  <c r="M52" i="1"/>
  <c r="M67" i="1" s="1"/>
  <c r="J744" i="1" s="1"/>
  <c r="T52" i="1"/>
  <c r="T67" i="1" s="1"/>
  <c r="T71" i="1" s="1"/>
  <c r="C685" i="1" s="1"/>
  <c r="CB52" i="1"/>
  <c r="CB67" i="1" s="1"/>
  <c r="J811" i="1" s="1"/>
  <c r="AY52" i="1"/>
  <c r="AY67" i="1" s="1"/>
  <c r="J782" i="1" s="1"/>
  <c r="F52" i="1"/>
  <c r="F67" i="1" s="1"/>
  <c r="J737" i="1" s="1"/>
  <c r="BF52" i="1"/>
  <c r="BF67" i="1" s="1"/>
  <c r="BF71" i="1" s="1"/>
  <c r="I245" i="9" s="1"/>
  <c r="BD52" i="1"/>
  <c r="BD67" i="1" s="1"/>
  <c r="BD71" i="1" s="1"/>
  <c r="G245" i="9" s="1"/>
  <c r="BS52" i="1"/>
  <c r="BS67" i="1" s="1"/>
  <c r="BS71" i="1" s="1"/>
  <c r="C639" i="1" s="1"/>
  <c r="AB52" i="1"/>
  <c r="AB67" i="1" s="1"/>
  <c r="J759" i="1" s="1"/>
  <c r="BL52" i="1"/>
  <c r="BL67" i="1" s="1"/>
  <c r="J795" i="1" s="1"/>
  <c r="AL52" i="1"/>
  <c r="AL67" i="1" s="1"/>
  <c r="J769" i="1" s="1"/>
  <c r="AI52" i="1"/>
  <c r="AI67" i="1" s="1"/>
  <c r="AI71" i="1" s="1"/>
  <c r="G149" i="9" s="1"/>
  <c r="AU52" i="1"/>
  <c r="AU67" i="1" s="1"/>
  <c r="J778" i="1" s="1"/>
  <c r="BT52" i="1"/>
  <c r="BT67" i="1" s="1"/>
  <c r="J803" i="1" s="1"/>
  <c r="BX52" i="1"/>
  <c r="BX67" i="1" s="1"/>
  <c r="J807" i="1" s="1"/>
  <c r="AC52" i="1"/>
  <c r="AC67" i="1" s="1"/>
  <c r="AC71" i="1" s="1"/>
  <c r="H117" i="9" s="1"/>
  <c r="BI52" i="1"/>
  <c r="BI67" i="1" s="1"/>
  <c r="J792" i="1" s="1"/>
  <c r="L52" i="1"/>
  <c r="L67" i="1" s="1"/>
  <c r="L71" i="1" s="1"/>
  <c r="E53" i="9" s="1"/>
  <c r="AR52" i="1"/>
  <c r="AR67" i="1" s="1"/>
  <c r="J775" i="1" s="1"/>
  <c r="BA52" i="1"/>
  <c r="BA67" i="1" s="1"/>
  <c r="J784" i="1" s="1"/>
  <c r="AF52" i="1"/>
  <c r="AF67" i="1" s="1"/>
  <c r="AF71" i="1" s="1"/>
  <c r="C525" i="1" s="1"/>
  <c r="G525" i="1" s="1"/>
  <c r="BU52" i="1"/>
  <c r="BU67" i="1" s="1"/>
  <c r="BU71" i="1" s="1"/>
  <c r="S52" i="1"/>
  <c r="S67" i="1" s="1"/>
  <c r="J750" i="1" s="1"/>
  <c r="V52" i="1"/>
  <c r="V67" i="1" s="1"/>
  <c r="N52" i="1"/>
  <c r="N67" i="1" s="1"/>
  <c r="J745" i="1" s="1"/>
  <c r="BP52" i="1"/>
  <c r="BP67" i="1" s="1"/>
  <c r="BO52" i="1"/>
  <c r="BO67" i="1" s="1"/>
  <c r="D305" i="9" s="1"/>
  <c r="AS52" i="1"/>
  <c r="AS67" i="1" s="1"/>
  <c r="C209" i="9" s="1"/>
  <c r="H52" i="1"/>
  <c r="H67" i="1" s="1"/>
  <c r="H71" i="1" s="1"/>
  <c r="C501" i="1" s="1"/>
  <c r="CC52" i="1"/>
  <c r="CC67" i="1" s="1"/>
  <c r="AZ52" i="1"/>
  <c r="AZ67" i="1" s="1"/>
  <c r="AN52" i="1"/>
  <c r="AN67" i="1" s="1"/>
  <c r="J771" i="1" s="1"/>
  <c r="O52" i="1"/>
  <c r="O67" i="1" s="1"/>
  <c r="J746" i="1" s="1"/>
  <c r="E52" i="1"/>
  <c r="E67" i="1" s="1"/>
  <c r="J736" i="1" s="1"/>
  <c r="BJ52" i="1"/>
  <c r="BJ67" i="1" s="1"/>
  <c r="F273" i="9" s="1"/>
  <c r="J52" i="1"/>
  <c r="J67" i="1" s="1"/>
  <c r="BB52" i="1"/>
  <c r="BB67" i="1" s="1"/>
  <c r="J765" i="1"/>
  <c r="E786" i="1"/>
  <c r="E758" i="1"/>
  <c r="E790" i="1"/>
  <c r="BC71" i="1"/>
  <c r="C633" i="1" s="1"/>
  <c r="W71" i="1"/>
  <c r="C516" i="1" s="1"/>
  <c r="G516" i="1" s="1"/>
  <c r="D373" i="1"/>
  <c r="D391" i="1" s="1"/>
  <c r="D339" i="1"/>
  <c r="C482" i="1" s="1"/>
  <c r="E760" i="1"/>
  <c r="E804" i="1"/>
  <c r="BG71" i="1"/>
  <c r="C618" i="1" s="1"/>
  <c r="E810" i="1"/>
  <c r="CE48" i="1"/>
  <c r="E756" i="1"/>
  <c r="E811" i="1"/>
  <c r="E797" i="1"/>
  <c r="E763" i="1"/>
  <c r="E752" i="1"/>
  <c r="E771" i="1"/>
  <c r="E747" i="1"/>
  <c r="I44" i="9"/>
  <c r="E44" i="9"/>
  <c r="E743" i="1"/>
  <c r="E806" i="1"/>
  <c r="F12" i="9"/>
  <c r="CE62" i="1"/>
  <c r="E816" i="1" s="1"/>
  <c r="D44" i="9"/>
  <c r="E800" i="1"/>
  <c r="E787" i="1"/>
  <c r="E798" i="1"/>
  <c r="E776" i="1"/>
  <c r="G268" i="9"/>
  <c r="E794" i="1"/>
  <c r="H305" i="9"/>
  <c r="I17" i="9"/>
  <c r="I337" i="9"/>
  <c r="AJ71" i="1"/>
  <c r="C529" i="1" s="1"/>
  <c r="G529" i="1" s="1"/>
  <c r="J767" i="1"/>
  <c r="C341" i="9"/>
  <c r="F337" i="9"/>
  <c r="I305" i="9"/>
  <c r="C337" i="9"/>
  <c r="N815" i="1"/>
  <c r="H149" i="9"/>
  <c r="D27" i="7"/>
  <c r="B448" i="1"/>
  <c r="F544" i="1"/>
  <c r="H544" i="1"/>
  <c r="H536" i="1"/>
  <c r="F536" i="1"/>
  <c r="F528" i="1"/>
  <c r="F520" i="1"/>
  <c r="H209" i="9"/>
  <c r="I241" i="9"/>
  <c r="I378" i="9"/>
  <c r="K612" i="1"/>
  <c r="C465" i="1"/>
  <c r="N816" i="1"/>
  <c r="C126" i="8"/>
  <c r="F32" i="6"/>
  <c r="C478" i="1"/>
  <c r="F498" i="1"/>
  <c r="I145" i="9"/>
  <c r="J780" i="1"/>
  <c r="C476" i="1"/>
  <c r="F16" i="6"/>
  <c r="C626" i="1"/>
  <c r="D341" i="9"/>
  <c r="F516" i="1"/>
  <c r="H516" i="1"/>
  <c r="F540" i="1"/>
  <c r="H540" i="1"/>
  <c r="F532" i="1"/>
  <c r="H532" i="1"/>
  <c r="F524" i="1"/>
  <c r="F550" i="1"/>
  <c r="C17" i="9" l="1"/>
  <c r="G305" i="9"/>
  <c r="C102" i="8"/>
  <c r="F17" i="9"/>
  <c r="G21" i="9"/>
  <c r="G17" i="9"/>
  <c r="G113" i="9"/>
  <c r="H21" i="9"/>
  <c r="D17" i="9"/>
  <c r="F81" i="9"/>
  <c r="C277" i="9"/>
  <c r="G81" i="9"/>
  <c r="H273" i="9"/>
  <c r="D81" i="9"/>
  <c r="E17" i="9"/>
  <c r="F49" i="9"/>
  <c r="J800" i="1"/>
  <c r="C563" i="1"/>
  <c r="D177" i="9"/>
  <c r="C305" i="9"/>
  <c r="C309" i="9"/>
  <c r="D181" i="9"/>
  <c r="D149" i="9"/>
  <c r="I49" i="9"/>
  <c r="J739" i="1"/>
  <c r="E81" i="9"/>
  <c r="E273" i="9"/>
  <c r="G49" i="9"/>
  <c r="J757" i="1"/>
  <c r="E113" i="9"/>
  <c r="H241" i="9"/>
  <c r="I209" i="9"/>
  <c r="D337" i="9"/>
  <c r="I273" i="9"/>
  <c r="H245" i="9"/>
  <c r="I277" i="9"/>
  <c r="F85" i="9"/>
  <c r="E49" i="9"/>
  <c r="H309" i="9"/>
  <c r="H113" i="9"/>
  <c r="G145" i="9"/>
  <c r="C81" i="9"/>
  <c r="E337" i="9"/>
  <c r="D273" i="9"/>
  <c r="D49" i="9"/>
  <c r="G273" i="9"/>
  <c r="F209" i="9"/>
  <c r="F245" i="9"/>
  <c r="D241" i="9"/>
  <c r="E177" i="9"/>
  <c r="Z71" i="1"/>
  <c r="D277" i="1"/>
  <c r="B476" i="1"/>
  <c r="C33" i="8"/>
  <c r="J785" i="1"/>
  <c r="E241" i="9"/>
  <c r="J783" i="1"/>
  <c r="C241" i="9"/>
  <c r="J761" i="1"/>
  <c r="I113" i="9"/>
  <c r="J773" i="1"/>
  <c r="G177" i="9"/>
  <c r="J777" i="1"/>
  <c r="D209" i="9"/>
  <c r="G241" i="9"/>
  <c r="C369" i="9"/>
  <c r="F113" i="9"/>
  <c r="F305" i="9"/>
  <c r="I85" i="9"/>
  <c r="G337" i="9"/>
  <c r="G209" i="9"/>
  <c r="I53" i="9"/>
  <c r="I177" i="9"/>
  <c r="E209" i="9"/>
  <c r="C177" i="9"/>
  <c r="H17" i="9"/>
  <c r="D145" i="9"/>
  <c r="H49" i="9"/>
  <c r="J71" i="1"/>
  <c r="C53" i="9" s="1"/>
  <c r="C49" i="9"/>
  <c r="J812" i="1"/>
  <c r="D369" i="9"/>
  <c r="J753" i="1"/>
  <c r="H81" i="9"/>
  <c r="J774" i="1"/>
  <c r="H177" i="9"/>
  <c r="C668" i="1"/>
  <c r="J747" i="1"/>
  <c r="J788" i="1"/>
  <c r="J760" i="1"/>
  <c r="BI71" i="1"/>
  <c r="E277" i="9" s="1"/>
  <c r="BZ71" i="1"/>
  <c r="C646" i="1" s="1"/>
  <c r="Q71" i="1"/>
  <c r="C510" i="1" s="1"/>
  <c r="G510" i="1" s="1"/>
  <c r="C556" i="1"/>
  <c r="AQ71" i="1"/>
  <c r="AG71" i="1"/>
  <c r="E149" i="9" s="1"/>
  <c r="C672" i="1"/>
  <c r="J770" i="1"/>
  <c r="J755" i="1"/>
  <c r="AO71" i="1"/>
  <c r="C706" i="1" s="1"/>
  <c r="AP71" i="1"/>
  <c r="J762" i="1"/>
  <c r="AD71" i="1"/>
  <c r="BY71" i="1"/>
  <c r="C542" i="1"/>
  <c r="C631" i="1"/>
  <c r="J797" i="1"/>
  <c r="J789" i="1"/>
  <c r="J805" i="1"/>
  <c r="J738" i="1"/>
  <c r="C496" i="1"/>
  <c r="G496" i="1" s="1"/>
  <c r="X71" i="1"/>
  <c r="C517" i="1" s="1"/>
  <c r="J734" i="1"/>
  <c r="J772" i="1"/>
  <c r="J809" i="1"/>
  <c r="Y71" i="1"/>
  <c r="C690" i="1" s="1"/>
  <c r="AE71" i="1"/>
  <c r="AT71" i="1"/>
  <c r="D213" i="9" s="1"/>
  <c r="AS71" i="1"/>
  <c r="C538" i="1" s="1"/>
  <c r="G538" i="1" s="1"/>
  <c r="AX71" i="1"/>
  <c r="J764" i="1"/>
  <c r="AY71" i="1"/>
  <c r="J756" i="1"/>
  <c r="I71" i="1"/>
  <c r="AU71" i="1"/>
  <c r="C712" i="1" s="1"/>
  <c r="BW71" i="1"/>
  <c r="C643" i="1" s="1"/>
  <c r="CB71" i="1"/>
  <c r="S71" i="1"/>
  <c r="C684" i="1" s="1"/>
  <c r="C697" i="1"/>
  <c r="K71" i="1"/>
  <c r="D53" i="9" s="1"/>
  <c r="CA71" i="1"/>
  <c r="AV71" i="1"/>
  <c r="AK71" i="1"/>
  <c r="J787" i="1"/>
  <c r="C558" i="1"/>
  <c r="C713" i="1"/>
  <c r="AL71" i="1"/>
  <c r="C181" i="9" s="1"/>
  <c r="AH71" i="1"/>
  <c r="C699" i="1" s="1"/>
  <c r="R71" i="1"/>
  <c r="D85" i="9" s="1"/>
  <c r="U71" i="1"/>
  <c r="AZ71" i="1"/>
  <c r="AB71" i="1"/>
  <c r="BH71" i="1"/>
  <c r="D277" i="9" s="1"/>
  <c r="BX71" i="1"/>
  <c r="D71" i="1"/>
  <c r="J796" i="1"/>
  <c r="J763" i="1"/>
  <c r="C635" i="1"/>
  <c r="J794" i="1"/>
  <c r="C704" i="1"/>
  <c r="CE67" i="1"/>
  <c r="I369" i="9" s="1"/>
  <c r="F71" i="1"/>
  <c r="F21" i="9" s="1"/>
  <c r="M71" i="1"/>
  <c r="F53" i="9" s="1"/>
  <c r="N71" i="1"/>
  <c r="AR71" i="1"/>
  <c r="AA71" i="1"/>
  <c r="C677" i="1"/>
  <c r="C505" i="1"/>
  <c r="G505" i="1" s="1"/>
  <c r="BL71" i="1"/>
  <c r="H277" i="9" s="1"/>
  <c r="J766" i="1"/>
  <c r="CC71" i="1"/>
  <c r="BA71" i="1"/>
  <c r="J743" i="1"/>
  <c r="O71" i="1"/>
  <c r="BB71" i="1"/>
  <c r="J801" i="1"/>
  <c r="C673" i="1"/>
  <c r="C641" i="1"/>
  <c r="C566" i="1"/>
  <c r="C522" i="1"/>
  <c r="G522" i="1" s="1"/>
  <c r="C694" i="1"/>
  <c r="C528" i="1"/>
  <c r="G528" i="1" s="1"/>
  <c r="C700" i="1"/>
  <c r="C629" i="1"/>
  <c r="C551" i="1"/>
  <c r="E305" i="9"/>
  <c r="J799" i="1"/>
  <c r="J751" i="1"/>
  <c r="BT71" i="1"/>
  <c r="C640" i="1" s="1"/>
  <c r="J802" i="1"/>
  <c r="C564" i="1"/>
  <c r="CE52" i="1"/>
  <c r="J804" i="1"/>
  <c r="V71" i="1"/>
  <c r="C687" i="1" s="1"/>
  <c r="E71" i="1"/>
  <c r="C498" i="1" s="1"/>
  <c r="G498" i="1" s="1"/>
  <c r="J776" i="1"/>
  <c r="BP71" i="1"/>
  <c r="AN71" i="1"/>
  <c r="E181" i="9" s="1"/>
  <c r="J741" i="1"/>
  <c r="J793" i="1"/>
  <c r="BJ71" i="1"/>
  <c r="F277" i="9" s="1"/>
  <c r="J798" i="1"/>
  <c r="BO71" i="1"/>
  <c r="D309" i="9" s="1"/>
  <c r="C552" i="1"/>
  <c r="C567" i="1"/>
  <c r="C623" i="1"/>
  <c r="C550" i="1"/>
  <c r="G550" i="1" s="1"/>
  <c r="C513" i="1"/>
  <c r="G513" i="1" s="1"/>
  <c r="C548" i="1"/>
  <c r="C539" i="1"/>
  <c r="G539" i="1" s="1"/>
  <c r="C688" i="1"/>
  <c r="C619" i="1"/>
  <c r="C681" i="1"/>
  <c r="C644" i="1"/>
  <c r="C624" i="1"/>
  <c r="E815" i="1"/>
  <c r="C549" i="1"/>
  <c r="C562" i="1"/>
  <c r="E341" i="9"/>
  <c r="H85" i="9"/>
  <c r="C701" i="1"/>
  <c r="I364" i="9"/>
  <c r="C428" i="1"/>
  <c r="F149" i="9"/>
  <c r="F181" i="9"/>
  <c r="C117" i="9"/>
  <c r="G501" i="1"/>
  <c r="H501" i="1"/>
  <c r="D615" i="1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09" i="1" s="1"/>
  <c r="C534" i="1" l="1"/>
  <c r="G534" i="1" s="1"/>
  <c r="C504" i="1"/>
  <c r="G504" i="1" s="1"/>
  <c r="D117" i="9"/>
  <c r="C698" i="1"/>
  <c r="C519" i="1"/>
  <c r="G519" i="1" s="1"/>
  <c r="E117" i="9"/>
  <c r="C213" i="9"/>
  <c r="C503" i="1"/>
  <c r="G503" i="1" s="1"/>
  <c r="C691" i="1"/>
  <c r="C35" i="8"/>
  <c r="D292" i="1"/>
  <c r="C561" i="1"/>
  <c r="E309" i="9"/>
  <c r="C632" i="1"/>
  <c r="E245" i="9"/>
  <c r="C574" i="1"/>
  <c r="D373" i="9"/>
  <c r="C709" i="1"/>
  <c r="I181" i="9"/>
  <c r="C497" i="1"/>
  <c r="G497" i="1" s="1"/>
  <c r="D21" i="9"/>
  <c r="C545" i="1"/>
  <c r="G545" i="1" s="1"/>
  <c r="C245" i="9"/>
  <c r="C530" i="1"/>
  <c r="G530" i="1" s="1"/>
  <c r="I149" i="9"/>
  <c r="C647" i="1"/>
  <c r="I341" i="9"/>
  <c r="C622" i="1"/>
  <c r="C373" i="9"/>
  <c r="C524" i="1"/>
  <c r="G524" i="1" s="1"/>
  <c r="C149" i="9"/>
  <c r="C523" i="1"/>
  <c r="G523" i="1" s="1"/>
  <c r="I117" i="9"/>
  <c r="C707" i="1"/>
  <c r="G181" i="9"/>
  <c r="C536" i="1"/>
  <c r="G536" i="1" s="1"/>
  <c r="H181" i="9"/>
  <c r="E213" i="9"/>
  <c r="I309" i="9"/>
  <c r="C85" i="9"/>
  <c r="C675" i="1"/>
  <c r="C680" i="1"/>
  <c r="H53" i="9"/>
  <c r="C520" i="1"/>
  <c r="G520" i="1" s="1"/>
  <c r="F117" i="9"/>
  <c r="C507" i="1"/>
  <c r="G507" i="1" s="1"/>
  <c r="G53" i="9"/>
  <c r="C569" i="1"/>
  <c r="F341" i="9"/>
  <c r="C693" i="1"/>
  <c r="G117" i="9"/>
  <c r="C686" i="1"/>
  <c r="G85" i="9"/>
  <c r="C541" i="1"/>
  <c r="F213" i="9"/>
  <c r="C512" i="1"/>
  <c r="G512" i="1" s="1"/>
  <c r="E85" i="9"/>
  <c r="C674" i="1"/>
  <c r="I21" i="9"/>
  <c r="C544" i="1"/>
  <c r="G544" i="1" s="1"/>
  <c r="I213" i="9"/>
  <c r="C616" i="1"/>
  <c r="H213" i="9"/>
  <c r="C645" i="1"/>
  <c r="G341" i="9"/>
  <c r="C571" i="1"/>
  <c r="H341" i="9"/>
  <c r="C689" i="1"/>
  <c r="C711" i="1"/>
  <c r="C568" i="1"/>
  <c r="C570" i="1"/>
  <c r="C634" i="1"/>
  <c r="C557" i="1"/>
  <c r="C637" i="1"/>
  <c r="C708" i="1"/>
  <c r="C554" i="1"/>
  <c r="H550" i="1"/>
  <c r="C710" i="1"/>
  <c r="H513" i="1"/>
  <c r="H510" i="1"/>
  <c r="C540" i="1"/>
  <c r="G540" i="1" s="1"/>
  <c r="C682" i="1"/>
  <c r="C695" i="1"/>
  <c r="H512" i="1"/>
  <c r="C676" i="1"/>
  <c r="C518" i="1"/>
  <c r="G518" i="1" s="1"/>
  <c r="C521" i="1"/>
  <c r="G521" i="1" s="1"/>
  <c r="C543" i="1"/>
  <c r="CE71" i="1"/>
  <c r="C625" i="1"/>
  <c r="C526" i="1"/>
  <c r="G526" i="1" s="1"/>
  <c r="C502" i="1"/>
  <c r="G502" i="1" s="1"/>
  <c r="H503" i="1"/>
  <c r="C535" i="1"/>
  <c r="G535" i="1" s="1"/>
  <c r="C499" i="1"/>
  <c r="G499" i="1" s="1"/>
  <c r="C696" i="1"/>
  <c r="C702" i="1"/>
  <c r="H496" i="1"/>
  <c r="C678" i="1"/>
  <c r="C573" i="1"/>
  <c r="C547" i="1"/>
  <c r="C628" i="1"/>
  <c r="H530" i="1"/>
  <c r="C572" i="1"/>
  <c r="C531" i="1"/>
  <c r="G531" i="1" s="1"/>
  <c r="C683" i="1"/>
  <c r="C553" i="1"/>
  <c r="C636" i="1"/>
  <c r="C703" i="1"/>
  <c r="C511" i="1"/>
  <c r="G511" i="1" s="1"/>
  <c r="J815" i="1"/>
  <c r="C669" i="1"/>
  <c r="C527" i="1"/>
  <c r="G527" i="1" s="1"/>
  <c r="C514" i="1"/>
  <c r="G514" i="1" s="1"/>
  <c r="C515" i="1"/>
  <c r="G515" i="1" s="1"/>
  <c r="C537" i="1"/>
  <c r="G537" i="1" s="1"/>
  <c r="J816" i="1"/>
  <c r="C620" i="1"/>
  <c r="C433" i="1"/>
  <c r="C441" i="1" s="1"/>
  <c r="C506" i="1"/>
  <c r="G506" i="1" s="1"/>
  <c r="H522" i="1"/>
  <c r="H528" i="1"/>
  <c r="C565" i="1"/>
  <c r="C621" i="1"/>
  <c r="C679" i="1"/>
  <c r="C671" i="1"/>
  <c r="C692" i="1"/>
  <c r="D245" i="9"/>
  <c r="C630" i="1"/>
  <c r="C546" i="1"/>
  <c r="C508" i="1"/>
  <c r="G508" i="1" s="1"/>
  <c r="C533" i="1"/>
  <c r="G533" i="1" s="1"/>
  <c r="C705" i="1"/>
  <c r="C560" i="1"/>
  <c r="C627" i="1"/>
  <c r="C617" i="1"/>
  <c r="C555" i="1"/>
  <c r="E21" i="9"/>
  <c r="C670" i="1"/>
  <c r="H518" i="1"/>
  <c r="H498" i="1"/>
  <c r="G517" i="1"/>
  <c r="H517" i="1" s="1"/>
  <c r="D672" i="1"/>
  <c r="D684" i="1"/>
  <c r="D710" i="1"/>
  <c r="D632" i="1"/>
  <c r="D626" i="1"/>
  <c r="D642" i="1"/>
  <c r="D668" i="1"/>
  <c r="D617" i="1"/>
  <c r="D641" i="1"/>
  <c r="D674" i="1"/>
  <c r="D680" i="1"/>
  <c r="D697" i="1"/>
  <c r="D633" i="1"/>
  <c r="D716" i="1"/>
  <c r="D643" i="1"/>
  <c r="D685" i="1"/>
  <c r="D646" i="1"/>
  <c r="D709" i="1"/>
  <c r="D619" i="1"/>
  <c r="D690" i="1"/>
  <c r="D708" i="1"/>
  <c r="D636" i="1"/>
  <c r="D695" i="1"/>
  <c r="D707" i="1"/>
  <c r="D688" i="1"/>
  <c r="D702" i="1"/>
  <c r="D683" i="1"/>
  <c r="D637" i="1"/>
  <c r="D679" i="1"/>
  <c r="D713" i="1"/>
  <c r="D624" i="1"/>
  <c r="D694" i="1"/>
  <c r="D693" i="1"/>
  <c r="D698" i="1"/>
  <c r="D625" i="1"/>
  <c r="D647" i="1"/>
  <c r="D618" i="1"/>
  <c r="D616" i="1"/>
  <c r="D681" i="1"/>
  <c r="D635" i="1"/>
  <c r="D687" i="1"/>
  <c r="D629" i="1"/>
  <c r="D644" i="1"/>
  <c r="D671" i="1"/>
  <c r="D692" i="1"/>
  <c r="D620" i="1"/>
  <c r="D645" i="1"/>
  <c r="D634" i="1"/>
  <c r="D622" i="1"/>
  <c r="D669" i="1"/>
  <c r="D704" i="1"/>
  <c r="D638" i="1"/>
  <c r="D700" i="1"/>
  <c r="D691" i="1"/>
  <c r="D639" i="1"/>
  <c r="D703" i="1"/>
  <c r="D623" i="1"/>
  <c r="D673" i="1"/>
  <c r="D628" i="1"/>
  <c r="D670" i="1"/>
  <c r="D686" i="1"/>
  <c r="D677" i="1"/>
  <c r="D705" i="1"/>
  <c r="D627" i="1"/>
  <c r="D699" i="1"/>
  <c r="D640" i="1"/>
  <c r="D711" i="1"/>
  <c r="D621" i="1"/>
  <c r="D675" i="1"/>
  <c r="D689" i="1"/>
  <c r="D631" i="1"/>
  <c r="D712" i="1"/>
  <c r="D630" i="1"/>
  <c r="D701" i="1"/>
  <c r="D706" i="1"/>
  <c r="D678" i="1"/>
  <c r="D682" i="1"/>
  <c r="D696" i="1"/>
  <c r="D676" i="1"/>
  <c r="F545" i="1"/>
  <c r="H545" i="1" s="1"/>
  <c r="H525" i="1"/>
  <c r="F525" i="1"/>
  <c r="F529" i="1"/>
  <c r="H529" i="1" s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H519" i="1"/>
  <c r="F523" i="1"/>
  <c r="F537" i="1"/>
  <c r="F531" i="1"/>
  <c r="C50" i="8" l="1"/>
  <c r="D341" i="1"/>
  <c r="C481" i="1" s="1"/>
  <c r="H523" i="1"/>
  <c r="H520" i="1"/>
  <c r="H524" i="1"/>
  <c r="C716" i="1"/>
  <c r="I373" i="9"/>
  <c r="H535" i="1"/>
  <c r="H521" i="1"/>
  <c r="H526" i="1"/>
  <c r="H537" i="1"/>
  <c r="H514" i="1"/>
  <c r="H531" i="1"/>
  <c r="H515" i="1"/>
  <c r="G546" i="1"/>
  <c r="H546" i="1"/>
  <c r="C648" i="1"/>
  <c r="M716" i="1" s="1"/>
  <c r="Y816" i="1" s="1"/>
  <c r="H508" i="1"/>
  <c r="C715" i="1"/>
  <c r="E623" i="1"/>
  <c r="E612" i="1"/>
  <c r="D715" i="1"/>
  <c r="E693" i="1" l="1"/>
  <c r="E716" i="1"/>
  <c r="E710" i="1"/>
  <c r="E637" i="1"/>
  <c r="E671" i="1"/>
  <c r="E713" i="1"/>
  <c r="E676" i="1"/>
  <c r="E705" i="1"/>
  <c r="E706" i="1"/>
  <c r="E674" i="1"/>
  <c r="E683" i="1"/>
  <c r="E647" i="1"/>
  <c r="E641" i="1"/>
  <c r="E687" i="1"/>
  <c r="E698" i="1"/>
  <c r="E675" i="1"/>
  <c r="E685" i="1"/>
  <c r="E634" i="1"/>
  <c r="E682" i="1"/>
  <c r="E690" i="1"/>
  <c r="E708" i="1"/>
  <c r="E670" i="1"/>
  <c r="E692" i="1"/>
  <c r="E668" i="1"/>
  <c r="E703" i="1"/>
  <c r="E636" i="1"/>
  <c r="E695" i="1"/>
  <c r="E627" i="1"/>
  <c r="E624" i="1"/>
  <c r="E643" i="1"/>
  <c r="E642" i="1"/>
  <c r="E711" i="1"/>
  <c r="E701" i="1"/>
  <c r="E630" i="1"/>
  <c r="E678" i="1"/>
  <c r="E645" i="1"/>
  <c r="E631" i="1"/>
  <c r="E697" i="1"/>
  <c r="E700" i="1"/>
  <c r="E688" i="1"/>
  <c r="E626" i="1"/>
  <c r="E704" i="1"/>
  <c r="E638" i="1"/>
  <c r="E686" i="1"/>
  <c r="E681" i="1"/>
  <c r="E696" i="1"/>
  <c r="E702" i="1"/>
  <c r="E691" i="1"/>
  <c r="E669" i="1"/>
  <c r="E699" i="1"/>
  <c r="E689" i="1"/>
  <c r="E672" i="1"/>
  <c r="E625" i="1"/>
  <c r="E644" i="1"/>
  <c r="E639" i="1"/>
  <c r="E684" i="1"/>
  <c r="E646" i="1"/>
  <c r="E635" i="1"/>
  <c r="E707" i="1"/>
  <c r="E640" i="1"/>
  <c r="E712" i="1"/>
  <c r="E694" i="1"/>
  <c r="E709" i="1"/>
  <c r="E629" i="1"/>
  <c r="E633" i="1"/>
  <c r="E628" i="1"/>
  <c r="E677" i="1"/>
  <c r="E679" i="1"/>
  <c r="E632" i="1"/>
  <c r="E673" i="1"/>
  <c r="E680" i="1"/>
  <c r="E715" i="1" l="1"/>
  <c r="F624" i="1"/>
  <c r="F674" i="1" l="1"/>
  <c r="F691" i="1"/>
  <c r="F625" i="1"/>
  <c r="F713" i="1"/>
  <c r="F693" i="1"/>
  <c r="F641" i="1"/>
  <c r="F632" i="1"/>
  <c r="F704" i="1"/>
  <c r="F682" i="1"/>
  <c r="F676" i="1"/>
  <c r="F679" i="1"/>
  <c r="F634" i="1"/>
  <c r="F708" i="1"/>
  <c r="F698" i="1"/>
  <c r="F635" i="1"/>
  <c r="F643" i="1"/>
  <c r="F684" i="1"/>
  <c r="F647" i="1"/>
  <c r="F670" i="1"/>
  <c r="F692" i="1"/>
  <c r="F636" i="1"/>
  <c r="F694" i="1"/>
  <c r="F675" i="1"/>
  <c r="F689" i="1"/>
  <c r="F637" i="1"/>
  <c r="F710" i="1"/>
  <c r="F683" i="1"/>
  <c r="F677" i="1"/>
  <c r="F686" i="1"/>
  <c r="F638" i="1"/>
  <c r="F709" i="1"/>
  <c r="F697" i="1"/>
  <c r="F702" i="1"/>
  <c r="F705" i="1"/>
  <c r="F680" i="1"/>
  <c r="F706" i="1"/>
  <c r="F690" i="1"/>
  <c r="F631" i="1"/>
  <c r="F626" i="1"/>
  <c r="F642" i="1"/>
  <c r="F629" i="1"/>
  <c r="F668" i="1"/>
  <c r="F685" i="1"/>
  <c r="F711" i="1"/>
  <c r="F633" i="1"/>
  <c r="F688" i="1"/>
  <c r="F707" i="1"/>
  <c r="F695" i="1"/>
  <c r="F672" i="1"/>
  <c r="F645" i="1"/>
  <c r="F673" i="1"/>
  <c r="F681" i="1"/>
  <c r="F712" i="1"/>
  <c r="F687" i="1"/>
  <c r="F646" i="1"/>
  <c r="F696" i="1"/>
  <c r="F703" i="1"/>
  <c r="F678" i="1"/>
  <c r="F701" i="1"/>
  <c r="F630" i="1"/>
  <c r="F699" i="1"/>
  <c r="F639" i="1"/>
  <c r="F700" i="1"/>
  <c r="F640" i="1"/>
  <c r="F669" i="1"/>
  <c r="F644" i="1"/>
  <c r="F671" i="1"/>
  <c r="F627" i="1"/>
  <c r="F628" i="1"/>
  <c r="F716" i="1"/>
  <c r="F715" i="1" l="1"/>
  <c r="G625" i="1"/>
  <c r="G712" i="1" l="1"/>
  <c r="G688" i="1"/>
  <c r="G679" i="1"/>
  <c r="G644" i="1"/>
  <c r="G642" i="1"/>
  <c r="G711" i="1"/>
  <c r="G680" i="1"/>
  <c r="G638" i="1"/>
  <c r="G693" i="1"/>
  <c r="G690" i="1"/>
  <c r="G670" i="1"/>
  <c r="G702" i="1"/>
  <c r="G630" i="1"/>
  <c r="G695" i="1"/>
  <c r="G698" i="1"/>
  <c r="G669" i="1"/>
  <c r="G691" i="1"/>
  <c r="G710" i="1"/>
  <c r="G631" i="1"/>
  <c r="G645" i="1"/>
  <c r="G673" i="1"/>
  <c r="G646" i="1"/>
  <c r="G703" i="1"/>
  <c r="G640" i="1"/>
  <c r="G692" i="1"/>
  <c r="G636" i="1"/>
  <c r="G701" i="1"/>
  <c r="G626" i="1"/>
  <c r="G677" i="1"/>
  <c r="G634" i="1"/>
  <c r="G627" i="1"/>
  <c r="G689" i="1"/>
  <c r="G683" i="1"/>
  <c r="G706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H628" i="1" l="1"/>
  <c r="H672" i="1" s="1"/>
  <c r="G715" i="1"/>
  <c r="H696" i="1" l="1"/>
  <c r="H698" i="1"/>
  <c r="H642" i="1"/>
  <c r="H645" i="1"/>
  <c r="H671" i="1"/>
  <c r="H634" i="1"/>
  <c r="H678" i="1"/>
  <c r="H683" i="1"/>
  <c r="H636" i="1"/>
  <c r="H643" i="1"/>
  <c r="H647" i="1"/>
  <c r="H695" i="1"/>
  <c r="H638" i="1"/>
  <c r="H680" i="1"/>
  <c r="H709" i="1"/>
  <c r="H684" i="1"/>
  <c r="H690" i="1"/>
  <c r="H669" i="1"/>
  <c r="H668" i="1"/>
  <c r="H644" i="1"/>
  <c r="H637" i="1"/>
  <c r="H705" i="1"/>
  <c r="H700" i="1"/>
  <c r="H640" i="1"/>
  <c r="H716" i="1"/>
  <c r="H676" i="1"/>
  <c r="H692" i="1"/>
  <c r="H632" i="1"/>
  <c r="H693" i="1"/>
  <c r="H686" i="1"/>
  <c r="H679" i="1"/>
  <c r="H708" i="1"/>
  <c r="H681" i="1"/>
  <c r="H630" i="1"/>
  <c r="H677" i="1"/>
  <c r="H646" i="1"/>
  <c r="H685" i="1"/>
  <c r="H707" i="1"/>
  <c r="H712" i="1"/>
  <c r="H706" i="1"/>
  <c r="H703" i="1"/>
  <c r="H689" i="1"/>
  <c r="H682" i="1"/>
  <c r="H675" i="1"/>
  <c r="H633" i="1"/>
  <c r="H673" i="1"/>
  <c r="H635" i="1"/>
  <c r="H704" i="1"/>
  <c r="H629" i="1"/>
  <c r="I629" i="1" s="1"/>
  <c r="H670" i="1"/>
  <c r="H701" i="1"/>
  <c r="H699" i="1"/>
  <c r="H641" i="1"/>
  <c r="H691" i="1"/>
  <c r="H713" i="1"/>
  <c r="H710" i="1"/>
  <c r="H631" i="1"/>
  <c r="H674" i="1"/>
  <c r="H711" i="1"/>
  <c r="H687" i="1"/>
  <c r="H702" i="1"/>
  <c r="H694" i="1"/>
  <c r="H688" i="1"/>
  <c r="H697" i="1"/>
  <c r="H639" i="1"/>
  <c r="H715" i="1" l="1"/>
  <c r="I645" i="1"/>
  <c r="I646" i="1"/>
  <c r="I637" i="1"/>
  <c r="I700" i="1"/>
  <c r="I670" i="1"/>
  <c r="I685" i="1"/>
  <c r="I692" i="1"/>
  <c r="I699" i="1"/>
  <c r="I642" i="1"/>
  <c r="I675" i="1"/>
  <c r="I647" i="1"/>
  <c r="I691" i="1"/>
  <c r="I681" i="1"/>
  <c r="I690" i="1"/>
  <c r="I676" i="1"/>
  <c r="I688" i="1"/>
  <c r="I684" i="1"/>
  <c r="I686" i="1"/>
  <c r="I672" i="1"/>
  <c r="I698" i="1"/>
  <c r="I711" i="1"/>
  <c r="I639" i="1"/>
  <c r="I640" i="1"/>
  <c r="I701" i="1"/>
  <c r="I693" i="1"/>
  <c r="I631" i="1"/>
  <c r="I709" i="1"/>
  <c r="I679" i="1"/>
  <c r="I634" i="1"/>
  <c r="I638" i="1"/>
  <c r="I630" i="1"/>
  <c r="I632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68" i="1"/>
  <c r="I703" i="1"/>
  <c r="I682" i="1"/>
  <c r="I687" i="1"/>
  <c r="I710" i="1"/>
  <c r="I671" i="1"/>
  <c r="I706" i="1"/>
  <c r="I707" i="1"/>
  <c r="I635" i="1"/>
  <c r="I696" i="1"/>
  <c r="I644" i="1"/>
  <c r="I680" i="1"/>
  <c r="I695" i="1"/>
  <c r="I713" i="1"/>
  <c r="I643" i="1"/>
  <c r="I678" i="1"/>
  <c r="I633" i="1"/>
  <c r="I715" i="1" l="1"/>
  <c r="J630" i="1"/>
  <c r="J713" i="1" l="1"/>
  <c r="J698" i="1"/>
  <c r="J687" i="1"/>
  <c r="J702" i="1"/>
  <c r="J674" i="1"/>
  <c r="J688" i="1"/>
  <c r="J693" i="1"/>
  <c r="J709" i="1"/>
  <c r="J637" i="1"/>
  <c r="J647" i="1"/>
  <c r="J694" i="1"/>
  <c r="J676" i="1"/>
  <c r="J696" i="1"/>
  <c r="J699" i="1"/>
  <c r="J678" i="1"/>
  <c r="J705" i="1"/>
  <c r="J680" i="1"/>
  <c r="J710" i="1"/>
  <c r="J642" i="1"/>
  <c r="J711" i="1"/>
  <c r="J636" i="1"/>
  <c r="J634" i="1"/>
  <c r="J704" i="1"/>
  <c r="J706" i="1"/>
  <c r="J646" i="1"/>
  <c r="J643" i="1"/>
  <c r="J645" i="1"/>
  <c r="J689" i="1"/>
  <c r="J690" i="1"/>
  <c r="J633" i="1"/>
  <c r="J677" i="1"/>
  <c r="J681" i="1"/>
  <c r="J703" i="1"/>
  <c r="J707" i="1"/>
  <c r="J672" i="1"/>
  <c r="J716" i="1"/>
  <c r="J640" i="1"/>
  <c r="J638" i="1"/>
  <c r="J695" i="1"/>
  <c r="J670" i="1"/>
  <c r="J712" i="1"/>
  <c r="J686" i="1"/>
  <c r="J708" i="1"/>
  <c r="J644" i="1"/>
  <c r="J639" i="1"/>
  <c r="J683" i="1"/>
  <c r="J669" i="1"/>
  <c r="J671" i="1"/>
  <c r="J631" i="1"/>
  <c r="J685" i="1"/>
  <c r="J684" i="1"/>
  <c r="J682" i="1"/>
  <c r="J692" i="1"/>
  <c r="J668" i="1"/>
  <c r="J679" i="1"/>
  <c r="J697" i="1"/>
  <c r="J701" i="1"/>
  <c r="J691" i="1"/>
  <c r="J632" i="1"/>
  <c r="J641" i="1"/>
  <c r="J675" i="1"/>
  <c r="J700" i="1"/>
  <c r="J635" i="1"/>
  <c r="J673" i="1"/>
  <c r="K644" i="1" l="1"/>
  <c r="L647" i="1"/>
  <c r="J715" i="1"/>
  <c r="L705" i="1" l="1"/>
  <c r="L704" i="1"/>
  <c r="L679" i="1"/>
  <c r="L712" i="1"/>
  <c r="L716" i="1"/>
  <c r="L684" i="1"/>
  <c r="L673" i="1"/>
  <c r="L698" i="1"/>
  <c r="L702" i="1"/>
  <c r="L694" i="1"/>
  <c r="L711" i="1"/>
  <c r="L668" i="1"/>
  <c r="L688" i="1"/>
  <c r="L700" i="1"/>
  <c r="L674" i="1"/>
  <c r="L690" i="1"/>
  <c r="L709" i="1"/>
  <c r="L707" i="1"/>
  <c r="L676" i="1"/>
  <c r="L682" i="1"/>
  <c r="L689" i="1"/>
  <c r="L703" i="1"/>
  <c r="L692" i="1"/>
  <c r="L699" i="1"/>
  <c r="L672" i="1"/>
  <c r="L685" i="1"/>
  <c r="L686" i="1"/>
  <c r="L701" i="1"/>
  <c r="L706" i="1"/>
  <c r="L696" i="1"/>
  <c r="L697" i="1"/>
  <c r="L681" i="1"/>
  <c r="L687" i="1"/>
  <c r="L671" i="1"/>
  <c r="L677" i="1"/>
  <c r="L708" i="1"/>
  <c r="L675" i="1"/>
  <c r="L680" i="1"/>
  <c r="L693" i="1"/>
  <c r="L713" i="1"/>
  <c r="L670" i="1"/>
  <c r="L695" i="1"/>
  <c r="L710" i="1"/>
  <c r="L678" i="1"/>
  <c r="L691" i="1"/>
  <c r="L669" i="1"/>
  <c r="L683" i="1"/>
  <c r="K716" i="1"/>
  <c r="K693" i="1"/>
  <c r="K670" i="1"/>
  <c r="K668" i="1"/>
  <c r="K672" i="1"/>
  <c r="K680" i="1"/>
  <c r="K679" i="1"/>
  <c r="K705" i="1"/>
  <c r="K711" i="1"/>
  <c r="K690" i="1"/>
  <c r="K703" i="1"/>
  <c r="K710" i="1"/>
  <c r="K700" i="1"/>
  <c r="K707" i="1"/>
  <c r="K687" i="1"/>
  <c r="K685" i="1"/>
  <c r="K676" i="1"/>
  <c r="K701" i="1"/>
  <c r="K689" i="1"/>
  <c r="K706" i="1"/>
  <c r="K696" i="1"/>
  <c r="K675" i="1"/>
  <c r="K673" i="1"/>
  <c r="K691" i="1"/>
  <c r="K677" i="1"/>
  <c r="K669" i="1"/>
  <c r="K709" i="1"/>
  <c r="K692" i="1"/>
  <c r="K698" i="1"/>
  <c r="K682" i="1"/>
  <c r="K671" i="1"/>
  <c r="K686" i="1"/>
  <c r="K702" i="1"/>
  <c r="K712" i="1"/>
  <c r="K697" i="1"/>
  <c r="K674" i="1"/>
  <c r="K683" i="1"/>
  <c r="K678" i="1"/>
  <c r="K695" i="1"/>
  <c r="K688" i="1"/>
  <c r="K704" i="1"/>
  <c r="K684" i="1"/>
  <c r="K713" i="1"/>
  <c r="K699" i="1"/>
  <c r="K708" i="1"/>
  <c r="K694" i="1"/>
  <c r="K681" i="1"/>
  <c r="M669" i="1" l="1"/>
  <c r="M678" i="1"/>
  <c r="M695" i="1"/>
  <c r="M713" i="1"/>
  <c r="M680" i="1"/>
  <c r="M708" i="1"/>
  <c r="M671" i="1"/>
  <c r="M681" i="1"/>
  <c r="M696" i="1"/>
  <c r="M701" i="1"/>
  <c r="M685" i="1"/>
  <c r="M699" i="1"/>
  <c r="M703" i="1"/>
  <c r="M682" i="1"/>
  <c r="M707" i="1"/>
  <c r="M690" i="1"/>
  <c r="M700" i="1"/>
  <c r="L715" i="1"/>
  <c r="M668" i="1"/>
  <c r="M694" i="1"/>
  <c r="M698" i="1"/>
  <c r="M684" i="1"/>
  <c r="M712" i="1"/>
  <c r="M704" i="1"/>
  <c r="K715" i="1"/>
  <c r="M683" i="1"/>
  <c r="M691" i="1"/>
  <c r="M710" i="1"/>
  <c r="M670" i="1"/>
  <c r="M693" i="1"/>
  <c r="M675" i="1"/>
  <c r="M677" i="1"/>
  <c r="M687" i="1"/>
  <c r="M697" i="1"/>
  <c r="M706" i="1"/>
  <c r="M686" i="1"/>
  <c r="M672" i="1"/>
  <c r="M692" i="1"/>
  <c r="M689" i="1"/>
  <c r="M676" i="1"/>
  <c r="M709" i="1"/>
  <c r="M674" i="1"/>
  <c r="M688" i="1"/>
  <c r="M711" i="1"/>
  <c r="M702" i="1"/>
  <c r="M673" i="1"/>
  <c r="M679" i="1"/>
  <c r="M705" i="1"/>
  <c r="Y745" i="1" l="1"/>
  <c r="G55" i="9"/>
  <c r="Y754" i="1"/>
  <c r="I87" i="9"/>
  <c r="Y771" i="1"/>
  <c r="E183" i="9"/>
  <c r="Y739" i="1"/>
  <c r="H23" i="9"/>
  <c r="D215" i="9"/>
  <c r="Y777" i="1"/>
  <c r="Y740" i="1"/>
  <c r="I23" i="9"/>
  <c r="D55" i="9"/>
  <c r="Y742" i="1"/>
  <c r="F119" i="9"/>
  <c r="Y758" i="1"/>
  <c r="G87" i="9"/>
  <c r="Y752" i="1"/>
  <c r="D151" i="9"/>
  <c r="Y763" i="1"/>
  <c r="E55" i="9"/>
  <c r="Y743" i="1"/>
  <c r="G119" i="9"/>
  <c r="Y759" i="1"/>
  <c r="Y776" i="1"/>
  <c r="C215" i="9"/>
  <c r="D87" i="9"/>
  <c r="Y749" i="1"/>
  <c r="D183" i="9"/>
  <c r="Y770" i="1"/>
  <c r="Y750" i="1"/>
  <c r="E87" i="9"/>
  <c r="H119" i="9"/>
  <c r="Y760" i="1"/>
  <c r="D119" i="9"/>
  <c r="Y756" i="1"/>
  <c r="C87" i="9"/>
  <c r="Y748" i="1"/>
  <c r="F151" i="9"/>
  <c r="Y765" i="1"/>
  <c r="H151" i="9"/>
  <c r="Y767" i="1"/>
  <c r="Y747" i="1"/>
  <c r="I55" i="9"/>
  <c r="Y774" i="1"/>
  <c r="H183" i="9"/>
  <c r="F215" i="9"/>
  <c r="Y779" i="1"/>
  <c r="F55" i="9"/>
  <c r="Y744" i="1"/>
  <c r="I151" i="9"/>
  <c r="Y768" i="1"/>
  <c r="Y775" i="1"/>
  <c r="I183" i="9"/>
  <c r="Y755" i="1"/>
  <c r="C119" i="9"/>
  <c r="Y738" i="1"/>
  <c r="G23" i="9"/>
  <c r="Y772" i="1"/>
  <c r="F183" i="9"/>
  <c r="Y753" i="1"/>
  <c r="H87" i="9"/>
  <c r="C55" i="9"/>
  <c r="Y741" i="1"/>
  <c r="E23" i="9"/>
  <c r="Y736" i="1"/>
  <c r="E119" i="9"/>
  <c r="Y757" i="1"/>
  <c r="E215" i="9"/>
  <c r="Y778" i="1"/>
  <c r="E151" i="9"/>
  <c r="Y764" i="1"/>
  <c r="Y734" i="1"/>
  <c r="C23" i="9"/>
  <c r="M715" i="1"/>
  <c r="Y766" i="1"/>
  <c r="G151" i="9"/>
  <c r="Y773" i="1"/>
  <c r="G183" i="9"/>
  <c r="C183" i="9"/>
  <c r="Y769" i="1"/>
  <c r="F87" i="9"/>
  <c r="Y751" i="1"/>
  <c r="C151" i="9"/>
  <c r="Y762" i="1"/>
  <c r="F23" i="9"/>
  <c r="Y737" i="1"/>
  <c r="H55" i="9"/>
  <c r="Y746" i="1"/>
  <c r="I119" i="9"/>
  <c r="Y761" i="1"/>
  <c r="Y735" i="1"/>
  <c r="D23" i="9"/>
  <c r="Y815" i="1" l="1"/>
  <c r="C13" i="5" l="1"/>
  <c r="AF726" i="1"/>
  <c r="E9" i="4"/>
  <c r="F8" i="4"/>
  <c r="AA726" i="1"/>
  <c r="F9" i="4"/>
  <c r="E8" i="4"/>
  <c r="AK726" i="1"/>
  <c r="E7" i="4" l="1"/>
  <c r="C722" i="1"/>
  <c r="C7" i="5"/>
  <c r="G722" i="1"/>
  <c r="C11" i="5"/>
  <c r="D173" i="1"/>
  <c r="B722" i="1"/>
  <c r="C6" i="5"/>
  <c r="F722" i="1"/>
  <c r="C10" i="5"/>
  <c r="E722" i="1"/>
  <c r="C9" i="5"/>
  <c r="D722" i="1"/>
  <c r="C8" i="5"/>
  <c r="H722" i="1"/>
  <c r="C12" i="5"/>
  <c r="E141" i="1"/>
  <c r="D463" i="1" s="1"/>
  <c r="AL726" i="1"/>
  <c r="AG726" i="1"/>
  <c r="G8" i="4"/>
  <c r="G9" i="4"/>
  <c r="AB726" i="1"/>
  <c r="E142" i="1"/>
  <c r="G10" i="4" s="1"/>
  <c r="F7" i="4"/>
  <c r="E10" i="4"/>
  <c r="G7" i="4"/>
  <c r="D428" i="1" l="1"/>
  <c r="C14" i="5"/>
  <c r="D464" i="1"/>
  <c r="D465" i="1" s="1"/>
  <c r="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Kimthu(Tacoma)</author>
  </authors>
  <commentList>
    <comment ref="A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Nguyen, Kimthu(Tacoma):</t>
        </r>
        <r>
          <rPr>
            <sz val="9"/>
            <color indexed="81"/>
            <rFont val="Tahoma"/>
            <family val="2"/>
          </rPr>
          <t xml:space="preserve">
SJ: 8330
others: 8320</t>
        </r>
      </text>
    </comment>
  </commentList>
</comments>
</file>

<file path=xl/sharedStrings.xml><?xml version="1.0" encoding="utf-8"?>
<sst xmlns="http://schemas.openxmlformats.org/spreadsheetml/2006/main" count="5025" uniqueCount="1307">
  <si>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</si>
  <si>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</si>
  <si>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</si>
  <si>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</si>
  <si>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</si>
  <si>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</si>
  <si>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</si>
  <si>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</si>
  <si>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</si>
  <si>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</si>
  <si>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</si>
  <si>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</si>
  <si>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</si>
  <si>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</si>
  <si>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</si>
  <si>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</si>
  <si>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</si>
  <si>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</si>
  <si>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</si>
  <si>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</si>
  <si>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</si>
  <si>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</si>
  <si>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</si>
  <si>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</si>
  <si>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</si>
  <si>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</si>
  <si>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</si>
  <si>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</si>
  <si>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</si>
  <si>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</si>
  <si>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</si>
  <si>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</si>
  <si>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</si>
  <si>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</si>
  <si>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</si>
  <si>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</si>
  <si>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</si>
  <si>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</si>
  <si>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</si>
  <si>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</si>
  <si>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</si>
  <si>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</si>
  <si>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</si>
  <si>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</si>
  <si>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</si>
  <si>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</si>
  <si>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</si>
  <si>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</si>
  <si>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</si>
  <si>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</si>
  <si>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</si>
  <si>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</si>
  <si>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</si>
  <si>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</si>
  <si>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</si>
  <si>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</si>
  <si>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</si>
  <si>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</si>
  <si>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</si>
  <si>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</si>
  <si>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</si>
  <si>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</si>
  <si>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</si>
  <si>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</si>
  <si>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</si>
  <si>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</si>
  <si>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</si>
  <si>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</si>
  <si>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</si>
  <si>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</si>
  <si>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</si>
  <si>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</si>
  <si>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</si>
  <si>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</si>
  <si>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</si>
  <si>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</si>
  <si>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</si>
  <si>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</si>
  <si>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</si>
  <si>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</si>
  <si>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</si>
  <si>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</si>
  <si>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</si>
  <si>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</si>
  <si>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</si>
  <si>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</si>
  <si>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</si>
  <si>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</si>
  <si>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</si>
  <si>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</si>
  <si>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</si>
  <si>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</si>
  <si>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</si>
  <si>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</si>
  <si>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</si>
  <si>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</si>
  <si>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</si>
  <si>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</si>
  <si>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</si>
  <si>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</si>
  <si>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</si>
  <si>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</si>
  <si>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</si>
  <si>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</si>
  <si>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</si>
  <si>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</si>
  <si>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</si>
  <si>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</si>
  <si>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</si>
  <si>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</si>
  <si>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</si>
  <si>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</si>
  <si>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</si>
  <si>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</si>
  <si>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</si>
  <si>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</si>
  <si>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</si>
  <si>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</si>
  <si>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</si>
  <si>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</si>
  <si>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</si>
  <si>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</si>
  <si>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</si>
  <si>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</si>
  <si>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</si>
  <si>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</si>
  <si>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</si>
  <si>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</si>
  <si>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</si>
  <si>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</si>
  <si>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</si>
  <si>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</si>
  <si>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</si>
  <si>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</si>
  <si>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</si>
  <si>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</si>
  <si>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</si>
  <si>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</si>
  <si>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</si>
  <si>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</si>
  <si>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</si>
  <si>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</si>
  <si>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</si>
  <si>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</si>
  <si>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</si>
  <si>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</si>
  <si>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</si>
  <si>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</si>
  <si>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</si>
  <si>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</si>
  <si>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</si>
  <si>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</si>
  <si>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</si>
  <si>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</si>
  <si>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</si>
  <si>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</si>
  <si>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</si>
  <si>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</si>
  <si>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</si>
  <si>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</si>
  <si>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</si>
  <si>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</si>
  <si>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</si>
  <si>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</si>
  <si>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</si>
  <si>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</si>
  <si>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</si>
  <si>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</si>
  <si>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</si>
  <si>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</si>
  <si>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</si>
  <si>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</si>
  <si>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</si>
  <si>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</si>
  <si>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</si>
  <si>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</si>
  <si>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</si>
  <si>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</si>
  <si>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</si>
  <si>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</si>
  <si>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</si>
  <si>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</si>
  <si>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</si>
  <si>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</si>
  <si>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</si>
  <si>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</si>
  <si>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</si>
  <si>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</si>
  <si>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</si>
  <si>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</si>
  <si>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</si>
  <si>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</si>
  <si>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</si>
  <si>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</si>
  <si>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</si>
  <si>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</si>
  <si>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</si>
  <si>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</si>
  <si>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</si>
  <si>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</si>
  <si>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</si>
  <si>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</si>
  <si>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</si>
  <si>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</si>
  <si>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</si>
  <si>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</si>
  <si>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</si>
  <si>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</si>
  <si>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</si>
  <si>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</si>
  <si>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</si>
  <si>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</si>
  <si>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</si>
  <si>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</si>
  <si>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</si>
  <si>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</si>
  <si>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</si>
  <si>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</si>
  <si>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</si>
  <si>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</si>
  <si>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</si>
  <si>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</si>
  <si>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</si>
  <si>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</si>
  <si>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</si>
  <si>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</si>
  <si>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</si>
  <si>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</si>
  <si>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</si>
  <si>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</si>
  <si>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</si>
  <si>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</si>
  <si>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</si>
  <si>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</si>
  <si>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</si>
  <si>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</si>
  <si>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</si>
  <si>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</si>
  <si>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</si>
  <si>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</si>
  <si>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</si>
  <si>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</si>
  <si>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</si>
  <si>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</si>
  <si>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</si>
  <si>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</si>
  <si>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</si>
  <si>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</si>
  <si>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</si>
  <si>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</si>
  <si>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</si>
  <si>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</si>
  <si>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</si>
  <si>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</si>
  <si>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</si>
  <si>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</si>
  <si>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</si>
  <si>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</si>
  <si>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</si>
  <si>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</si>
  <si>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</si>
  <si>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</si>
  <si>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</si>
  <si>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</si>
  <si>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</si>
  <si>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</si>
  <si>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</si>
  <si>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</si>
  <si>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</si>
  <si>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</si>
  <si>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</si>
  <si>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</si>
  <si>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</si>
  <si>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</si>
  <si>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</si>
  <si>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</si>
  <si>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</si>
  <si>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</si>
  <si>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</si>
  <si>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</si>
  <si>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</si>
  <si>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</si>
  <si>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</si>
  <si>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</si>
  <si>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</si>
  <si>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</si>
  <si>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</si>
  <si>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</si>
  <si>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</si>
  <si>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</si>
  <si>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</si>
  <si>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</si>
  <si>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</si>
  <si>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</si>
  <si>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</si>
  <si>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</si>
  <si>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</si>
  <si>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</si>
  <si>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</si>
  <si>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</si>
  <si>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</si>
  <si>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</si>
  <si>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</si>
  <si>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</si>
  <si>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</si>
  <si>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</si>
  <si>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</si>
  <si>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</si>
  <si>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</si>
  <si>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</si>
  <si>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</si>
  <si>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</si>
  <si>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</si>
  <si>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</si>
  <si>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</si>
  <si>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</si>
  <si>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</si>
  <si>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</si>
  <si>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</si>
  <si>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</si>
  <si>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</si>
  <si>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</si>
  <si>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</si>
  <si>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</si>
  <si>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</si>
  <si>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</si>
  <si>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</si>
  <si>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</si>
  <si>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</si>
  <si>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</si>
  <si>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</si>
  <si>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</si>
  <si>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</si>
  <si>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</si>
  <si>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</si>
  <si>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</si>
  <si>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</si>
  <si>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</si>
  <si>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</si>
  <si>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</si>
  <si>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</si>
  <si>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</si>
  <si>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</si>
  <si>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</si>
  <si>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</si>
  <si>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</si>
  <si>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</si>
  <si>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</si>
  <si>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</si>
  <si>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</si>
  <si>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</si>
  <si>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</si>
  <si>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</si>
  <si>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</si>
  <si>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</si>
  <si>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</si>
  <si>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</si>
  <si>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</si>
  <si>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</si>
  <si>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</si>
  <si>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</si>
  <si>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</si>
  <si>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</si>
  <si>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</si>
  <si>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</si>
  <si>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</si>
  <si>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</si>
  <si>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</si>
  <si>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</si>
  <si>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</si>
  <si>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</si>
  <si>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</si>
  <si>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</si>
  <si>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</si>
  <si>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</si>
  <si>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</si>
  <si>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</si>
  <si>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</si>
  <si>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</si>
  <si>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</si>
  <si>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</si>
  <si>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</si>
  <si>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</si>
  <si>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</si>
  <si>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</si>
  <si>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</si>
  <si>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</si>
  <si>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</si>
  <si>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</si>
  <si>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</si>
  <si>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</si>
  <si>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</si>
  <si>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</si>
  <si>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</si>
  <si>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</si>
  <si>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</si>
  <si>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</si>
  <si>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</si>
  <si>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</si>
  <si>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</si>
  <si>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</si>
  <si>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</si>
  <si>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</si>
  <si>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</si>
  <si>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</si>
  <si>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</si>
  <si>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</si>
  <si>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</si>
  <si>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</si>
  <si>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</si>
  <si>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</si>
  <si>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</si>
  <si>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</si>
  <si>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</si>
  <si>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</si>
  <si>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</si>
  <si>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</si>
  <si>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</si>
  <si>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</si>
  <si>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</si>
  <si>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</si>
  <si>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</si>
  <si>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</si>
  <si>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</si>
  <si>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</si>
  <si>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</si>
  <si>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</si>
  <si>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</si>
  <si>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</si>
  <si>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</si>
  <si>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</si>
  <si>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</si>
  <si>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</si>
  <si>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</si>
  <si>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</si>
  <si>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</si>
  <si>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</si>
  <si>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</si>
  <si>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</si>
  <si>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</si>
  <si>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</si>
  <si>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</si>
  <si>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</si>
  <si>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</si>
  <si>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</si>
  <si>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</si>
  <si>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</si>
  <si>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</si>
  <si>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</si>
  <si>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</si>
  <si>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</si>
  <si>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</si>
  <si>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</si>
  <si>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</si>
  <si>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</si>
  <si>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</si>
  <si>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</si>
  <si>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</si>
  <si>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</si>
  <si>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</si>
  <si>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</si>
  <si>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</si>
  <si>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</si>
  <si>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</si>
  <si>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</si>
  <si>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</si>
  <si>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</si>
  <si>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</si>
  <si>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</si>
  <si>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</si>
  <si>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</si>
  <si>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</si>
  <si>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</si>
  <si>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</si>
  <si>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</si>
  <si>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</si>
  <si>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</si>
  <si>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</si>
  <si>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</si>
  <si>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</si>
  <si>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</si>
  <si>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</si>
  <si>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</si>
  <si>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</si>
  <si>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</si>
  <si>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</si>
  <si>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</si>
  <si>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</si>
  <si>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</si>
  <si>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</si>
  <si>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</si>
  <si>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</si>
  <si>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</si>
  <si>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</si>
  <si>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</si>
  <si>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</si>
  <si>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</si>
  <si>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</si>
  <si>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</si>
  <si>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</si>
  <si>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</si>
  <si>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</si>
  <si>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</si>
  <si>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</si>
  <si>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</si>
  <si>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</si>
  <si>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</si>
  <si>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</si>
  <si>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</si>
  <si>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</si>
  <si>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</si>
  <si>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</si>
  <si>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</si>
  <si>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</si>
  <si>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</si>
  <si>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</si>
  <si>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</si>
  <si>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</si>
  <si>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</si>
  <si>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</si>
  <si>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</si>
  <si>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</si>
  <si>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</si>
  <si>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</si>
  <si>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</si>
  <si>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</si>
  <si>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</si>
  <si>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</si>
  <si>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</si>
  <si>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</si>
  <si>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</si>
  <si>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</si>
  <si>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</si>
  <si>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</si>
  <si>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</si>
  <si>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</si>
  <si>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</si>
  <si>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</si>
  <si>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</si>
  <si>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</si>
  <si>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</si>
  <si>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</si>
  <si>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</si>
  <si>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</si>
  <si>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</si>
  <si>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</si>
  <si>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</si>
  <si>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</si>
  <si>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</si>
  <si>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</si>
  <si>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</si>
  <si>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</si>
  <si>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</si>
  <si>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</si>
  <si>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</si>
  <si>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</si>
  <si>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</si>
  <si>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</si>
  <si>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</si>
  <si>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</si>
  <si>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</si>
  <si>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</si>
  <si>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</si>
  <si>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</si>
  <si>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</si>
  <si>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</si>
  <si>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</si>
  <si>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</si>
  <si>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</si>
  <si>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</si>
  <si>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</si>
  <si>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</si>
  <si>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</si>
  <si>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</si>
  <si>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</si>
  <si>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</si>
  <si>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</si>
  <si>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</si>
  <si>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</si>
  <si>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</si>
  <si>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</si>
  <si>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</si>
  <si>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</si>
  <si>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</si>
  <si>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</si>
  <si>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</si>
  <si>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</si>
  <si>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</si>
  <si>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</si>
  <si>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</si>
  <si>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</si>
  <si>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</si>
  <si>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</si>
  <si>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</si>
  <si>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</si>
  <si>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</si>
  <si>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</si>
  <si>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</si>
  <si>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</si>
  <si>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</si>
  <si>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</si>
  <si>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</si>
  <si>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</si>
  <si>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</si>
  <si>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</si>
  <si>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</si>
  <si>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</si>
  <si>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</si>
  <si>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</si>
  <si>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</si>
  <si>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</si>
  <si>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</si>
  <si>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</si>
  <si>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</si>
  <si>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</si>
  <si>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</si>
  <si>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</si>
  <si>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</si>
  <si>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</si>
  <si>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</si>
  <si>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</si>
  <si>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</si>
  <si>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</si>
  <si>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</si>
  <si>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</si>
  <si>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</si>
  <si>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</si>
  <si>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</si>
  <si>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</si>
  <si>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</si>
  <si>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</si>
  <si>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</si>
  <si>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</si>
  <si>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</si>
  <si>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</si>
  <si>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</si>
  <si>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</si>
  <si>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</si>
  <si>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</si>
  <si>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</si>
  <si>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</si>
  <si>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</si>
  <si>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</si>
  <si>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</si>
  <si>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</si>
  <si>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</si>
  <si>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</si>
  <si>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</si>
  <si>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</si>
  <si>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</si>
  <si>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</si>
  <si>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</si>
  <si>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</si>
  <si>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</si>
  <si>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</si>
  <si>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</si>
  <si>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</si>
  <si>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</si>
  <si>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</si>
  <si>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</si>
  <si>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</si>
  <si>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</si>
  <si>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</si>
  <si>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</si>
  <si>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</si>
  <si>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</si>
  <si>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</si>
  <si>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</si>
  <si>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</si>
  <si>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</si>
  <si>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</si>
  <si>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</si>
  <si>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</si>
  <si>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</si>
  <si>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</si>
  <si>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</si>
  <si>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</si>
  <si>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</si>
  <si>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</si>
  <si>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</si>
  <si>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</si>
  <si>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</si>
  <si>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</si>
  <si>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</si>
  <si>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</si>
  <si>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</si>
  <si>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</si>
  <si>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</si>
  <si>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</si>
  <si>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</si>
  <si>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</si>
  <si>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</si>
  <si>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</si>
  <si>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</si>
  <si>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</si>
  <si>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</si>
  <si>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</si>
  <si>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</si>
  <si>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</si>
  <si>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</si>
  <si>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</si>
  <si>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</si>
  <si>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</si>
  <si>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</si>
  <si>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</si>
  <si>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</si>
  <si>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</si>
  <si>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</si>
  <si>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</si>
  <si>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</si>
  <si>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</si>
  <si>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</si>
  <si>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</si>
  <si>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</si>
  <si>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</si>
  <si>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</si>
  <si>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</si>
  <si>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</si>
  <si>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</si>
  <si>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</si>
  <si>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</si>
  <si>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</si>
  <si>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</si>
  <si>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</si>
  <si>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</si>
  <si>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</si>
  <si>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</si>
  <si>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</si>
  <si>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</si>
  <si>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</si>
  <si>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</si>
  <si>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</si>
  <si>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</si>
  <si>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</si>
  <si>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</si>
  <si>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</si>
  <si>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</si>
  <si>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</si>
  <si>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</si>
  <si>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</si>
  <si>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</si>
  <si>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</si>
  <si>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</si>
  <si>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</si>
  <si>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</si>
  <si>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</si>
  <si>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</si>
  <si>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</si>
  <si>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</si>
  <si>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</si>
  <si>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</si>
  <si>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</si>
  <si>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</si>
  <si>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</si>
  <si>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</si>
  <si>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</si>
  <si>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</si>
  <si>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</si>
  <si>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</si>
  <si>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</si>
  <si>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</si>
  <si>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</si>
  <si>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</si>
  <si>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</si>
  <si>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</si>
  <si>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</si>
  <si>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</si>
  <si>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</si>
  <si>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</si>
  <si>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</si>
  <si>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</si>
  <si>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</si>
  <si>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</si>
  <si>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</si>
  <si>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</si>
  <si>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</si>
  <si>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</si>
  <si>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</si>
  <si>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</si>
  <si>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</si>
  <si>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</si>
  <si>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</si>
  <si>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</si>
  <si>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</si>
  <si>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</si>
  <si>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</si>
  <si>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</si>
  <si>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</si>
  <si>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</si>
  <si>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</si>
  <si>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</si>
  <si>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</si>
  <si>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</si>
  <si>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</si>
  <si>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</si>
  <si>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</si>
  <si>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</si>
  <si>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</si>
  <si>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</si>
  <si>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</si>
  <si>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</si>
  <si>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</si>
  <si>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</si>
  <si>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</si>
  <si>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</si>
  <si>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</si>
  <si>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</si>
  <si>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</si>
  <si>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</si>
  <si>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</si>
  <si>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</si>
  <si>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</si>
  <si>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</si>
  <si>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</si>
  <si>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</si>
  <si>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</si>
  <si>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</si>
  <si>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</si>
  <si>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</si>
  <si>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</si>
  <si>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</si>
  <si>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</si>
  <si>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</si>
  <si>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</si>
  <si>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</si>
  <si>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</si>
  <si>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</si>
  <si>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</si>
  <si>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</si>
  <si>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</si>
  <si>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</si>
  <si>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</si>
  <si>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</si>
  <si>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</si>
  <si>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</si>
  <si>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</si>
  <si>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</si>
  <si>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</si>
  <si>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</si>
  <si>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</si>
  <si>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</si>
  <si>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</si>
  <si>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</si>
  <si>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</si>
  <si>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</si>
  <si>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</si>
  <si>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</si>
  <si>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</si>
  <si>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</si>
  <si>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</si>
  <si>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</si>
  <si>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</si>
  <si>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</si>
  <si>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</si>
  <si>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</si>
  <si>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</si>
  <si>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</si>
  <si>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</si>
  <si>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</si>
  <si>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</si>
  <si>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</si>
  <si>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</si>
  <si>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</si>
  <si>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</si>
  <si>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</si>
  <si>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</si>
  <si>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</si>
  <si>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</si>
  <si>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</si>
  <si>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</si>
  <si>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</si>
  <si>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</si>
  <si>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</si>
  <si>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</si>
  <si>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</si>
  <si>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</si>
  <si>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</si>
  <si>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</si>
  <si>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</si>
  <si>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</si>
  <si>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</si>
  <si>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</si>
  <si>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</si>
  <si>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</si>
  <si>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</si>
  <si>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</si>
  <si>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</si>
  <si>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</si>
  <si>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</si>
  <si>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</si>
  <si>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</si>
  <si>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</si>
  <si>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</si>
  <si>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</si>
  <si>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</si>
  <si>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</si>
  <si>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</si>
  <si>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</si>
  <si>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</si>
  <si>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</si>
  <si>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</si>
  <si>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</si>
  <si>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</si>
  <si>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</si>
  <si>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</si>
  <si>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</si>
  <si>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</si>
  <si>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</si>
  <si>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</si>
  <si>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</si>
  <si>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</si>
  <si>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</si>
  <si>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</si>
  <si>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</si>
  <si>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</si>
  <si>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</si>
  <si>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</si>
  <si>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</si>
  <si>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</si>
  <si>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</si>
  <si>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</si>
  <si>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</si>
  <si>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</si>
  <si>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</si>
  <si>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</si>
  <si>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</si>
  <si>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</si>
  <si>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</si>
  <si>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</si>
  <si>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</si>
  <si>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</si>
  <si>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</si>
  <si>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</si>
  <si>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</si>
  <si>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</si>
  <si>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</si>
  <si>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</si>
  <si>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</si>
  <si>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</si>
  <si>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</si>
  <si>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</si>
  <si>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</si>
  <si>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</si>
  <si>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</si>
  <si>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</si>
  <si>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</si>
  <si>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</si>
  <si>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</si>
  <si>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</si>
  <si>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</si>
  <si>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</si>
  <si>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</si>
  <si>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</si>
  <si>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</si>
  <si>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</si>
  <si>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</si>
  <si>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</si>
  <si>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</si>
  <si>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</si>
  <si>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</si>
  <si>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</si>
  <si>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</si>
  <si>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</si>
  <si>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</si>
  <si>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</si>
  <si>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</si>
  <si>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</si>
  <si>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</si>
  <si>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</si>
  <si>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</si>
  <si>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</si>
  <si>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</si>
  <si>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</si>
  <si>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</si>
  <si>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</si>
  <si>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</si>
  <si>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</si>
  <si>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</si>
  <si>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</si>
  <si>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</si>
  <si>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</si>
  <si>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</si>
  <si>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</si>
  <si>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</si>
  <si>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</si>
  <si>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</si>
  <si>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</si>
  <si>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</si>
  <si>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</si>
  <si>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</si>
  <si>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</si>
  <si>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</si>
  <si>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</si>
  <si>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</si>
  <si>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</si>
  <si>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</si>
  <si>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</si>
  <si>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</si>
  <si>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</si>
  <si>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</si>
  <si>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</si>
  <si>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</si>
  <si>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</si>
  <si>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</si>
  <si>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</si>
  <si>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</si>
  <si>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</si>
  <si>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</si>
  <si>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</si>
  <si>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</si>
  <si>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</si>
  <si>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</si>
  <si>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</si>
  <si>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</si>
  <si>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</si>
  <si>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</si>
  <si>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</si>
  <si>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</si>
  <si>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</si>
  <si>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</si>
  <si>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</si>
  <si>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</si>
  <si>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</si>
  <si>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</si>
  <si>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</si>
  <si>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</si>
  <si>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</si>
  <si>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</si>
  <si>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</si>
  <si>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</si>
  <si>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</si>
  <si>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</si>
  <si>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</si>
  <si>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</si>
  <si>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</si>
  <si>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</si>
  <si>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</si>
  <si>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</si>
  <si>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</si>
  <si>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</si>
  <si>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</si>
  <si>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</si>
  <si>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</si>
  <si>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</si>
  <si>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</si>
  <si>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</si>
  <si>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</si>
  <si>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</si>
  <si>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</si>
  <si>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</si>
  <si>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</si>
  <si>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</si>
  <si>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</si>
  <si>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</si>
  <si>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</si>
  <si>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</si>
  <si>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</si>
  <si>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</si>
  <si>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</si>
  <si>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</si>
  <si>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</si>
  <si>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</si>
  <si>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</si>
  <si>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</si>
  <si>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</si>
  <si>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</si>
  <si>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</si>
  <si>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</si>
  <si>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</si>
  <si>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</si>
  <si>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</si>
  <si>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</si>
  <si>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</si>
  <si>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</si>
  <si>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</si>
  <si>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</si>
  <si>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</si>
  <si>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</si>
  <si>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</si>
  <si>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</si>
  <si>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</si>
  <si>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</si>
  <si>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</si>
  <si>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</si>
  <si>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</si>
  <si>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</si>
  <si>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</si>
  <si>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</si>
  <si>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</si>
  <si>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</si>
  <si>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</si>
  <si>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</si>
  <si>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</si>
  <si>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</si>
  <si>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</si>
  <si>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</si>
  <si>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</si>
  <si>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</si>
  <si>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</si>
  <si>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</si>
  <si>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</si>
  <si>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</si>
  <si>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</si>
  <si>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</si>
  <si>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</si>
  <si>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</si>
  <si>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</si>
  <si>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</si>
  <si>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</si>
  <si>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</si>
  <si>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</si>
  <si>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</si>
  <si>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</si>
  <si>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</si>
  <si>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</si>
  <si>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</si>
  <si>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</si>
  <si>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</si>
  <si>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</si>
  <si>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</si>
  <si>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</si>
  <si>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</si>
  <si>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</si>
  <si>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</si>
  <si>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</si>
  <si>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</si>
  <si>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</si>
  <si>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</si>
  <si>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</si>
  <si>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</si>
  <si>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</si>
  <si>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</si>
  <si>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</si>
  <si>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</si>
  <si>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</si>
  <si>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</si>
  <si>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</si>
  <si>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</si>
  <si>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</si>
  <si>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</si>
  <si>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</si>
  <si>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</si>
  <si>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</si>
  <si>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</si>
  <si>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</si>
  <si>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</si>
  <si>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</si>
  <si>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</si>
  <si>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</si>
  <si>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</si>
  <si>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</si>
  <si>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</si>
  <si>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</si>
  <si>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</si>
  <si>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</si>
  <si>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</si>
  <si>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</si>
  <si>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</si>
  <si>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</si>
  <si>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</si>
  <si>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</si>
  <si>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</si>
  <si>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</si>
  <si>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</si>
  <si>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</si>
  <si>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</si>
  <si>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</si>
  <si>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</si>
  <si>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</si>
  <si>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</si>
  <si>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</si>
  <si>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</si>
  <si>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</si>
  <si>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</si>
  <si>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</si>
  <si>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</si>
  <si>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</si>
  <si>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</si>
  <si>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</si>
  <si>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</si>
  <si>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</si>
  <si>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</si>
  <si>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</si>
  <si>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</si>
  <si>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</si>
  <si>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</si>
  <si>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</si>
  <si>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</si>
  <si>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</si>
  <si>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</si>
  <si>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</si>
  <si>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</si>
  <si>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</si>
  <si>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</si>
  <si>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</si>
  <si>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</si>
  <si>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</si>
  <si>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</si>
  <si>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</si>
  <si>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</si>
  <si>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</si>
  <si>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</si>
  <si>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</si>
  <si>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</si>
  <si>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</si>
  <si>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</si>
  <si>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</si>
  <si>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</si>
  <si>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</si>
  <si>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</si>
  <si>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</si>
  <si>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</si>
  <si>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</si>
  <si>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</si>
  <si>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</si>
  <si>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</si>
  <si>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</si>
  <si>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</si>
  <si>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</si>
  <si>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</si>
  <si>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</si>
  <si>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</si>
  <si>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</si>
  <si>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</si>
  <si>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</si>
  <si>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</si>
  <si>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</si>
  <si>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</si>
  <si>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</si>
  <si>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</si>
  <si>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</si>
  <si>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</si>
  <si>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</si>
  <si>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</si>
  <si>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</si>
  <si>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</si>
  <si>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</si>
  <si>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</si>
  <si>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</si>
  <si>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</si>
  <si>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</si>
  <si>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</si>
  <si>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</si>
  <si>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</si>
  <si>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</si>
  <si>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</si>
  <si>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</si>
  <si>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</si>
  <si>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</si>
  <si>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</si>
  <si>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</si>
  <si>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</si>
  <si>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</si>
  <si>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</si>
  <si>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</si>
  <si>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</si>
  <si>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</si>
  <si>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</si>
  <si>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</si>
  <si>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</si>
  <si>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</si>
  <si>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</si>
  <si>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</si>
  <si>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</si>
  <si>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</si>
  <si>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</si>
  <si>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/>
  </si>
  <si>
    <t>06/30/2019</t>
  </si>
  <si>
    <t>2018</t>
  </si>
  <si>
    <t>032</t>
  </si>
  <si>
    <t>St.Joseph Medical Center</t>
  </si>
  <si>
    <t>1717 South J Street</t>
  </si>
  <si>
    <t>Tacoma, WA 98401</t>
  </si>
  <si>
    <t>Pierce</t>
  </si>
  <si>
    <t>Ketul Patel</t>
  </si>
  <si>
    <t>Mike Fitzgerald</t>
  </si>
  <si>
    <t>Roy Brooks</t>
  </si>
  <si>
    <t>253-426-4101</t>
  </si>
  <si>
    <t>Decrease in surgical volume while many expenses are fixed.</t>
  </si>
  <si>
    <t>Laboratory services for clinics transitioned to LabCorp in May 2018.</t>
  </si>
  <si>
    <t>Absorb more losses from physician business.</t>
  </si>
  <si>
    <t>$400K of these expenses are for dialysis services and will be reimbursed by Fresenius in FY20.</t>
  </si>
  <si>
    <t>Row Labels</t>
  </si>
  <si>
    <t>Inpatient Service Gross Rev</t>
  </si>
  <si>
    <t>Outpatient care services revenue</t>
  </si>
  <si>
    <t>Contractual Allowance</t>
  </si>
  <si>
    <t>Charity Care Allowance</t>
  </si>
  <si>
    <t>Provision for Doutful Account</t>
  </si>
  <si>
    <t>Contract Labor</t>
  </si>
  <si>
    <t>Benefits</t>
  </si>
  <si>
    <t>Medical Professional Fees</t>
  </si>
  <si>
    <t>Supplies Expenses</t>
  </si>
  <si>
    <t>Utilities expense</t>
  </si>
  <si>
    <t>Depreciation and amortization</t>
  </si>
  <si>
    <t>Nonoperating gains (losses) (Investment Inc)</t>
  </si>
  <si>
    <t>Purchase Services - Others</t>
  </si>
  <si>
    <t>Rentals and leases</t>
  </si>
  <si>
    <t>Grand Total</t>
  </si>
  <si>
    <t>Net Income</t>
  </si>
  <si>
    <t>Non-patient revenues were higher due to Stimulus funds received.</t>
  </si>
  <si>
    <t>Units of measure were lower due to Covid-19 pandemic.</t>
  </si>
  <si>
    <t>Decrease in volume but increase in costs.</t>
  </si>
  <si>
    <t>Impacted by the Covid-19 pandemic, units of measure were lowered while salaries and wages expense and professional fees were higher.</t>
  </si>
  <si>
    <t>Impacted by the Covid-19 pandemic, units of measure were lower while salaries and wages expense were higher.</t>
  </si>
  <si>
    <t>Impacted by the Covid-19 pandemic, units of measures were lower while contract services and miscellaneour purchases were higher.</t>
  </si>
  <si>
    <t>We shuffled mapping of our internal departments to DOH # 6070 making conparison between years difficult</t>
  </si>
  <si>
    <t>Uli Chi,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</si>
</sst>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_);[Red]\(#,##0.000\)"/>
    <numFmt numFmtId="168" formatCode="#,##0.0_);\(#,##0.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2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34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0" borderId="0" xfId="0" applyNumberFormat="1" applyFont="1" applyFill="1" applyProtection="1"/>
    <xf numFmtId="37" fontId="3" fillId="8" borderId="0" xfId="0" applyNumberFormat="1" applyFont="1" applyFill="1" applyProtection="1"/>
    <xf numFmtId="37" fontId="3" fillId="7" borderId="0" xfId="0" applyNumberFormat="1" applyFont="1" applyFill="1" applyProtection="1"/>
    <xf numFmtId="37" fontId="3" fillId="0" borderId="0" xfId="0" applyNumberFormat="1" applyFont="1" applyAlignment="1" applyProtection="1"/>
    <xf numFmtId="37" fontId="3" fillId="3" borderId="0" xfId="0" applyNumberFormat="1" applyFont="1" applyFill="1" applyAlignment="1" applyProtection="1">
      <alignment horizontal="center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3" quotePrefix="1" applyNumberFormat="1" applyFont="1" applyBorder="1" applyProtection="1">
      <protection locked="0"/>
    </xf>
    <xf numFmtId="39" fontId="9" fillId="0" borderId="1" xfId="3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37" fontId="3" fillId="3" borderId="0" xfId="0" applyNumberFormat="1" applyFont="1" applyFill="1" applyAlignment="1" applyProtection="1">
      <alignment horizontal="centerContinuous"/>
    </xf>
    <xf numFmtId="37" fontId="10" fillId="3" borderId="0" xfId="0" applyNumberFormat="1" applyFont="1" applyFill="1" applyProtection="1"/>
    <xf numFmtId="37" fontId="9" fillId="4" borderId="8" xfId="0" applyNumberFormat="1" applyFont="1" applyFill="1" applyBorder="1" applyProtection="1">
      <protection locked="0"/>
    </xf>
    <xf numFmtId="37" fontId="9" fillId="3" borderId="0" xfId="0" applyNumberFormat="1" applyFont="1" applyFill="1" applyAlignment="1" applyProtection="1">
      <alignment horizontal="centerContinuous"/>
    </xf>
    <xf numFmtId="37" fontId="9" fillId="4" borderId="1" xfId="0" applyNumberFormat="1" applyFont="1" applyFill="1" applyBorder="1" applyProtection="1">
      <protection locked="0"/>
    </xf>
    <xf numFmtId="37" fontId="9" fillId="0" borderId="1" xfId="0" applyNumberFormat="1" applyFont="1" applyFill="1" applyBorder="1" applyProtection="1">
      <protection locked="0"/>
    </xf>
    <xf numFmtId="37" fontId="3" fillId="3" borderId="0" xfId="0" quotePrefix="1" applyNumberFormat="1" applyFont="1" applyFill="1" applyAlignment="1" applyProtection="1">
      <alignment horizontal="centerContinuous"/>
    </xf>
    <xf numFmtId="37" fontId="9" fillId="3" borderId="0" xfId="0" applyNumberFormat="1" applyFont="1" applyFill="1" applyAlignment="1" applyProtection="1">
      <alignment horizontal="center"/>
    </xf>
    <xf numFmtId="37" fontId="9" fillId="3" borderId="0" xfId="0" applyNumberFormat="1" applyFont="1" applyFill="1" applyProtection="1"/>
    <xf numFmtId="38" fontId="9" fillId="0" borderId="1" xfId="0" applyNumberFormat="1" applyFont="1" applyFill="1" applyBorder="1" applyProtection="1">
      <protection locked="0"/>
    </xf>
    <xf numFmtId="43" fontId="0" fillId="0" borderId="0" xfId="1" applyFont="1" applyProtection="1"/>
    <xf numFmtId="43" fontId="3" fillId="0" borderId="0" xfId="1" applyFont="1" applyProtection="1"/>
    <xf numFmtId="37" fontId="3" fillId="3" borderId="0" xfId="0" applyNumberFormat="1" applyFont="1" applyFill="1" applyAlignment="1" applyProtection="1">
      <alignment horizontal="right"/>
    </xf>
    <xf numFmtId="167" fontId="9" fillId="4" borderId="1" xfId="0" applyNumberFormat="1" applyFont="1" applyFill="1" applyBorder="1" applyProtection="1">
      <protection locked="0"/>
    </xf>
    <xf numFmtId="167" fontId="3" fillId="3" borderId="0" xfId="0" applyNumberFormat="1" applyFont="1" applyFill="1" applyProtection="1"/>
    <xf numFmtId="167" fontId="9" fillId="3" borderId="0" xfId="0" applyNumberFormat="1" applyFont="1" applyFill="1" applyAlignment="1" applyProtection="1">
      <alignment horizontal="centerContinuous"/>
    </xf>
    <xf numFmtId="167" fontId="9" fillId="3" borderId="8" xfId="0" applyNumberFormat="1" applyFont="1" applyFill="1" applyBorder="1" applyAlignment="1" applyProtection="1">
      <alignment horizontal="center"/>
      <protection locked="0"/>
    </xf>
    <xf numFmtId="167" fontId="9" fillId="4" borderId="1" xfId="0" applyNumberFormat="1" applyFont="1" applyFill="1" applyBorder="1" applyAlignment="1" applyProtection="1">
      <alignment horizontal="center"/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3" fillId="0" borderId="0" xfId="0" applyNumberFormat="1" applyFont="1" applyAlignment="1" applyProtection="1">
      <alignment horizontal="center"/>
    </xf>
    <xf numFmtId="37" fontId="3" fillId="0" borderId="0" xfId="0" applyNumberFormat="1" applyFont="1" applyFill="1" applyAlignment="1" applyProtection="1"/>
    <xf numFmtId="37" fontId="3" fillId="0" borderId="0" xfId="0" quotePrefix="1" applyNumberFormat="1" applyFont="1" applyAlignment="1" applyProtection="1">
      <alignment horizontal="fill"/>
    </xf>
    <xf numFmtId="37" fontId="3" fillId="0" borderId="0" xfId="1" applyNumberFormat="1" applyFont="1" applyFill="1" applyAlignment="1" applyProtection="1"/>
    <xf numFmtId="37" fontId="3" fillId="0" borderId="0" xfId="0" quotePrefix="1" applyNumberFormat="1" applyFont="1" applyAlignment="1" applyProtection="1">
      <alignment horizontal="center"/>
    </xf>
    <xf numFmtId="37" fontId="3" fillId="0" borderId="0" xfId="0" quotePrefix="1" applyFont="1" applyFill="1" applyAlignment="1" applyProtection="1"/>
    <xf numFmtId="37" fontId="3" fillId="0" borderId="0" xfId="0" quotePrefix="1" applyNumberFormat="1" applyFont="1" applyFill="1" applyAlignment="1" applyProtection="1"/>
    <xf numFmtId="2" fontId="3" fillId="0" borderId="0" xfId="0" applyNumberFormat="1" applyFont="1" applyFill="1" applyProtection="1"/>
    <xf numFmtId="2" fontId="3" fillId="0" borderId="0" xfId="0" applyNumberFormat="1" applyFont="1" applyFill="1" applyAlignment="1" applyProtection="1"/>
    <xf numFmtId="10" fontId="3" fillId="0" borderId="0" xfId="0" applyNumberFormat="1" applyFont="1" applyFill="1" applyProtection="1"/>
    <xf numFmtId="37" fontId="3" fillId="0" borderId="0" xfId="0" applyFont="1" applyFill="1" applyProtection="1">
      <protection locked="0"/>
    </xf>
    <xf numFmtId="1" fontId="3" fillId="0" borderId="0" xfId="0" applyNumberFormat="1" applyFont="1" applyFill="1" applyAlignment="1" applyProtection="1">
      <alignment horizontal="center"/>
    </xf>
    <xf numFmtId="37" fontId="3" fillId="0" borderId="0" xfId="0" quotePrefix="1" applyNumberFormat="1" applyFont="1" applyAlignment="1" applyProtection="1"/>
    <xf numFmtId="9" fontId="3" fillId="0" borderId="0" xfId="3" applyFont="1" applyProtection="1"/>
    <xf numFmtId="37" fontId="3" fillId="0" borderId="0" xfId="0" applyNumberFormat="1" applyFont="1" applyFill="1" applyAlignment="1" applyProtection="1">
      <alignment horizontal="center"/>
    </xf>
    <xf numFmtId="37" fontId="3" fillId="0" borderId="0" xfId="0" applyFont="1" applyFill="1" applyAlignment="1" applyProtection="1">
      <alignment horizontal="center"/>
    </xf>
    <xf numFmtId="37" fontId="3" fillId="0" borderId="0" xfId="0" quotePrefix="1" applyFont="1" applyFill="1" applyProtection="1">
      <protection locked="0"/>
    </xf>
    <xf numFmtId="37" fontId="9" fillId="0" borderId="0" xfId="0" applyNumberFormat="1" applyFont="1" applyProtection="1"/>
    <xf numFmtId="37" fontId="3" fillId="2" borderId="0" xfId="0" applyNumberFormat="1" applyFont="1" applyFill="1" applyAlignment="1" applyProtection="1">
      <alignment horizontal="right"/>
    </xf>
    <xf numFmtId="37" fontId="3" fillId="2" borderId="0" xfId="0" applyNumberFormat="1" applyFont="1" applyFill="1" applyAlignment="1" applyProtection="1">
      <alignment horizontal="center"/>
    </xf>
    <xf numFmtId="37" fontId="3" fillId="0" borderId="0" xfId="0" applyNumberFormat="1" applyFont="1" applyAlignment="1" applyProtection="1">
      <alignment horizontal="right"/>
    </xf>
    <xf numFmtId="37" fontId="0" fillId="0" borderId="0" xfId="0" applyAlignment="1">
      <alignment horizontal="left"/>
    </xf>
    <xf numFmtId="43" fontId="0" fillId="0" borderId="0" xfId="0" applyNumberFormat="1"/>
    <xf numFmtId="37" fontId="0" fillId="8" borderId="0" xfId="0" applyFill="1" applyAlignment="1">
      <alignment horizontal="left"/>
    </xf>
    <xf numFmtId="43" fontId="0" fillId="8" borderId="0" xfId="0" applyNumberFormat="1" applyFill="1"/>
    <xf numFmtId="37" fontId="0" fillId="0" borderId="0" xfId="0" applyNumberFormat="1"/>
    <xf numFmtId="168" fontId="0" fillId="0" borderId="0" xfId="0" applyNumberFormat="1"/>
    <xf numFmtId="37" fontId="15" fillId="9" borderId="0" xfId="0" applyFont="1" applyFill="1"/>
    <xf numFmtId="43" fontId="15" fillId="9" borderId="0" xfId="0" applyNumberFormat="1" applyFont="1" applyFill="1"/>
    <xf numFmtId="37" fontId="15" fillId="0" borderId="0" xfId="0" applyFont="1"/>
    <xf numFmtId="37" fontId="0" fillId="0" borderId="0" xfId="0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37" zoomScale="75" zoomScaleNormal="75" workbookViewId="0">
      <pane xSplit="1" ySplit="10" topLeftCell="B47" activePane="bottomRight" state="frozen"/>
      <selection activeCell="A37" sqref="A37"/>
      <selection pane="topRight" activeCell="B37" sqref="B37"/>
      <selection pane="bottomLeft" activeCell="A47" sqref="A47"/>
      <selection pane="bottomRight" activeCell="F90" sqref="F90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">
      <c r="A3" s="199"/>
      <c r="C3" s="234"/>
    </row>
    <row r="4" spans="1:6" ht="12.75" customHeight="1" x14ac:dyDescent="0.2">
      <c r="C4" s="234"/>
    </row>
    <row r="5" spans="1:6" ht="12.75" customHeight="1" x14ac:dyDescent="0.2">
      <c r="A5" s="199" t="s">
        <v>1258</v>
      </c>
      <c r="C5" s="234"/>
    </row>
    <row r="6" spans="1:6" ht="12.75" customHeight="1" x14ac:dyDescent="0.2">
      <c r="A6" s="199" t="s">
        <v>0</v>
      </c>
      <c r="C6" s="234"/>
    </row>
    <row r="7" spans="1:6" ht="12.75" customHeight="1" x14ac:dyDescent="0.2">
      <c r="A7" s="199" t="s">
        <v>1</v>
      </c>
      <c r="C7" s="234"/>
    </row>
    <row r="8" spans="1:6" ht="12.75" customHeight="1" x14ac:dyDescent="0.2">
      <c r="C8" s="234"/>
    </row>
    <row r="9" spans="1:6" ht="12.75" customHeight="1" x14ac:dyDescent="0.2">
      <c r="C9" s="234"/>
    </row>
    <row r="10" spans="1:6" ht="12.75" customHeight="1" x14ac:dyDescent="0.2">
      <c r="A10" s="198" t="s">
        <v>1228</v>
      </c>
      <c r="C10" s="234"/>
    </row>
    <row r="11" spans="1:6" ht="12.75" customHeight="1" x14ac:dyDescent="0.2">
      <c r="A11" s="198" t="s">
        <v>1231</v>
      </c>
      <c r="C11" s="234"/>
    </row>
    <row r="12" spans="1:6" ht="12.75" customHeight="1" x14ac:dyDescent="0.2">
      <c r="C12" s="234"/>
    </row>
    <row r="13" spans="1:6" ht="12.75" customHeight="1" x14ac:dyDescent="0.2">
      <c r="C13" s="234"/>
    </row>
    <row r="14" spans="1:6" ht="12.75" customHeight="1" x14ac:dyDescent="0.2">
      <c r="A14" s="199" t="s">
        <v>2</v>
      </c>
      <c r="C14" s="234"/>
    </row>
    <row r="15" spans="1:6" ht="12.75" customHeight="1" x14ac:dyDescent="0.2">
      <c r="A15" s="199"/>
      <c r="C15" s="234"/>
    </row>
    <row r="16" spans="1:6" ht="12.75" customHeight="1" x14ac:dyDescent="0.2">
      <c r="A16" s="180" t="s">
        <v>1260</v>
      </c>
      <c r="C16" s="234"/>
      <c r="F16" s="281" t="s">
        <v>1259</v>
      </c>
    </row>
    <row r="17" spans="1:6" ht="12.75" customHeight="1" x14ac:dyDescent="0.2">
      <c r="A17" s="180" t="s">
        <v>1230</v>
      </c>
      <c r="C17" s="281" t="s">
        <v>1259</v>
      </c>
    </row>
    <row r="18" spans="1:6" ht="12.75" customHeight="1" x14ac:dyDescent="0.2">
      <c r="A18" s="226"/>
      <c r="C18" s="234"/>
    </row>
    <row r="19" spans="1:6" ht="12.75" customHeight="1" x14ac:dyDescent="0.2">
      <c r="C19" s="234"/>
    </row>
    <row r="20" spans="1:6" ht="12.75" customHeight="1" x14ac:dyDescent="0.2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">
      <c r="A21" s="199"/>
      <c r="C21" s="234"/>
    </row>
    <row r="22" spans="1:6" ht="12.6" customHeight="1" x14ac:dyDescent="0.2">
      <c r="A22" s="235" t="s">
        <v>1254</v>
      </c>
      <c r="B22" s="236"/>
      <c r="C22" s="237"/>
      <c r="D22" s="235"/>
      <c r="E22" s="235"/>
    </row>
    <row r="23" spans="1:6" ht="12.6" customHeight="1" x14ac:dyDescent="0.2">
      <c r="B23" s="199"/>
      <c r="C23" s="234"/>
    </row>
    <row r="24" spans="1:6" ht="12.6" customHeight="1" x14ac:dyDescent="0.2">
      <c r="A24" s="238" t="s">
        <v>3</v>
      </c>
      <c r="C24" s="234"/>
    </row>
    <row r="25" spans="1:6" ht="12.6" customHeight="1" x14ac:dyDescent="0.2">
      <c r="A25" s="198" t="s">
        <v>1235</v>
      </c>
      <c r="C25" s="234"/>
    </row>
    <row r="26" spans="1:6" ht="12.6" customHeight="1" x14ac:dyDescent="0.2">
      <c r="A26" s="199" t="s">
        <v>4</v>
      </c>
      <c r="C26" s="234"/>
    </row>
    <row r="27" spans="1:6" ht="12.6" customHeight="1" x14ac:dyDescent="0.2">
      <c r="A27" s="198" t="s">
        <v>1236</v>
      </c>
      <c r="C27" s="234"/>
    </row>
    <row r="28" spans="1:6" ht="12.6" customHeight="1" x14ac:dyDescent="0.2">
      <c r="A28" s="199" t="s">
        <v>5</v>
      </c>
      <c r="C28" s="234"/>
    </row>
    <row r="29" spans="1:6" ht="12.6" customHeight="1" x14ac:dyDescent="0.2">
      <c r="A29" s="198"/>
      <c r="C29" s="234"/>
    </row>
    <row r="30" spans="1:6" ht="12.6" customHeight="1" x14ac:dyDescent="0.2">
      <c r="A30" s="180" t="s">
        <v>6</v>
      </c>
      <c r="C30" s="234"/>
    </row>
    <row r="31" spans="1:6" ht="12.6" customHeight="1" x14ac:dyDescent="0.2">
      <c r="A31" s="199" t="s">
        <v>7</v>
      </c>
      <c r="C31" s="234"/>
    </row>
    <row r="32" spans="1:6" ht="12.6" customHeight="1" x14ac:dyDescent="0.2">
      <c r="A32" s="199" t="s">
        <v>8</v>
      </c>
      <c r="C32" s="234"/>
    </row>
    <row r="33" spans="1:83" ht="12.6" customHeight="1" x14ac:dyDescent="0.2">
      <c r="A33" s="198" t="s">
        <v>1237</v>
      </c>
      <c r="C33" s="234"/>
    </row>
    <row r="34" spans="1:83" ht="12.6" customHeight="1" x14ac:dyDescent="0.2">
      <c r="A34" s="199" t="s">
        <v>9</v>
      </c>
      <c r="C34" s="234"/>
    </row>
    <row r="35" spans="1:83" ht="12.6" customHeight="1" x14ac:dyDescent="0.2">
      <c r="A35" s="199"/>
      <c r="C35" s="234"/>
    </row>
    <row r="36" spans="1:83" ht="12.6" customHeight="1" x14ac:dyDescent="0.2">
      <c r="A36" s="198" t="s">
        <v>1238</v>
      </c>
      <c r="C36" s="234"/>
    </row>
    <row r="37" spans="1:83" ht="12.6" customHeight="1" x14ac:dyDescent="0.2">
      <c r="A37" s="199" t="s">
        <v>1229</v>
      </c>
      <c r="C37" s="234"/>
    </row>
    <row r="38" spans="1:83" ht="12" customHeight="1" x14ac:dyDescent="0.2">
      <c r="A38" s="198"/>
      <c r="C38" s="234"/>
    </row>
    <row r="39" spans="1:83" ht="12.6" customHeight="1" x14ac:dyDescent="0.2">
      <c r="A39" s="199"/>
      <c r="C39" s="234"/>
    </row>
    <row r="40" spans="1:83" ht="12" customHeight="1" x14ac:dyDescent="0.2">
      <c r="A40" s="199"/>
      <c r="C40" s="234"/>
    </row>
    <row r="41" spans="1:83" ht="12" customHeight="1" x14ac:dyDescent="0.2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">
      <c r="A43" s="199"/>
      <c r="C43" s="234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f>'SJ data'!$I$51</f>
        <v>78092502.580000028</v>
      </c>
      <c r="C47" s="184">
        <f>IF(ISERR(VLOOKUP(VALUE(C$44),'SJ data'!$A$2:$R$99,9,0)="TRUE"),0,VLOOKUP(VALUE(C$44),'SJ data'!$A$2:$R$99,9,0))</f>
        <v>4792558.0199999996</v>
      </c>
      <c r="D47" s="184">
        <f>IF(ISERR(VLOOKUP(VALUE(D$44),'SJ data'!$A$2:$R$99,9,0)="TRUE"),0,VLOOKUP(VALUE(D$44),'SJ data'!$A$2:$R$99,9,0))</f>
        <v>0</v>
      </c>
      <c r="E47" s="184">
        <f>IF(ISERR(VLOOKUP(VALUE(E$44),'SJ data'!$A$2:$R$99,9,0)="TRUE"),0,VLOOKUP(VALUE(E$44),'SJ data'!$A$2:$R$99,9,0))</f>
        <v>13998375.93</v>
      </c>
      <c r="F47" s="184">
        <f>IF(ISERR(VLOOKUP(VALUE(F$44),'SJ data'!$A$2:$R$99,9,0)="TRUE"),0,VLOOKUP(VALUE(F$44),'SJ data'!$A$2:$R$99,9,0))</f>
        <v>0</v>
      </c>
      <c r="G47" s="184">
        <f>IF(ISERR(VLOOKUP(VALUE(G$44),'SJ data'!$A$2:$R$99,9,0)="TRUE"),0,VLOOKUP(VALUE(G$44),'SJ data'!$A$2:$R$99,9,0))</f>
        <v>0</v>
      </c>
      <c r="H47" s="184">
        <f>IF(ISERR(VLOOKUP(VALUE(H$44),'SJ data'!$A$2:$R$99,9,0)="TRUE"),0,VLOOKUP(VALUE(H$44),'SJ data'!$A$2:$R$99,9,0))</f>
        <v>14.83</v>
      </c>
      <c r="I47" s="184">
        <f>IF(ISERR(VLOOKUP(VALUE(I$44),'SJ data'!$A$2:$R$99,9,0)="TRUE"),0,VLOOKUP(VALUE(I$44),'SJ data'!$A$2:$R$99,9,0))</f>
        <v>0</v>
      </c>
      <c r="J47" s="184">
        <f>IF(ISERR(VLOOKUP(VALUE(J$44),'SJ data'!$A$2:$R$99,9,0)="TRUE"),0,VLOOKUP(VALUE(J$44),'SJ data'!$A$2:$R$99,9,0))</f>
        <v>1475396.6300000004</v>
      </c>
      <c r="K47" s="184">
        <f>IF(ISERR(VLOOKUP(VALUE(K$44),'SJ data'!$A$2:$R$99,9,0)="TRUE"),0,VLOOKUP(VALUE(K$44),'SJ data'!$A$2:$R$99,9,0))</f>
        <v>0</v>
      </c>
      <c r="L47" s="184">
        <f>IF(ISERR(VLOOKUP(VALUE(L$44),'SJ data'!$A$2:$R$99,9,0)="TRUE"),0,VLOOKUP(VALUE(L$44),'SJ data'!$A$2:$R$99,9,0))</f>
        <v>0</v>
      </c>
      <c r="M47" s="184">
        <f>IF(ISERR(VLOOKUP(VALUE(M$44),'SJ data'!$A$2:$R$99,9,0)="TRUE"),0,VLOOKUP(VALUE(M$44),'SJ data'!$A$2:$R$99,9,0))</f>
        <v>0</v>
      </c>
      <c r="N47" s="184">
        <f>IF(ISERR(VLOOKUP(VALUE(N$44),'SJ data'!$A$2:$R$99,9,0)="TRUE"),0,VLOOKUP(VALUE(N$44),'SJ data'!$A$2:$R$99,9,0))</f>
        <v>0</v>
      </c>
      <c r="O47" s="184">
        <f>IF(ISERR(VLOOKUP(VALUE(O$44),'SJ data'!$A$2:$R$99,9,0)="TRUE"),0,VLOOKUP(VALUE(O$44),'SJ data'!$A$2:$R$99,9,0))</f>
        <v>3730095.9800000004</v>
      </c>
      <c r="P47" s="184">
        <f>IF(ISERR(VLOOKUP(VALUE(P$44),'SJ data'!$A$2:$R$99,9,0)="TRUE"),0,VLOOKUP(VALUE(P$44),'SJ data'!$A$2:$R$99,9,0))</f>
        <v>5804693.5600000005</v>
      </c>
      <c r="Q47" s="184">
        <f>IF(ISERR(VLOOKUP(VALUE(Q$44),'SJ data'!$A$2:$R$99,9,0)="TRUE"),0,VLOOKUP(VALUE(Q$44),'SJ data'!$A$2:$R$99,9,0))</f>
        <v>509138.47</v>
      </c>
      <c r="R47" s="184">
        <f>IF(ISERR(VLOOKUP(VALUE(R$44),'SJ data'!$A$2:$R$99,9,0)="TRUE"),0,VLOOKUP(VALUE(R$44),'SJ data'!$A$2:$R$99,9,0))</f>
        <v>0</v>
      </c>
      <c r="S47" s="184">
        <f>IF(ISERR(VLOOKUP(VALUE(S$44),'SJ data'!$A$2:$R$99,9,0)="TRUE"),0,VLOOKUP(VALUE(S$44),'SJ data'!$A$2:$R$99,9,0))</f>
        <v>809251.54999999993</v>
      </c>
      <c r="T47" s="184">
        <f>IF(ISERR(VLOOKUP(VALUE(T$44),'SJ data'!$A$2:$R$99,9,0)="TRUE"),0,VLOOKUP(VALUE(T$44),'SJ data'!$A$2:$R$99,9,0))</f>
        <v>386351.89999999997</v>
      </c>
      <c r="U47" s="184">
        <f>IF(ISERR(VLOOKUP(VALUE(U$44),'SJ data'!$A$2:$R$99,9,0)="TRUE"),0,VLOOKUP(VALUE(U$44),'SJ data'!$A$2:$R$99,9,0))</f>
        <v>2071463.1199999999</v>
      </c>
      <c r="V47" s="184">
        <f>IF(ISERR(VLOOKUP(VALUE(V$44),'SJ data'!$A$2:$R$99,9,0)="TRUE"),0,VLOOKUP(VALUE(V$44),'SJ data'!$A$2:$R$99,9,0))</f>
        <v>604228.63</v>
      </c>
      <c r="W47" s="184">
        <f>IF(ISERR(VLOOKUP(VALUE(W$44),'SJ data'!$A$2:$R$99,9,0)="TRUE"),0,VLOOKUP(VALUE(W$44),'SJ data'!$A$2:$R$99,9,0))</f>
        <v>228622.25</v>
      </c>
      <c r="X47" s="184">
        <f>IF(ISERR(VLOOKUP(VALUE(X$44),'SJ data'!$A$2:$R$99,9,0)="TRUE"),0,VLOOKUP(VALUE(X$44),'SJ data'!$A$2:$R$99,9,0))</f>
        <v>274821.71000000002</v>
      </c>
      <c r="Y47" s="184">
        <f>IF(ISERR(VLOOKUP(VALUE(Y$44),'SJ data'!$A$2:$R$99,9,0)="TRUE"),0,VLOOKUP(VALUE(Y$44),'SJ data'!$A$2:$R$99,9,0))</f>
        <v>1360259.19</v>
      </c>
      <c r="Z47" s="184">
        <f>IF(ISERR(VLOOKUP(VALUE(Z$44),'SJ data'!$A$2:$R$99,9,0)="TRUE"),0,VLOOKUP(VALUE(Z$44),'SJ data'!$A$2:$R$99,9,0))</f>
        <v>0</v>
      </c>
      <c r="AA47" s="184">
        <f>IF(ISERR(VLOOKUP(VALUE(AA$44),'SJ data'!$A$2:$R$99,9,0)="TRUE"),0,VLOOKUP(VALUE(AA$44),'SJ data'!$A$2:$R$99,9,0))</f>
        <v>163904.46000000002</v>
      </c>
      <c r="AB47" s="184">
        <f>IF(ISERR(VLOOKUP(VALUE(AB$44),'SJ data'!$A$2:$R$99,9,0)="TRUE"),0,VLOOKUP(VALUE(AB$44),'SJ data'!$A$2:$R$99,9,0))</f>
        <v>2257146.8099999996</v>
      </c>
      <c r="AC47" s="184">
        <f>IF(ISERR(VLOOKUP(VALUE(AC$44),'SJ data'!$A$2:$R$99,9,0)="TRUE"),0,VLOOKUP(VALUE(AC$44),'SJ data'!$A$2:$R$99,9,0))</f>
        <v>741759.07000000007</v>
      </c>
      <c r="AD47" s="184">
        <f>IF(ISERR(VLOOKUP(VALUE(AD$44),'SJ data'!$A$2:$R$99,9,0)="TRUE"),0,VLOOKUP(VALUE(AD$44),'SJ data'!$A$2:$R$99,9,0))</f>
        <v>32601.230000000003</v>
      </c>
      <c r="AE47" s="184">
        <f>IF(ISERR(VLOOKUP(VALUE(AE$44),'SJ data'!$A$2:$R$99,9,0)="TRUE"),0,VLOOKUP(VALUE(AE$44),'SJ data'!$A$2:$R$99,9,0))</f>
        <v>1060999.45</v>
      </c>
      <c r="AF47" s="184">
        <f>IF(ISERR(VLOOKUP(VALUE(AF$44),'SJ data'!$A$2:$R$99,9,0)="TRUE"),0,VLOOKUP(VALUE(AF$44),'SJ data'!$A$2:$R$99,9,0))</f>
        <v>0</v>
      </c>
      <c r="AG47" s="184">
        <f>IF(ISERR(VLOOKUP(VALUE(AG$44),'SJ data'!$A$2:$R$99,9,0)="TRUE"),0,VLOOKUP(VALUE(AG$44),'SJ data'!$A$2:$R$99,9,0))</f>
        <v>2105439.9700000002</v>
      </c>
      <c r="AH47" s="184">
        <f>IF(ISERR(VLOOKUP(VALUE(AH$44),'SJ data'!$A$2:$R$99,9,0)="TRUE"),0,VLOOKUP(VALUE(AH$44),'SJ data'!$A$2:$R$99,9,0))</f>
        <v>0</v>
      </c>
      <c r="AI47" s="184">
        <f>IF(ISERR(VLOOKUP(VALUE(AI$44),'SJ data'!$A$2:$R$99,9,0)="TRUE"),0,VLOOKUP(VALUE(AI$44),'SJ data'!$A$2:$R$99,9,0))</f>
        <v>0</v>
      </c>
      <c r="AJ47" s="184">
        <f>IF(ISERR(VLOOKUP(VALUE(AJ$44),'SJ data'!$A$2:$R$99,9,0)="TRUE"),0,VLOOKUP(VALUE(AJ$44),'SJ data'!$A$2:$R$99,9,0))</f>
        <v>18328787.379999999</v>
      </c>
      <c r="AK47" s="184">
        <f>IF(ISERR(VLOOKUP(VALUE(AK$44),'SJ data'!$A$2:$R$99,9,0)="TRUE"),0,VLOOKUP(VALUE(AK$44),'SJ data'!$A$2:$R$99,9,0))</f>
        <v>419256.10000000003</v>
      </c>
      <c r="AL47" s="184">
        <f>IF(ISERR(VLOOKUP(VALUE(AL$44),'SJ data'!$A$2:$R$99,9,0)="TRUE"),0,VLOOKUP(VALUE(AL$44),'SJ data'!$A$2:$R$99,9,0))</f>
        <v>132769.43</v>
      </c>
      <c r="AM47" s="184">
        <f>IF(ISERR(VLOOKUP(VALUE(AM$44),'SJ data'!$A$2:$R$99,9,0)="TRUE"),0,VLOOKUP(VALUE(AM$44),'SJ data'!$A$2:$R$99,9,0))</f>
        <v>0</v>
      </c>
      <c r="AN47" s="184">
        <f>IF(ISERR(VLOOKUP(VALUE(AN$44),'SJ data'!$A$2:$R$99,9,0)="TRUE"),0,VLOOKUP(VALUE(AN$44),'SJ data'!$A$2:$R$99,9,0))</f>
        <v>0</v>
      </c>
      <c r="AO47" s="184">
        <f>IF(ISERR(VLOOKUP(VALUE(AO$44),'SJ data'!$A$2:$R$99,9,0)="TRUE"),0,VLOOKUP(VALUE(AO$44),'SJ data'!$A$2:$R$99,9,0))</f>
        <v>0</v>
      </c>
      <c r="AP47" s="184">
        <f>IF(ISERR(VLOOKUP(VALUE(AP$44),'SJ data'!$A$2:$R$99,9,0)="TRUE"),0,VLOOKUP(VALUE(AP$44),'SJ data'!$A$2:$R$99,9,0))</f>
        <v>0</v>
      </c>
      <c r="AQ47" s="184">
        <f>IF(ISERR(VLOOKUP(VALUE(AQ$44),'SJ data'!$A$2:$R$99,9,0)="TRUE"),0,VLOOKUP(VALUE(AQ$44),'SJ data'!$A$2:$R$99,9,0))</f>
        <v>0</v>
      </c>
      <c r="AR47" s="184">
        <f>IF(ISERR(VLOOKUP(VALUE(AR$44),'SJ data'!$A$2:$R$99,9,0)="TRUE"),0,VLOOKUP(VALUE(AR$44),'SJ data'!$A$2:$R$99,9,0))</f>
        <v>8595796.5199999996</v>
      </c>
      <c r="AS47" s="184">
        <f>IF(ISERR(VLOOKUP(VALUE(AS$44),'SJ data'!$A$2:$R$99,9,0)="TRUE"),0,VLOOKUP(VALUE(AS$44),'SJ data'!$A$2:$R$99,9,0))</f>
        <v>0</v>
      </c>
      <c r="AT47" s="184">
        <f>IF(ISERR(VLOOKUP(VALUE(AT$44),'SJ data'!$A$2:$R$99,9,0)="TRUE"),0,VLOOKUP(VALUE(AT$44),'SJ data'!$A$2:$R$99,9,0))</f>
        <v>0</v>
      </c>
      <c r="AU47" s="184">
        <f>IF(ISERR(VLOOKUP(VALUE(AU$44),'SJ data'!$A$2:$R$99,9,0)="TRUE"),0,VLOOKUP(VALUE(AU$44),'SJ data'!$A$2:$R$99,9,0))</f>
        <v>0</v>
      </c>
      <c r="AV47" s="184">
        <f>IF(ISERR(VLOOKUP(VALUE(AV$44),'SJ data'!$A$2:$R$99,9,0)="TRUE"),0,VLOOKUP(VALUE(AV$44),'SJ data'!$A$2:$R$99,9,0))</f>
        <v>971685.42999999993</v>
      </c>
      <c r="AW47" s="184">
        <f>IF(ISERR(VLOOKUP(VALUE(AW$44),'SJ data'!$A$2:$R$99,9,0)="TRUE"),0,VLOOKUP(VALUE(AW$44),'SJ data'!$A$2:$R$99,9,0))</f>
        <v>0</v>
      </c>
      <c r="AX47" s="184">
        <f>IF(ISERR(VLOOKUP(VALUE(AX$44),'SJ data'!$A$2:$R$99,9,0)="TRUE"),0,VLOOKUP(VALUE(AX$44),'SJ data'!$A$2:$R$99,9,0))</f>
        <v>0</v>
      </c>
      <c r="AY47" s="184">
        <f>IF(ISERR(VLOOKUP(VALUE(AY$44),'SJ data'!$A$2:$R$99,9,0)="TRUE"),0,VLOOKUP(VALUE(AY$44),'SJ data'!$A$2:$R$99,9,0))</f>
        <v>0</v>
      </c>
      <c r="AZ47" s="184">
        <f>IF(ISERR(VLOOKUP(VALUE(AZ$44),'SJ data'!$A$2:$R$99,9,0)="TRUE"),0,VLOOKUP(VALUE(AZ$44),'SJ data'!$A$2:$R$99,9,0))</f>
        <v>2214511.2000000002</v>
      </c>
      <c r="BA47" s="184">
        <f>IF(ISERR(VLOOKUP(VALUE(BA$44),'SJ data'!$A$2:$R$99,9,0)="TRUE"),0,VLOOKUP(VALUE(BA$44),'SJ data'!$A$2:$R$99,9,0))</f>
        <v>97070.090000000011</v>
      </c>
      <c r="BB47" s="184">
        <f>IF(ISERR(VLOOKUP(VALUE(BB$44),'SJ data'!$A$2:$R$99,9,0)="TRUE"),0,VLOOKUP(VALUE(BB$44),'SJ data'!$A$2:$R$99,9,0))</f>
        <v>0</v>
      </c>
      <c r="BC47" s="184">
        <f>IF(ISERR(VLOOKUP(VALUE(BC$44),'SJ data'!$A$2:$R$99,9,0)="TRUE"),0,VLOOKUP(VALUE(BC$44),'SJ data'!$A$2:$R$99,9,0))</f>
        <v>228317.06000000003</v>
      </c>
      <c r="BD47" s="184">
        <f>IF(ISERR(VLOOKUP(VALUE(BD$44),'SJ data'!$A$2:$R$99,9,0)="TRUE"),0,VLOOKUP(VALUE(BD$44),'SJ data'!$A$2:$R$99,9,0))</f>
        <v>0</v>
      </c>
      <c r="BE47" s="184">
        <f>IF(ISERR(VLOOKUP(VALUE(BE$44),'SJ data'!$A$2:$R$99,9,0)="TRUE"),0,VLOOKUP(VALUE(BE$44),'SJ data'!$A$2:$R$99,9,0))</f>
        <v>431718.32999999996</v>
      </c>
      <c r="BF47" s="184">
        <f>IF(ISERR(VLOOKUP(VALUE(BF$44),'SJ data'!$A$2:$R$99,9,0)="TRUE"),0,VLOOKUP(VALUE(BF$44),'SJ data'!$A$2:$R$99,9,0))</f>
        <v>1930826.4400000002</v>
      </c>
      <c r="BG47" s="184">
        <f>IF(ISERR(VLOOKUP(VALUE(BG$44),'SJ data'!$A$2:$R$99,9,0)="TRUE"),0,VLOOKUP(VALUE(BG$44),'SJ data'!$A$2:$R$99,9,0))</f>
        <v>0</v>
      </c>
      <c r="BH47" s="184">
        <f>IF(ISERR(VLOOKUP(VALUE(BH$44),'SJ data'!$A$2:$R$99,9,0)="TRUE"),0,VLOOKUP(VALUE(BH$44),'SJ data'!$A$2:$R$99,9,0))</f>
        <v>0</v>
      </c>
      <c r="BI47" s="184">
        <f>IF(ISERR(VLOOKUP(VALUE(BI$44),'SJ data'!$A$2:$R$99,9,0)="TRUE"),0,VLOOKUP(VALUE(BI$44),'SJ data'!$A$2:$R$99,9,0))</f>
        <v>0</v>
      </c>
      <c r="BJ47" s="184">
        <f>IF(ISERR(VLOOKUP(VALUE(BJ$44),'SJ data'!$A$2:$R$99,9,0)="TRUE"),0,VLOOKUP(VALUE(BJ$44),'SJ data'!$A$2:$R$99,9,0))</f>
        <v>0</v>
      </c>
      <c r="BK47" s="184">
        <f>IF(ISERR(VLOOKUP(VALUE(BK$44),'SJ data'!$A$2:$R$99,9,0)="TRUE"),0,VLOOKUP(VALUE(BK$44),'SJ data'!$A$2:$R$99,9,0))</f>
        <v>0</v>
      </c>
      <c r="BL47" s="184">
        <f>IF(ISERR(VLOOKUP(VALUE(BL$44),'SJ data'!$A$2:$R$99,9,0)="TRUE"),0,VLOOKUP(VALUE(BL$44),'SJ data'!$A$2:$R$99,9,0))</f>
        <v>0</v>
      </c>
      <c r="BM47" s="184">
        <f>IF(ISERR(VLOOKUP(VALUE(BM$44),'SJ data'!$A$2:$R$99,9,0)="TRUE"),0,VLOOKUP(VALUE(BM$44),'SJ data'!$A$2:$R$99,9,0))</f>
        <v>0</v>
      </c>
      <c r="BN47" s="184">
        <f>IF(ISERR(VLOOKUP(VALUE(BN$44),'SJ data'!$A$2:$R$99,9,0)="TRUE"),0,VLOOKUP(VALUE(BN$44),'SJ data'!$A$2:$R$99,9,0))</f>
        <v>260648.89</v>
      </c>
      <c r="BO47" s="184">
        <f>IF(ISERR(VLOOKUP(VALUE(BO$44),'SJ data'!$A$2:$R$99,9,0)="TRUE"),0,VLOOKUP(VALUE(BO$44),'SJ data'!$A$2:$R$99,9,0))</f>
        <v>0</v>
      </c>
      <c r="BP47" s="184">
        <f>IF(ISERR(VLOOKUP(VALUE(BP$44),'SJ data'!$A$2:$R$99,9,0)="TRUE"),0,VLOOKUP(VALUE(BP$44),'SJ data'!$A$2:$R$99,9,0))</f>
        <v>0</v>
      </c>
      <c r="BQ47" s="184">
        <f>IF(ISERR(VLOOKUP(VALUE(BQ$44),'SJ data'!$A$2:$R$99,9,0)="TRUE"),0,VLOOKUP(VALUE(BQ$44),'SJ data'!$A$2:$R$99,9,0))</f>
        <v>0</v>
      </c>
      <c r="BR47" s="184">
        <f>IF(ISERR(VLOOKUP(VALUE(BR$44),'SJ data'!$A$2:$R$99,9,0)="TRUE"),0,VLOOKUP(VALUE(BR$44),'SJ data'!$A$2:$R$99,9,0))</f>
        <v>2016.7400000032831</v>
      </c>
      <c r="BS47" s="184">
        <f>IF(ISERR(VLOOKUP(VALUE(BS$44),'SJ data'!$A$2:$R$99,9,0)="TRUE"),0,VLOOKUP(VALUE(BS$44),'SJ data'!$A$2:$R$99,9,0))</f>
        <v>0</v>
      </c>
      <c r="BT47" s="184">
        <f>IF(ISERR(VLOOKUP(VALUE(BT$44),'SJ data'!$A$2:$R$99,9,0)="TRUE"),0,VLOOKUP(VALUE(BT$44),'SJ data'!$A$2:$R$99,9,0))</f>
        <v>59941.8</v>
      </c>
      <c r="BU47" s="184">
        <f>IF(ISERR(VLOOKUP(VALUE(BU$44),'SJ data'!$A$2:$R$99,9,0)="TRUE"),0,VLOOKUP(VALUE(BU$44),'SJ data'!$A$2:$R$99,9,0))</f>
        <v>0</v>
      </c>
      <c r="BV47" s="184">
        <f>IF(ISERR(VLOOKUP(VALUE(BV$44),'SJ data'!$A$2:$R$99,9,0)="TRUE"),0,VLOOKUP(VALUE(BV$44),'SJ data'!$A$2:$R$99,9,0))</f>
        <v>0</v>
      </c>
      <c r="BW47" s="184">
        <f>IF(ISERR(VLOOKUP(VALUE(BW$44),'SJ data'!$A$2:$R$99,9,0)="TRUE"),0,VLOOKUP(VALUE(BW$44),'SJ data'!$A$2:$R$99,9,0))</f>
        <v>0</v>
      </c>
      <c r="BX47" s="184">
        <f>IF(ISERR(VLOOKUP(VALUE(BX$44),'SJ data'!$A$2:$R$99,9,0)="TRUE"),0,VLOOKUP(VALUE(BX$44),'SJ data'!$A$2:$R$99,9,0))</f>
        <v>0</v>
      </c>
      <c r="BY47" s="184">
        <f>IF(ISERR(VLOOKUP(VALUE(BY$44),'SJ data'!$A$2:$R$99,9,0)="TRUE"),0,VLOOKUP(VALUE(BY$44),'SJ data'!$A$2:$R$99,9,0))</f>
        <v>1480130.68</v>
      </c>
      <c r="BZ47" s="184">
        <f>IF(ISERR(VLOOKUP(VALUE(BZ$44),'SJ data'!$A$2:$R$99,9,0)="TRUE"),0,VLOOKUP(VALUE(BZ$44),'SJ data'!$A$2:$R$99,9,0))</f>
        <v>282928.74</v>
      </c>
      <c r="CA47" s="184">
        <f>IF(ISERR(VLOOKUP(VALUE(CA$44),'SJ data'!$A$2:$R$99,9,0)="TRUE"),0,VLOOKUP(VALUE(CA$44),'SJ data'!$A$2:$R$99,9,0))</f>
        <v>171909.79000000004</v>
      </c>
      <c r="CB47" s="184">
        <f>IF(ISERR(VLOOKUP(VALUE(CB$44),'SJ data'!$A$2:$R$99,9,0)="TRUE"),0,VLOOKUP(VALUE(CB$44),'SJ data'!$A$2:$R$99,9,0))</f>
        <v>0</v>
      </c>
      <c r="CC47" s="184">
        <f>IF(ISERR(VLOOKUP(VALUE(CC$44),'SJ data'!$A$2:$R$99,9,0)="TRUE"),0,VLOOKUP(VALUE(CC$44),'SJ data'!$A$2:$R$99,9,0))</f>
        <v>77065.200000000012</v>
      </c>
      <c r="CD47" s="195"/>
      <c r="CE47" s="195">
        <f>SUM(C47:CC47)</f>
        <v>78092502.580000028</v>
      </c>
    </row>
    <row r="48" spans="1:83" ht="12.6" customHeight="1" x14ac:dyDescent="0.2">
      <c r="A48" s="175" t="s">
        <v>205</v>
      </c>
      <c r="B48" s="183"/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78092502.580000028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f>'SJ data'!M51-data!B52</f>
        <v>21025724.390000001</v>
      </c>
      <c r="C51" s="184">
        <f>IF(ISERR(VLOOKUP(VALUE(C$44),'SJ data'!$A$2:$R$99,13,0)="TRUE"),0,VLOOKUP(VALUE(C$44),'SJ data'!$A$2:$R$99,13,0))</f>
        <v>1126506.6300000001</v>
      </c>
      <c r="D51" s="184">
        <f>IF(ISERR(VLOOKUP(VALUE(D$44),'SJ data'!$A$2:$R$99,13,0)="TRUE"),0,VLOOKUP(VALUE(D$44),'SJ data'!$A$2:$R$99,13,0))</f>
        <v>0</v>
      </c>
      <c r="E51" s="184">
        <f>IF(ISERR(VLOOKUP(VALUE(E$44),'SJ data'!$A$2:$R$99,13,0)="TRUE"),0,VLOOKUP(VALUE(E$44),'SJ data'!$A$2:$R$99,13,0))</f>
        <v>1358756.5499999998</v>
      </c>
      <c r="F51" s="184">
        <f>IF(ISERR(VLOOKUP(VALUE(F$44),'SJ data'!$A$2:$R$99,13,0)="TRUE"),0,VLOOKUP(VALUE(F$44),'SJ data'!$A$2:$R$99,13,0))</f>
        <v>0</v>
      </c>
      <c r="G51" s="184">
        <f>IF(ISERR(VLOOKUP(VALUE(G$44),'SJ data'!$A$2:$R$99,13,0)="TRUE"),0,VLOOKUP(VALUE(G$44),'SJ data'!$A$2:$R$99,13,0))</f>
        <v>0</v>
      </c>
      <c r="H51" s="184">
        <f>IF(ISERR(VLOOKUP(VALUE(H$44),'SJ data'!$A$2:$R$99,13,0)="TRUE"),0,VLOOKUP(VALUE(H$44),'SJ data'!$A$2:$R$99,13,0))</f>
        <v>155929.13999999998</v>
      </c>
      <c r="I51" s="184">
        <f>IF(ISERR(VLOOKUP(VALUE(I$44),'SJ data'!$A$2:$R$99,13,0)="TRUE"),0,VLOOKUP(VALUE(I$44),'SJ data'!$A$2:$R$99,13,0))</f>
        <v>0</v>
      </c>
      <c r="J51" s="184">
        <f>IF(ISERR(VLOOKUP(VALUE(J$44),'SJ data'!$A$2:$R$99,13,0)="TRUE"),0,VLOOKUP(VALUE(J$44),'SJ data'!$A$2:$R$99,13,0))</f>
        <v>173390.75999999998</v>
      </c>
      <c r="K51" s="184">
        <f>IF(ISERR(VLOOKUP(VALUE(K$44),'SJ data'!$A$2:$R$99,13,0)="TRUE"),0,VLOOKUP(VALUE(K$44),'SJ data'!$A$2:$R$99,13,0))</f>
        <v>0</v>
      </c>
      <c r="L51" s="184">
        <f>IF(ISERR(VLOOKUP(VALUE(L$44),'SJ data'!$A$2:$R$99,13,0)="TRUE"),0,VLOOKUP(VALUE(L$44),'SJ data'!$A$2:$R$99,13,0))</f>
        <v>0</v>
      </c>
      <c r="M51" s="184">
        <f>IF(ISERR(VLOOKUP(VALUE(M$44),'SJ data'!$A$2:$R$99,13,0)="TRUE"),0,VLOOKUP(VALUE(M$44),'SJ data'!$A$2:$R$99,13,0))</f>
        <v>0</v>
      </c>
      <c r="N51" s="184">
        <f>IF(ISERR(VLOOKUP(VALUE(N$44),'SJ data'!$A$2:$R$99,13,0)="TRUE"),0,VLOOKUP(VALUE(N$44),'SJ data'!$A$2:$R$99,13,0))</f>
        <v>0</v>
      </c>
      <c r="O51" s="184">
        <f>IF(ISERR(VLOOKUP(VALUE(O$44),'SJ data'!$A$2:$R$99,13,0)="TRUE"),0,VLOOKUP(VALUE(O$44),'SJ data'!$A$2:$R$99,13,0))</f>
        <v>512209.17</v>
      </c>
      <c r="P51" s="184">
        <f>IF(ISERR(VLOOKUP(VALUE(P$44),'SJ data'!$A$2:$R$99,13,0)="TRUE"),0,VLOOKUP(VALUE(P$44),'SJ data'!$A$2:$R$99,13,0))</f>
        <v>5938155.4400000013</v>
      </c>
      <c r="Q51" s="184">
        <f>IF(ISERR(VLOOKUP(VALUE(Q$44),'SJ data'!$A$2:$R$99,13,0)="TRUE"),0,VLOOKUP(VALUE(Q$44),'SJ data'!$A$2:$R$99,13,0))</f>
        <v>5990.4099999999989</v>
      </c>
      <c r="R51" s="184">
        <f>IF(ISERR(VLOOKUP(VALUE(R$44),'SJ data'!$A$2:$R$99,13,0)="TRUE"),0,VLOOKUP(VALUE(R$44),'SJ data'!$A$2:$R$99,13,0))</f>
        <v>0</v>
      </c>
      <c r="S51" s="184">
        <f>IF(ISERR(VLOOKUP(VALUE(S$44),'SJ data'!$A$2:$R$99,13,0)="TRUE"),0,VLOOKUP(VALUE(S$44),'SJ data'!$A$2:$R$99,13,0))</f>
        <v>0</v>
      </c>
      <c r="T51" s="184">
        <f>IF(ISERR(VLOOKUP(VALUE(T$44),'SJ data'!$A$2:$R$99,13,0)="TRUE"),0,VLOOKUP(VALUE(T$44),'SJ data'!$A$2:$R$99,13,0))</f>
        <v>42352.649999999994</v>
      </c>
      <c r="U51" s="184">
        <f>IF(ISERR(VLOOKUP(VALUE(U$44),'SJ data'!$A$2:$R$99,13,0)="TRUE"),0,VLOOKUP(VALUE(U$44),'SJ data'!$A$2:$R$99,13,0))</f>
        <v>229600.33999999997</v>
      </c>
      <c r="V51" s="184">
        <f>IF(ISERR(VLOOKUP(VALUE(V$44),'SJ data'!$A$2:$R$99,13,0)="TRUE"),0,VLOOKUP(VALUE(V$44),'SJ data'!$A$2:$R$99,13,0))</f>
        <v>935002.49999999988</v>
      </c>
      <c r="W51" s="184">
        <f>IF(ISERR(VLOOKUP(VALUE(W$44),'SJ data'!$A$2:$R$99,13,0)="TRUE"),0,VLOOKUP(VALUE(W$44),'SJ data'!$A$2:$R$99,13,0))</f>
        <v>130354.70999999999</v>
      </c>
      <c r="X51" s="184">
        <f>IF(ISERR(VLOOKUP(VALUE(X$44),'SJ data'!$A$2:$R$99,13,0)="TRUE"),0,VLOOKUP(VALUE(X$44),'SJ data'!$A$2:$R$99,13,0))</f>
        <v>155395.84000000003</v>
      </c>
      <c r="Y51" s="184">
        <f>IF(ISERR(VLOOKUP(VALUE(Y$44),'SJ data'!$A$2:$R$99,13,0)="TRUE"),0,VLOOKUP(VALUE(Y$44),'SJ data'!$A$2:$R$99,13,0))</f>
        <v>328138.48</v>
      </c>
      <c r="Z51" s="184">
        <f>IF(ISERR(VLOOKUP(VALUE(Z$44),'SJ data'!$A$2:$R$99,13,0)="TRUE"),0,VLOOKUP(VALUE(Z$44),'SJ data'!$A$2:$R$99,13,0))</f>
        <v>0</v>
      </c>
      <c r="AA51" s="184">
        <f>IF(ISERR(VLOOKUP(VALUE(AA$44),'SJ data'!$A$2:$R$99,13,0)="TRUE"),0,VLOOKUP(VALUE(AA$44),'SJ data'!$A$2:$R$99,13,0))</f>
        <v>5784.869999999999</v>
      </c>
      <c r="AB51" s="184">
        <f>IF(ISERR(VLOOKUP(VALUE(AB$44),'SJ data'!$A$2:$R$99,13,0)="TRUE"),0,VLOOKUP(VALUE(AB$44),'SJ data'!$A$2:$R$99,13,0))</f>
        <v>536852.87</v>
      </c>
      <c r="AC51" s="184">
        <f>IF(ISERR(VLOOKUP(VALUE(AC$44),'SJ data'!$A$2:$R$99,13,0)="TRUE"),0,VLOOKUP(VALUE(AC$44),'SJ data'!$A$2:$R$99,13,0))</f>
        <v>224731.24000000002</v>
      </c>
      <c r="AD51" s="184">
        <f>IF(ISERR(VLOOKUP(VALUE(AD$44),'SJ data'!$A$2:$R$99,13,0)="TRUE"),0,VLOOKUP(VALUE(AD$44),'SJ data'!$A$2:$R$99,13,0))</f>
        <v>21773.77</v>
      </c>
      <c r="AE51" s="184">
        <f>IF(ISERR(VLOOKUP(VALUE(AE$44),'SJ data'!$A$2:$R$99,13,0)="TRUE"),0,VLOOKUP(VALUE(AE$44),'SJ data'!$A$2:$R$99,13,0))</f>
        <v>18358.780000000006</v>
      </c>
      <c r="AF51" s="184">
        <f>IF(ISERR(VLOOKUP(VALUE(AF$44),'SJ data'!$A$2:$R$99,13,0)="TRUE"),0,VLOOKUP(VALUE(AF$44),'SJ data'!$A$2:$R$99,13,0))</f>
        <v>0</v>
      </c>
      <c r="AG51" s="184">
        <f>IF(ISERR(VLOOKUP(VALUE(AG$44),'SJ data'!$A$2:$R$99,13,0)="TRUE"),0,VLOOKUP(VALUE(AG$44),'SJ data'!$A$2:$R$99,13,0))</f>
        <v>767611.5299999998</v>
      </c>
      <c r="AH51" s="184">
        <f>IF(ISERR(VLOOKUP(VALUE(AH$44),'SJ data'!$A$2:$R$99,13,0)="TRUE"),0,VLOOKUP(VALUE(AH$44),'SJ data'!$A$2:$R$99,13,0))</f>
        <v>0</v>
      </c>
      <c r="AI51" s="184">
        <f>IF(ISERR(VLOOKUP(VALUE(AI$44),'SJ data'!$A$2:$R$99,13,0)="TRUE"),0,VLOOKUP(VALUE(AI$44),'SJ data'!$A$2:$R$99,13,0))</f>
        <v>0</v>
      </c>
      <c r="AJ51" s="184">
        <f>IF(ISERR(VLOOKUP(VALUE(AJ$44),'SJ data'!$A$2:$R$99,13,0)="TRUE"),0,VLOOKUP(VALUE(AJ$44),'SJ data'!$A$2:$R$99,13,0))</f>
        <v>4512050.3299999991</v>
      </c>
      <c r="AK51" s="184">
        <f>IF(ISERR(VLOOKUP(VALUE(AK$44),'SJ data'!$A$2:$R$99,13,0)="TRUE"),0,VLOOKUP(VALUE(AK$44),'SJ data'!$A$2:$R$99,13,0))</f>
        <v>4411.2300000000005</v>
      </c>
      <c r="AL51" s="184">
        <f>IF(ISERR(VLOOKUP(VALUE(AL$44),'SJ data'!$A$2:$R$99,13,0)="TRUE"),0,VLOOKUP(VALUE(AL$44),'SJ data'!$A$2:$R$99,13,0))</f>
        <v>0</v>
      </c>
      <c r="AM51" s="184">
        <f>IF(ISERR(VLOOKUP(VALUE(AM$44),'SJ data'!$A$2:$R$99,13,0)="TRUE"),0,VLOOKUP(VALUE(AM$44),'SJ data'!$A$2:$R$99,13,0))</f>
        <v>0</v>
      </c>
      <c r="AN51" s="184">
        <f>IF(ISERR(VLOOKUP(VALUE(AN$44),'SJ data'!$A$2:$R$99,13,0)="TRUE"),0,VLOOKUP(VALUE(AN$44),'SJ data'!$A$2:$R$99,13,0))</f>
        <v>0</v>
      </c>
      <c r="AO51" s="184">
        <f>IF(ISERR(VLOOKUP(VALUE(AO$44),'SJ data'!$A$2:$R$99,13,0)="TRUE"),0,VLOOKUP(VALUE(AO$44),'SJ data'!$A$2:$R$99,13,0))</f>
        <v>0</v>
      </c>
      <c r="AP51" s="184">
        <f>IF(ISERR(VLOOKUP(VALUE(AP$44),'SJ data'!$A$2:$R$99,13,0)="TRUE"),0,VLOOKUP(VALUE(AP$44),'SJ data'!$A$2:$R$99,13,0))</f>
        <v>0</v>
      </c>
      <c r="AQ51" s="184">
        <f>IF(ISERR(VLOOKUP(VALUE(AQ$44),'SJ data'!$A$2:$R$99,13,0)="TRUE"),0,VLOOKUP(VALUE(AQ$44),'SJ data'!$A$2:$R$99,13,0))</f>
        <v>0</v>
      </c>
      <c r="AR51" s="184">
        <f>IF(ISERR(VLOOKUP(VALUE(AR$44),'SJ data'!$A$2:$R$99,13,0)="TRUE"),0,VLOOKUP(VALUE(AR$44),'SJ data'!$A$2:$R$99,13,0))</f>
        <v>247140.59999999998</v>
      </c>
      <c r="AS51" s="184">
        <f>IF(ISERR(VLOOKUP(VALUE(AS$44),'SJ data'!$A$2:$R$99,13,0)="TRUE"),0,VLOOKUP(VALUE(AS$44),'SJ data'!$A$2:$R$99,13,0))</f>
        <v>0</v>
      </c>
      <c r="AT51" s="184">
        <f>IF(ISERR(VLOOKUP(VALUE(AT$44),'SJ data'!$A$2:$R$99,13,0)="TRUE"),0,VLOOKUP(VALUE(AT$44),'SJ data'!$A$2:$R$99,13,0))</f>
        <v>0</v>
      </c>
      <c r="AU51" s="184">
        <f>IF(ISERR(VLOOKUP(VALUE(AU$44),'SJ data'!$A$2:$R$99,13,0)="TRUE"),0,VLOOKUP(VALUE(AU$44),'SJ data'!$A$2:$R$99,13,0))</f>
        <v>0</v>
      </c>
      <c r="AV51" s="184">
        <f>IF(ISERR(VLOOKUP(VALUE(AV$44),'SJ data'!$A$2:$R$99,13,0)="TRUE"),0,VLOOKUP(VALUE(AV$44),'SJ data'!$A$2:$R$99,13,0))</f>
        <v>29189.64</v>
      </c>
      <c r="AW51" s="184">
        <f>IF(ISERR(VLOOKUP(VALUE(AW$44),'SJ data'!$A$2:$R$99,13,0)="TRUE"),0,VLOOKUP(VALUE(AW$44),'SJ data'!$A$2:$R$99,13,0))</f>
        <v>0</v>
      </c>
      <c r="AX51" s="184">
        <f>IF(ISERR(VLOOKUP(VALUE(AX$44),'SJ data'!$A$2:$R$99,13,0)="TRUE"),0,VLOOKUP(VALUE(AX$44),'SJ data'!$A$2:$R$99,13,0))</f>
        <v>0</v>
      </c>
      <c r="AY51" s="184">
        <f>IF(ISERR(VLOOKUP(VALUE(AY$44),'SJ data'!$A$2:$R$99,13,0)="TRUE"),0,VLOOKUP(VALUE(AY$44),'SJ data'!$A$2:$R$99,13,0))</f>
        <v>0</v>
      </c>
      <c r="AZ51" s="184">
        <f>IF(ISERR(VLOOKUP(VALUE(AZ$44),'SJ data'!$A$2:$R$99,13,0)="TRUE"),0,VLOOKUP(VALUE(AZ$44),'SJ data'!$A$2:$R$99,13,0))</f>
        <v>334409.59000000003</v>
      </c>
      <c r="BA51" s="184">
        <f>IF(ISERR(VLOOKUP(VALUE(BA$44),'SJ data'!$A$2:$R$99,13,0)="TRUE"),0,VLOOKUP(VALUE(BA$44),'SJ data'!$A$2:$R$99,13,0))</f>
        <v>0</v>
      </c>
      <c r="BB51" s="184">
        <f>IF(ISERR(VLOOKUP(VALUE(BB$44),'SJ data'!$A$2:$R$99,13,0)="TRUE"),0,VLOOKUP(VALUE(BB$44),'SJ data'!$A$2:$R$99,13,0))</f>
        <v>0</v>
      </c>
      <c r="BC51" s="184">
        <f>IF(ISERR(VLOOKUP(VALUE(BC$44),'SJ data'!$A$2:$R$99,13,0)="TRUE"),0,VLOOKUP(VALUE(BC$44),'SJ data'!$A$2:$R$99,13,0))</f>
        <v>0</v>
      </c>
      <c r="BD51" s="184">
        <f>IF(ISERR(VLOOKUP(VALUE(BD$44),'SJ data'!$A$2:$R$99,13,0)="TRUE"),0,VLOOKUP(VALUE(BD$44),'SJ data'!$A$2:$R$99,13,0))</f>
        <v>32942.69</v>
      </c>
      <c r="BE51" s="184">
        <f>IF(ISERR(VLOOKUP(VALUE(BE$44),'SJ data'!$A$2:$R$99,13,0)="TRUE"),0,VLOOKUP(VALUE(BE$44),'SJ data'!$A$2:$R$99,13,0))</f>
        <v>1601567.0300000003</v>
      </c>
      <c r="BF51" s="184">
        <f>IF(ISERR(VLOOKUP(VALUE(BF$44),'SJ data'!$A$2:$R$99,13,0)="TRUE"),0,VLOOKUP(VALUE(BF$44),'SJ data'!$A$2:$R$99,13,0))</f>
        <v>27852.62</v>
      </c>
      <c r="BG51" s="184">
        <f>IF(ISERR(VLOOKUP(VALUE(BG$44),'SJ data'!$A$2:$R$99,13,0)="TRUE"),0,VLOOKUP(VALUE(BG$44),'SJ data'!$A$2:$R$99,13,0))</f>
        <v>0</v>
      </c>
      <c r="BH51" s="184">
        <f>IF(ISERR(VLOOKUP(VALUE(BH$44),'SJ data'!$A$2:$R$99,13,0)="TRUE"),0,VLOOKUP(VALUE(BH$44),'SJ data'!$A$2:$R$99,13,0))</f>
        <v>0</v>
      </c>
      <c r="BI51" s="184">
        <f>IF(ISERR(VLOOKUP(VALUE(BI$44),'SJ data'!$A$2:$R$99,13,0)="TRUE"),0,VLOOKUP(VALUE(BI$44),'SJ data'!$A$2:$R$99,13,0))</f>
        <v>71.649999999999991</v>
      </c>
      <c r="BJ51" s="184">
        <f>IF(ISERR(VLOOKUP(VALUE(BJ$44),'SJ data'!$A$2:$R$99,13,0)="TRUE"),0,VLOOKUP(VALUE(BJ$44),'SJ data'!$A$2:$R$99,13,0))</f>
        <v>0</v>
      </c>
      <c r="BK51" s="184">
        <f>IF(ISERR(VLOOKUP(VALUE(BK$44),'SJ data'!$A$2:$R$99,13,0)="TRUE"),0,VLOOKUP(VALUE(BK$44),'SJ data'!$A$2:$R$99,13,0))</f>
        <v>0</v>
      </c>
      <c r="BL51" s="184">
        <f>IF(ISERR(VLOOKUP(VALUE(BL$44),'SJ data'!$A$2:$R$99,13,0)="TRUE"),0,VLOOKUP(VALUE(BL$44),'SJ data'!$A$2:$R$99,13,0))</f>
        <v>241.48000000000002</v>
      </c>
      <c r="BM51" s="184">
        <f>IF(ISERR(VLOOKUP(VALUE(BM$44),'SJ data'!$A$2:$R$99,13,0)="TRUE"),0,VLOOKUP(VALUE(BM$44),'SJ data'!$A$2:$R$99,13,0))</f>
        <v>0</v>
      </c>
      <c r="BN51" s="184">
        <f>IF(ISERR(VLOOKUP(VALUE(BN$44),'SJ data'!$A$2:$R$99,13,0)="TRUE"),0,VLOOKUP(VALUE(BN$44),'SJ data'!$A$2:$R$99,13,0))</f>
        <v>114496.95000000001</v>
      </c>
      <c r="BO51" s="184">
        <f>IF(ISERR(VLOOKUP(VALUE(BO$44),'SJ data'!$A$2:$R$99,13,0)="TRUE"),0,VLOOKUP(VALUE(BO$44),'SJ data'!$A$2:$R$99,13,0))</f>
        <v>0</v>
      </c>
      <c r="BP51" s="184">
        <f>IF(ISERR(VLOOKUP(VALUE(BP$44),'SJ data'!$A$2:$R$99,13,0)="TRUE"),0,VLOOKUP(VALUE(BP$44),'SJ data'!$A$2:$R$99,13,0))</f>
        <v>0</v>
      </c>
      <c r="BQ51" s="184">
        <f>IF(ISERR(VLOOKUP(VALUE(BQ$44),'SJ data'!$A$2:$R$99,13,0)="TRUE"),0,VLOOKUP(VALUE(BQ$44),'SJ data'!$A$2:$R$99,13,0))</f>
        <v>0</v>
      </c>
      <c r="BR51" s="184">
        <f>IF(ISERR(VLOOKUP(VALUE(BR$44),'SJ data'!$A$2:$R$99,13,0)="TRUE"),0,VLOOKUP(VALUE(BR$44),'SJ data'!$A$2:$R$99,13,0))</f>
        <v>0</v>
      </c>
      <c r="BS51" s="184">
        <f>IF(ISERR(VLOOKUP(VALUE(BS$44),'SJ data'!$A$2:$R$99,13,0)="TRUE"),0,VLOOKUP(VALUE(BS$44),'SJ data'!$A$2:$R$99,13,0))</f>
        <v>0</v>
      </c>
      <c r="BT51" s="184">
        <f>IF(ISERR(VLOOKUP(VALUE(BT$44),'SJ data'!$A$2:$R$99,13,0)="TRUE"),0,VLOOKUP(VALUE(BT$44),'SJ data'!$A$2:$R$99,13,0))</f>
        <v>0</v>
      </c>
      <c r="BU51" s="184">
        <f>IF(ISERR(VLOOKUP(VALUE(BU$44),'SJ data'!$A$2:$R$99,13,0)="TRUE"),0,VLOOKUP(VALUE(BU$44),'SJ data'!$A$2:$R$99,13,0))</f>
        <v>0</v>
      </c>
      <c r="BV51" s="184">
        <f>IF(ISERR(VLOOKUP(VALUE(BV$44),'SJ data'!$A$2:$R$99,13,0)="TRUE"),0,VLOOKUP(VALUE(BV$44),'SJ data'!$A$2:$R$99,13,0))</f>
        <v>0</v>
      </c>
      <c r="BW51" s="184">
        <f>IF(ISERR(VLOOKUP(VALUE(BW$44),'SJ data'!$A$2:$R$99,13,0)="TRUE"),0,VLOOKUP(VALUE(BW$44),'SJ data'!$A$2:$R$99,13,0))</f>
        <v>0</v>
      </c>
      <c r="BX51" s="184">
        <f>IF(ISERR(VLOOKUP(VALUE(BX$44),'SJ data'!$A$2:$R$99,13,0)="TRUE"),0,VLOOKUP(VALUE(BX$44),'SJ data'!$A$2:$R$99,13,0))</f>
        <v>0</v>
      </c>
      <c r="BY51" s="184">
        <f>IF(ISERR(VLOOKUP(VALUE(BY$44),'SJ data'!$A$2:$R$99,13,0)="TRUE"),0,VLOOKUP(VALUE(BY$44),'SJ data'!$A$2:$R$99,13,0))</f>
        <v>3523.09</v>
      </c>
      <c r="BZ51" s="184">
        <f>IF(ISERR(VLOOKUP(VALUE(BZ$44),'SJ data'!$A$2:$R$99,13,0)="TRUE"),0,VLOOKUP(VALUE(BZ$44),'SJ data'!$A$2:$R$99,13,0))</f>
        <v>0</v>
      </c>
      <c r="CA51" s="184">
        <f>IF(ISERR(VLOOKUP(VALUE(CA$44),'SJ data'!$A$2:$R$99,13,0)="TRUE"),0,VLOOKUP(VALUE(CA$44),'SJ data'!$A$2:$R$99,13,0))</f>
        <v>0</v>
      </c>
      <c r="CB51" s="184">
        <f>IF(ISERR(VLOOKUP(VALUE(CB$44),'SJ data'!$A$2:$R$99,13,0)="TRUE"),0,VLOOKUP(VALUE(CB$44),'SJ data'!$A$2:$R$99,13,0))</f>
        <v>0</v>
      </c>
      <c r="CC51" s="184">
        <f>IF(ISERR(VLOOKUP(VALUE(CC$44),'SJ data'!$A$2:$R$99,13,0)="TRUE"),0,VLOOKUP(VALUE(CC$44),'SJ data'!$A$2:$R$99,13,0))</f>
        <v>1450931.81</v>
      </c>
      <c r="CD51" s="195"/>
      <c r="CE51" s="195">
        <f>SUM(C51:CD51)</f>
        <v>21025724.390000001</v>
      </c>
    </row>
    <row r="52" spans="1:84" ht="12.6" customHeight="1" x14ac:dyDescent="0.2">
      <c r="A52" s="171" t="s">
        <v>208</v>
      </c>
      <c r="B52" s="184">
        <v>12092148.040000001</v>
      </c>
      <c r="C52" s="195">
        <f>ROUND((B52/(CE76+CF76)*C76),0)</f>
        <v>296235</v>
      </c>
      <c r="D52" s="195">
        <f>ROUND((B52/(CE76+CF76)*D76),0)</f>
        <v>0</v>
      </c>
      <c r="E52" s="195">
        <f>ROUND((B52/(CE76+CF76)*E76),0)</f>
        <v>1493072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28461</v>
      </c>
      <c r="I52" s="195">
        <f>ROUND((B52/(CE76+CF76)*I76),0)</f>
        <v>0</v>
      </c>
      <c r="J52" s="195">
        <f>ROUND((B52/(CE76+CF76)*J76),0)</f>
        <v>35872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250604</v>
      </c>
      <c r="P52" s="195">
        <f>ROUND((B52/(CE76+CF76)*P76),0)</f>
        <v>1273921</v>
      </c>
      <c r="Q52" s="195">
        <f>ROUND((B52/(CE76+CF76)*Q76),0)</f>
        <v>33696</v>
      </c>
      <c r="R52" s="195">
        <f>ROUND((B52/(CE76+CF76)*R76),0)</f>
        <v>0</v>
      </c>
      <c r="S52" s="195">
        <f>ROUND((B52/(CE76+CF76)*S76),0)</f>
        <v>248073</v>
      </c>
      <c r="T52" s="195">
        <f>ROUND((B52/(CE76+CF76)*T76),0)</f>
        <v>0</v>
      </c>
      <c r="U52" s="195">
        <f>ROUND((B52/(CE76+CF76)*U76),0)</f>
        <v>236922</v>
      </c>
      <c r="V52" s="195">
        <f>ROUND((B52/(CE76+CF76)*V76),0)</f>
        <v>47080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655764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236624</v>
      </c>
      <c r="AC52" s="195">
        <f>ROUND((B52/(CE76+CF76)*AC76),0)</f>
        <v>13953</v>
      </c>
      <c r="AD52" s="195">
        <f>ROUND((B52/(CE76+CF76)*AD76),0)</f>
        <v>234789</v>
      </c>
      <c r="AE52" s="195">
        <f>ROUND((B52/(CE76+CF76)*AE76),0)</f>
        <v>161807</v>
      </c>
      <c r="AF52" s="195">
        <f>ROUND((B52/(CE76+CF76)*AF76),0)</f>
        <v>0</v>
      </c>
      <c r="AG52" s="195">
        <f>ROUND((B52/(CE76+CF76)*AG76),0)</f>
        <v>287060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312961</v>
      </c>
      <c r="AK52" s="195">
        <f>ROUND((B52/(CE76+CF76)*AK76),0)</f>
        <v>82710</v>
      </c>
      <c r="AL52" s="195">
        <f>ROUND((B52/(CE76+CF76)*AL76),0)</f>
        <v>59327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25560</v>
      </c>
      <c r="AQ52" s="195">
        <f>ROUND((B52/(CE76+CF76)*AQ76),0)</f>
        <v>0</v>
      </c>
      <c r="AR52" s="195">
        <f>ROUND((B52/(CE76+CF76)*AR76),0)</f>
        <v>634429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19828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270794</v>
      </c>
      <c r="BA52" s="195">
        <f>ROUND((B52/(CE76+CF76)*BA76),0)</f>
        <v>60365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2481916</v>
      </c>
      <c r="BF52" s="195">
        <f>ROUND((B52/(CE76+CF76)*BF76),0)</f>
        <v>29386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18960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2391752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21833</v>
      </c>
      <c r="BU52" s="195">
        <f>ROUND((B52/(CE76+CF76)*BU76),0)</f>
        <v>0</v>
      </c>
      <c r="BV52" s="195">
        <f>ROUND((B52/(CE76+CF76)*BV76),0)</f>
        <v>134484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13911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12092149</v>
      </c>
    </row>
    <row r="53" spans="1:84" ht="12.6" customHeight="1" x14ac:dyDescent="0.2">
      <c r="A53" s="175" t="s">
        <v>206</v>
      </c>
      <c r="B53" s="195">
        <f>B51+B52</f>
        <v>33117872.43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">
      <c r="A59" s="171" t="s">
        <v>233</v>
      </c>
      <c r="B59" s="175"/>
      <c r="C59" s="184">
        <f>19380</f>
        <v>19380</v>
      </c>
      <c r="D59" s="184"/>
      <c r="E59" s="184">
        <f>70349.43+8544</f>
        <v>78893.429999999993</v>
      </c>
      <c r="F59" s="184"/>
      <c r="G59" s="184"/>
      <c r="H59" s="184"/>
      <c r="I59" s="184"/>
      <c r="J59" s="184">
        <v>5196</v>
      </c>
      <c r="K59" s="184"/>
      <c r="L59" s="184"/>
      <c r="M59" s="184"/>
      <c r="N59" s="184"/>
      <c r="O59" s="184">
        <v>19036</v>
      </c>
      <c r="P59" s="185">
        <v>1620184</v>
      </c>
      <c r="Q59" s="185">
        <v>637605</v>
      </c>
      <c r="R59" s="185"/>
      <c r="S59" s="246"/>
      <c r="T59" s="246"/>
      <c r="U59" s="222">
        <v>1389157</v>
      </c>
      <c r="V59" s="185"/>
      <c r="W59" s="185">
        <v>7629</v>
      </c>
      <c r="X59" s="185">
        <v>29436</v>
      </c>
      <c r="Y59" s="185">
        <v>193418</v>
      </c>
      <c r="Z59" s="185"/>
      <c r="AA59" s="185">
        <v>5412</v>
      </c>
      <c r="AB59" s="246"/>
      <c r="AC59" s="185">
        <v>63642</v>
      </c>
      <c r="AD59" s="185"/>
      <c r="AE59" s="185">
        <v>131582</v>
      </c>
      <c r="AF59" s="185"/>
      <c r="AG59" s="185">
        <v>46805.35</v>
      </c>
      <c r="AH59" s="185"/>
      <c r="AI59" s="185">
        <v>0</v>
      </c>
      <c r="AJ59" s="185">
        <f>43759+503171.81</f>
        <v>546930.81000000006</v>
      </c>
      <c r="AK59" s="185">
        <v>58316</v>
      </c>
      <c r="AL59" s="185">
        <v>6502</v>
      </c>
      <c r="AM59" s="185"/>
      <c r="AN59" s="185"/>
      <c r="AO59" s="185"/>
      <c r="AP59" s="185">
        <v>1165</v>
      </c>
      <c r="AQ59" s="185"/>
      <c r="AR59" s="185">
        <v>387138.61</v>
      </c>
      <c r="AS59" s="185"/>
      <c r="AT59" s="185"/>
      <c r="AU59" s="185"/>
      <c r="AV59" s="246"/>
      <c r="AW59" s="246"/>
      <c r="AX59" s="246"/>
      <c r="AY59" s="185">
        <v>343452</v>
      </c>
      <c r="AZ59" s="185">
        <v>584456</v>
      </c>
      <c r="BA59" s="246"/>
      <c r="BB59" s="246"/>
      <c r="BC59" s="246"/>
      <c r="BD59" s="246"/>
      <c r="BE59" s="185">
        <v>850147.87416666653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">
      <c r="A60" s="248" t="s">
        <v>234</v>
      </c>
      <c r="B60" s="175"/>
      <c r="C60" s="186">
        <v>183.34559386973183</v>
      </c>
      <c r="D60" s="186">
        <v>0</v>
      </c>
      <c r="E60" s="186">
        <v>571.15566570881219</v>
      </c>
      <c r="F60" s="186">
        <v>0</v>
      </c>
      <c r="G60" s="186">
        <v>0</v>
      </c>
      <c r="H60" s="186">
        <v>-2.7346743295019156E-3</v>
      </c>
      <c r="I60" s="186">
        <v>0</v>
      </c>
      <c r="J60" s="186">
        <v>55.08290229885057</v>
      </c>
      <c r="K60" s="186">
        <v>0</v>
      </c>
      <c r="L60" s="186">
        <v>0</v>
      </c>
      <c r="M60" s="186">
        <v>0</v>
      </c>
      <c r="N60" s="186">
        <v>0</v>
      </c>
      <c r="O60" s="186">
        <v>141.39351532567048</v>
      </c>
      <c r="P60" s="186">
        <v>227.30309865900381</v>
      </c>
      <c r="Q60" s="186">
        <v>18.523170498084294</v>
      </c>
      <c r="R60" s="186">
        <v>0</v>
      </c>
      <c r="S60" s="186">
        <v>40.103093869731808</v>
      </c>
      <c r="T60" s="186">
        <v>13.055340038314176</v>
      </c>
      <c r="U60" s="186">
        <v>87.297701149425279</v>
      </c>
      <c r="V60" s="186">
        <v>22.211637931034485</v>
      </c>
      <c r="W60" s="186">
        <v>8.7453256704980831</v>
      </c>
      <c r="X60" s="186">
        <v>10.021522988505748</v>
      </c>
      <c r="Y60" s="186">
        <v>53.103970306513418</v>
      </c>
      <c r="Z60" s="186">
        <v>0</v>
      </c>
      <c r="AA60" s="186">
        <v>5.8303591954022993</v>
      </c>
      <c r="AB60" s="186">
        <v>83.97872126436782</v>
      </c>
      <c r="AC60" s="186">
        <v>28.983505747126436</v>
      </c>
      <c r="AD60" s="186">
        <v>1.0017624521072794</v>
      </c>
      <c r="AE60" s="186">
        <v>39.620517241379311</v>
      </c>
      <c r="AF60" s="186">
        <v>0</v>
      </c>
      <c r="AG60" s="186">
        <v>83.616733716475082</v>
      </c>
      <c r="AH60" s="186">
        <v>0</v>
      </c>
      <c r="AI60" s="186">
        <v>0</v>
      </c>
      <c r="AJ60" s="186">
        <f>175.147+660.3</f>
        <v>835.44699999999989</v>
      </c>
      <c r="AK60" s="186">
        <v>15.497485632183908</v>
      </c>
      <c r="AL60" s="186">
        <v>4.9475574712643677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337.33480363984677</v>
      </c>
      <c r="AS60" s="186">
        <v>0</v>
      </c>
      <c r="AT60" s="186">
        <v>0</v>
      </c>
      <c r="AU60" s="186">
        <v>0</v>
      </c>
      <c r="AV60" s="186">
        <v>39.738314176245211</v>
      </c>
      <c r="AW60" s="186">
        <v>0</v>
      </c>
      <c r="AX60" s="186">
        <v>0</v>
      </c>
      <c r="AY60" s="186">
        <v>110.88371168582376</v>
      </c>
      <c r="AZ60" s="186">
        <v>0</v>
      </c>
      <c r="BA60" s="186">
        <v>5.013596743295019</v>
      </c>
      <c r="BB60" s="186">
        <v>0</v>
      </c>
      <c r="BC60" s="186">
        <v>11.268189655172414</v>
      </c>
      <c r="BD60" s="186">
        <v>0</v>
      </c>
      <c r="BE60" s="186">
        <v>18.508793103448273</v>
      </c>
      <c r="BF60" s="186">
        <v>97.229382183908044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8.1639511494252872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2.8058093869731802</v>
      </c>
      <c r="BU60" s="186">
        <v>0</v>
      </c>
      <c r="BV60" s="186">
        <v>0</v>
      </c>
      <c r="BW60" s="186">
        <v>0</v>
      </c>
      <c r="BX60" s="186">
        <v>0</v>
      </c>
      <c r="BY60" s="186">
        <v>58.841024904214557</v>
      </c>
      <c r="BZ60" s="186">
        <v>11.8478591954023</v>
      </c>
      <c r="CA60" s="186">
        <v>6.1524281609195404</v>
      </c>
      <c r="CB60" s="186">
        <v>0</v>
      </c>
      <c r="CC60" s="186">
        <v>3.4031800766283524</v>
      </c>
      <c r="CD60" s="247" t="s">
        <v>221</v>
      </c>
      <c r="CE60" s="249">
        <f t="shared" ref="CE60:CE70" si="0">SUM(C60:CD60)</f>
        <v>3241.4544904214549</v>
      </c>
    </row>
    <row r="61" spans="1:84" ht="12.6" customHeight="1" x14ac:dyDescent="0.2">
      <c r="A61" s="171" t="s">
        <v>235</v>
      </c>
      <c r="B61" s="175"/>
      <c r="C61" s="184">
        <f>IF(ISERR(VLOOKUP(VALUE(C$44),'SJ data'!$A$2:$R$99,7,0)="TRUE"),0,VLOOKUP(VALUE(C$44),'SJ data'!$A$2:$R$99,7,0))+IF(ISERR(VLOOKUP(VALUE(C$44),'SJ data'!$A$2:$R$99,8,0)="TRUE"),0,VLOOKUP(VALUE(C$44),'SJ data'!$A$2:$R$99,8,0))</f>
        <v>18266659.819999997</v>
      </c>
      <c r="D61" s="184">
        <f>IF(ISERR(VLOOKUP(VALUE(D$44),'SJ data'!$A$2:$R$99,7,0)="TRUE"),0,VLOOKUP(VALUE(D$44),'SJ data'!$A$2:$R$99,7,0))+IF(ISERR(VLOOKUP(VALUE(D$44),'SJ data'!$A$2:$R$99,8,0)="TRUE"),0,VLOOKUP(VALUE(D$44),'SJ data'!$A$2:$R$99,8,0))</f>
        <v>0</v>
      </c>
      <c r="E61" s="184">
        <f>IF(ISERR(VLOOKUP(VALUE(E$44),'SJ data'!$A$2:$R$99,7,0)="TRUE"),0,VLOOKUP(VALUE(E$44),'SJ data'!$A$2:$R$99,7,0))+IF(ISERR(VLOOKUP(VALUE(E$44),'SJ data'!$A$2:$R$99,8,0)="TRUE"),0,VLOOKUP(VALUE(E$44),'SJ data'!$A$2:$R$99,8,0))</f>
        <v>46786374.739999995</v>
      </c>
      <c r="F61" s="184">
        <f>IF(ISERR(VLOOKUP(VALUE(F$44),'SJ data'!$A$2:$R$99,7,0)="TRUE"),0,VLOOKUP(VALUE(F$44),'SJ data'!$A$2:$R$99,7,0))+IF(ISERR(VLOOKUP(VALUE(F$44),'SJ data'!$A$2:$R$99,8,0)="TRUE"),0,VLOOKUP(VALUE(F$44),'SJ data'!$A$2:$R$99,8,0))</f>
        <v>0</v>
      </c>
      <c r="G61" s="184">
        <f>IF(ISERR(VLOOKUP(VALUE(G$44),'SJ data'!$A$2:$R$99,7,0)="TRUE"),0,VLOOKUP(VALUE(G$44),'SJ data'!$A$2:$R$99,7,0))+IF(ISERR(VLOOKUP(VALUE(G$44),'SJ data'!$A$2:$R$99,8,0)="TRUE"),0,VLOOKUP(VALUE(G$44),'SJ data'!$A$2:$R$99,8,0))</f>
        <v>0</v>
      </c>
      <c r="H61" s="184">
        <f>IF(ISERR(VLOOKUP(VALUE(H$44),'SJ data'!$A$2:$R$99,7,0)="TRUE"),0,VLOOKUP(VALUE(H$44),'SJ data'!$A$2:$R$99,7,0))+IF(ISERR(VLOOKUP(VALUE(H$44),'SJ data'!$A$2:$R$99,8,0)="TRUE"),0,VLOOKUP(VALUE(H$44),'SJ data'!$A$2:$R$99,8,0))</f>
        <v>194.23</v>
      </c>
      <c r="I61" s="184">
        <f>IF(ISERR(VLOOKUP(VALUE(I$44),'SJ data'!$A$2:$R$99,7,0)="TRUE"),0,VLOOKUP(VALUE(I$44),'SJ data'!$A$2:$R$99,7,0))+IF(ISERR(VLOOKUP(VALUE(I$44),'SJ data'!$A$2:$R$99,8,0)="TRUE"),0,VLOOKUP(VALUE(I$44),'SJ data'!$A$2:$R$99,8,0))</f>
        <v>0</v>
      </c>
      <c r="J61" s="184">
        <f>IF(ISERR(VLOOKUP(VALUE(J$44),'SJ data'!$A$2:$R$99,7,0)="TRUE"),0,VLOOKUP(VALUE(J$44),'SJ data'!$A$2:$R$99,7,0))+IF(ISERR(VLOOKUP(VALUE(J$44),'SJ data'!$A$2:$R$99,8,0)="TRUE"),0,VLOOKUP(VALUE(J$44),'SJ data'!$A$2:$R$99,8,0))</f>
        <v>5274899.4800000004</v>
      </c>
      <c r="K61" s="184">
        <f>IF(ISERR(VLOOKUP(VALUE(K$44),'SJ data'!$A$2:$R$99,7,0)="TRUE"),0,VLOOKUP(VALUE(K$44),'SJ data'!$A$2:$R$99,7,0))+IF(ISERR(VLOOKUP(VALUE(K$44),'SJ data'!$A$2:$R$99,8,0)="TRUE"),0,VLOOKUP(VALUE(K$44),'SJ data'!$A$2:$R$99,8,0))</f>
        <v>0</v>
      </c>
      <c r="L61" s="184">
        <f>IF(ISERR(VLOOKUP(VALUE(L$44),'SJ data'!$A$2:$R$99,7,0)="TRUE"),0,VLOOKUP(VALUE(L$44),'SJ data'!$A$2:$R$99,7,0))+IF(ISERR(VLOOKUP(VALUE(L$44),'SJ data'!$A$2:$R$99,8,0)="TRUE"),0,VLOOKUP(VALUE(L$44),'SJ data'!$A$2:$R$99,8,0))</f>
        <v>0</v>
      </c>
      <c r="M61" s="184">
        <f>IF(ISERR(VLOOKUP(VALUE(M$44),'SJ data'!$A$2:$R$99,7,0)="TRUE"),0,VLOOKUP(VALUE(M$44),'SJ data'!$A$2:$R$99,7,0))+IF(ISERR(VLOOKUP(VALUE(M$44),'SJ data'!$A$2:$R$99,8,0)="TRUE"),0,VLOOKUP(VALUE(M$44),'SJ data'!$A$2:$R$99,8,0))</f>
        <v>0</v>
      </c>
      <c r="N61" s="184">
        <f>IF(ISERR(VLOOKUP(VALUE(N$44),'SJ data'!$A$2:$R$99,7,0)="TRUE"),0,VLOOKUP(VALUE(N$44),'SJ data'!$A$2:$R$99,7,0))+IF(ISERR(VLOOKUP(VALUE(N$44),'SJ data'!$A$2:$R$99,8,0)="TRUE"),0,VLOOKUP(VALUE(N$44),'SJ data'!$A$2:$R$99,8,0))</f>
        <v>0</v>
      </c>
      <c r="O61" s="184">
        <f>IF(ISERR(VLOOKUP(VALUE(O$44),'SJ data'!$A$2:$R$99,7,0)="TRUE"),0,VLOOKUP(VALUE(O$44),'SJ data'!$A$2:$R$99,7,0))+IF(ISERR(VLOOKUP(VALUE(O$44),'SJ data'!$A$2:$R$99,8,0)="TRUE"),0,VLOOKUP(VALUE(O$44),'SJ data'!$A$2:$R$99,8,0))</f>
        <v>13475552.289999999</v>
      </c>
      <c r="P61" s="184">
        <f>IF(ISERR(VLOOKUP(VALUE(P$44),'SJ data'!$A$2:$R$99,7,0)="TRUE"),0,VLOOKUP(VALUE(P$44),'SJ data'!$A$2:$R$99,7,0))+IF(ISERR(VLOOKUP(VALUE(P$44),'SJ data'!$A$2:$R$99,8,0)="TRUE"),0,VLOOKUP(VALUE(P$44),'SJ data'!$A$2:$R$99,8,0))</f>
        <v>24347365.700000003</v>
      </c>
      <c r="Q61" s="184">
        <f>IF(ISERR(VLOOKUP(VALUE(Q$44),'SJ data'!$A$2:$R$99,7,0)="TRUE"),0,VLOOKUP(VALUE(Q$44),'SJ data'!$A$2:$R$99,7,0))+IF(ISERR(VLOOKUP(VALUE(Q$44),'SJ data'!$A$2:$R$99,8,0)="TRUE"),0,VLOOKUP(VALUE(Q$44),'SJ data'!$A$2:$R$99,8,0))</f>
        <v>1959924.2</v>
      </c>
      <c r="R61" s="184">
        <f>IF(ISERR(VLOOKUP(VALUE(R$44),'SJ data'!$A$2:$R$99,7,0)="TRUE"),0,VLOOKUP(VALUE(R$44),'SJ data'!$A$2:$R$99,7,0))+IF(ISERR(VLOOKUP(VALUE(R$44),'SJ data'!$A$2:$R$99,8,0)="TRUE"),0,VLOOKUP(VALUE(R$44),'SJ data'!$A$2:$R$99,8,0))</f>
        <v>0</v>
      </c>
      <c r="S61" s="184">
        <f>IF(ISERR(VLOOKUP(VALUE(S$44),'SJ data'!$A$2:$R$99,7,0)="TRUE"),0,VLOOKUP(VALUE(S$44),'SJ data'!$A$2:$R$99,7,0))+IF(ISERR(VLOOKUP(VALUE(S$44),'SJ data'!$A$2:$R$99,8,0)="TRUE"),0,VLOOKUP(VALUE(S$44),'SJ data'!$A$2:$R$99,8,0))</f>
        <v>1818333.47</v>
      </c>
      <c r="T61" s="184">
        <f>IF(ISERR(VLOOKUP(VALUE(T$44),'SJ data'!$A$2:$R$99,7,0)="TRUE"),0,VLOOKUP(VALUE(T$44),'SJ data'!$A$2:$R$99,7,0))+IF(ISERR(VLOOKUP(VALUE(T$44),'SJ data'!$A$2:$R$99,8,0)="TRUE"),0,VLOOKUP(VALUE(T$44),'SJ data'!$A$2:$R$99,8,0))</f>
        <v>1611617.87</v>
      </c>
      <c r="U61" s="184">
        <f>IF(ISERR(VLOOKUP(VALUE(U$44),'SJ data'!$A$2:$R$99,7,0)="TRUE"),0,VLOOKUP(VALUE(U$44),'SJ data'!$A$2:$R$99,7,0))+IF(ISERR(VLOOKUP(VALUE(U$44),'SJ data'!$A$2:$R$99,8,0)="TRUE"),0,VLOOKUP(VALUE(U$44),'SJ data'!$A$2:$R$99,8,0))</f>
        <v>7280052.8900000006</v>
      </c>
      <c r="V61" s="184">
        <f>IF(ISERR(VLOOKUP(VALUE(V$44),'SJ data'!$A$2:$R$99,7,0)="TRUE"),0,VLOOKUP(VALUE(V$44),'SJ data'!$A$2:$R$99,7,0))+IF(ISERR(VLOOKUP(VALUE(V$44),'SJ data'!$A$2:$R$99,8,0)="TRUE"),0,VLOOKUP(VALUE(V$44),'SJ data'!$A$2:$R$99,8,0))</f>
        <v>2924265.3500000006</v>
      </c>
      <c r="W61" s="184">
        <f>IF(ISERR(VLOOKUP(VALUE(W$44),'SJ data'!$A$2:$R$99,7,0)="TRUE"),0,VLOOKUP(VALUE(W$44),'SJ data'!$A$2:$R$99,7,0))+IF(ISERR(VLOOKUP(VALUE(W$44),'SJ data'!$A$2:$R$99,8,0)="TRUE"),0,VLOOKUP(VALUE(W$44),'SJ data'!$A$2:$R$99,8,0))</f>
        <v>895590.95</v>
      </c>
      <c r="X61" s="184">
        <f>IF(ISERR(VLOOKUP(VALUE(X$44),'SJ data'!$A$2:$R$99,7,0)="TRUE"),0,VLOOKUP(VALUE(X$44),'SJ data'!$A$2:$R$99,7,0))+IF(ISERR(VLOOKUP(VALUE(X$44),'SJ data'!$A$2:$R$99,8,0)="TRUE"),0,VLOOKUP(VALUE(X$44),'SJ data'!$A$2:$R$99,8,0))</f>
        <v>1190720.94</v>
      </c>
      <c r="Y61" s="184">
        <f>IF(ISERR(VLOOKUP(VALUE(Y$44),'SJ data'!$A$2:$R$99,7,0)="TRUE"),0,VLOOKUP(VALUE(Y$44),'SJ data'!$A$2:$R$99,7,0))+IF(ISERR(VLOOKUP(VALUE(Y$44),'SJ data'!$A$2:$R$99,8,0)="TRUE"),0,VLOOKUP(VALUE(Y$44),'SJ data'!$A$2:$R$99,8,0))</f>
        <v>4823707.9499999993</v>
      </c>
      <c r="Z61" s="184">
        <f>IF(ISERR(VLOOKUP(VALUE(Z$44),'SJ data'!$A$2:$R$99,7,0)="TRUE"),0,VLOOKUP(VALUE(Z$44),'SJ data'!$A$2:$R$99,7,0))+IF(ISERR(VLOOKUP(VALUE(Z$44),'SJ data'!$A$2:$R$99,8,0)="TRUE"),0,VLOOKUP(VALUE(Z$44),'SJ data'!$A$2:$R$99,8,0))</f>
        <v>0</v>
      </c>
      <c r="AA61" s="184">
        <f>IF(ISERR(VLOOKUP(VALUE(AA$44),'SJ data'!$A$2:$R$99,7,0)="TRUE"),0,VLOOKUP(VALUE(AA$44),'SJ data'!$A$2:$R$99,7,0))+IF(ISERR(VLOOKUP(VALUE(AA$44),'SJ data'!$A$2:$R$99,8,0)="TRUE"),0,VLOOKUP(VALUE(AA$44),'SJ data'!$A$2:$R$99,8,0))</f>
        <v>627684.91</v>
      </c>
      <c r="AB61" s="184">
        <f>IF(ISERR(VLOOKUP(VALUE(AB$44),'SJ data'!$A$2:$R$99,7,0)="TRUE"),0,VLOOKUP(VALUE(AB$44),'SJ data'!$A$2:$R$99,7,0))+IF(ISERR(VLOOKUP(VALUE(AB$44),'SJ data'!$A$2:$R$99,8,0)="TRUE"),0,VLOOKUP(VALUE(AB$44),'SJ data'!$A$2:$R$99,8,0))</f>
        <v>8326683.4300000006</v>
      </c>
      <c r="AC61" s="184">
        <f>IF(ISERR(VLOOKUP(VALUE(AC$44),'SJ data'!$A$2:$R$99,7,0)="TRUE"),0,VLOOKUP(VALUE(AC$44),'SJ data'!$A$2:$R$99,7,0))+IF(ISERR(VLOOKUP(VALUE(AC$44),'SJ data'!$A$2:$R$99,8,0)="TRUE"),0,VLOOKUP(VALUE(AC$44),'SJ data'!$A$2:$R$99,8,0))</f>
        <v>2727443.11</v>
      </c>
      <c r="AD61" s="184">
        <f>IF(ISERR(VLOOKUP(VALUE(AD$44),'SJ data'!$A$2:$R$99,7,0)="TRUE"),0,VLOOKUP(VALUE(AD$44),'SJ data'!$A$2:$R$99,7,0))+IF(ISERR(VLOOKUP(VALUE(AD$44),'SJ data'!$A$2:$R$99,8,0)="TRUE"),0,VLOOKUP(VALUE(AD$44),'SJ data'!$A$2:$R$99,8,0))</f>
        <v>143297.57999999999</v>
      </c>
      <c r="AE61" s="184">
        <f>IF(ISERR(VLOOKUP(VALUE(AE$44),'SJ data'!$A$2:$R$99,7,0)="TRUE"),0,VLOOKUP(VALUE(AE$44),'SJ data'!$A$2:$R$99,7,0))+IF(ISERR(VLOOKUP(VALUE(AE$44),'SJ data'!$A$2:$R$99,8,0)="TRUE"),0,VLOOKUP(VALUE(AE$44),'SJ data'!$A$2:$R$99,8,0))</f>
        <v>3860240.5700000003</v>
      </c>
      <c r="AF61" s="184">
        <f>IF(ISERR(VLOOKUP(VALUE(AF$44),'SJ data'!$A$2:$R$99,7,0)="TRUE"),0,VLOOKUP(VALUE(AF$44),'SJ data'!$A$2:$R$99,7,0))+IF(ISERR(VLOOKUP(VALUE(AF$44),'SJ data'!$A$2:$R$99,8,0)="TRUE"),0,VLOOKUP(VALUE(AF$44),'SJ data'!$A$2:$R$99,8,0))</f>
        <v>0</v>
      </c>
      <c r="AG61" s="184">
        <f>IF(ISERR(VLOOKUP(VALUE(AG$44),'SJ data'!$A$2:$R$99,7,0)="TRUE"),0,VLOOKUP(VALUE(AG$44),'SJ data'!$A$2:$R$99,7,0))+IF(ISERR(VLOOKUP(VALUE(AG$44),'SJ data'!$A$2:$R$99,8,0)="TRUE"),0,VLOOKUP(VALUE(AG$44),'SJ data'!$A$2:$R$99,8,0))</f>
        <v>7249675.7099999981</v>
      </c>
      <c r="AH61" s="184">
        <f>IF(ISERR(VLOOKUP(VALUE(AH$44),'SJ data'!$A$2:$R$99,7,0)="TRUE"),0,VLOOKUP(VALUE(AH$44),'SJ data'!$A$2:$R$99,7,0))+IF(ISERR(VLOOKUP(VALUE(AH$44),'SJ data'!$A$2:$R$99,8,0)="TRUE"),0,VLOOKUP(VALUE(AH$44),'SJ data'!$A$2:$R$99,8,0))</f>
        <v>0</v>
      </c>
      <c r="AI61" s="184">
        <f>IF(ISERR(VLOOKUP(VALUE(AI$44),'SJ data'!$A$2:$R$99,7,0)="TRUE"),0,VLOOKUP(VALUE(AI$44),'SJ data'!$A$2:$R$99,7,0))+IF(ISERR(VLOOKUP(VALUE(AI$44),'SJ data'!$A$2:$R$99,8,0)="TRUE"),0,VLOOKUP(VALUE(AI$44),'SJ data'!$A$2:$R$99,8,0))</f>
        <v>0</v>
      </c>
      <c r="AJ61" s="184">
        <f>IF(ISERR(VLOOKUP(VALUE(AJ$44),'SJ data'!$A$2:$R$99,7,0)="TRUE"),0,VLOOKUP(VALUE(AJ$44),'SJ data'!$A$2:$R$99,7,0))+IF(ISERR(VLOOKUP(VALUE(AJ$44),'SJ data'!$A$2:$R$99,8,0)="TRUE"),0,VLOOKUP(VALUE(AJ$44),'SJ data'!$A$2:$R$99,8,0))</f>
        <v>100769292.82000001</v>
      </c>
      <c r="AK61" s="184">
        <f>IF(ISERR(VLOOKUP(VALUE(AK$44),'SJ data'!$A$2:$R$99,7,0)="TRUE"),0,VLOOKUP(VALUE(AK$44),'SJ data'!$A$2:$R$99,7,0))+IF(ISERR(VLOOKUP(VALUE(AK$44),'SJ data'!$A$2:$R$99,8,0)="TRUE"),0,VLOOKUP(VALUE(AK$44),'SJ data'!$A$2:$R$99,8,0))</f>
        <v>1546514.4700000002</v>
      </c>
      <c r="AL61" s="184">
        <f>IF(ISERR(VLOOKUP(VALUE(AL$44),'SJ data'!$A$2:$R$99,7,0)="TRUE"),0,VLOOKUP(VALUE(AL$44),'SJ data'!$A$2:$R$99,7,0))+IF(ISERR(VLOOKUP(VALUE(AL$44),'SJ data'!$A$2:$R$99,8,0)="TRUE"),0,VLOOKUP(VALUE(AL$44),'SJ data'!$A$2:$R$99,8,0))</f>
        <v>469457.38</v>
      </c>
      <c r="AM61" s="184">
        <f>IF(ISERR(VLOOKUP(VALUE(AM$44),'SJ data'!$A$2:$R$99,7,0)="TRUE"),0,VLOOKUP(VALUE(AM$44),'SJ data'!$A$2:$R$99,7,0))+IF(ISERR(VLOOKUP(VALUE(AM$44),'SJ data'!$A$2:$R$99,8,0)="TRUE"),0,VLOOKUP(VALUE(AM$44),'SJ data'!$A$2:$R$99,8,0))</f>
        <v>0</v>
      </c>
      <c r="AN61" s="184">
        <f>IF(ISERR(VLOOKUP(VALUE(AN$44),'SJ data'!$A$2:$R$99,7,0)="TRUE"),0,VLOOKUP(VALUE(AN$44),'SJ data'!$A$2:$R$99,7,0))+IF(ISERR(VLOOKUP(VALUE(AN$44),'SJ data'!$A$2:$R$99,8,0)="TRUE"),0,VLOOKUP(VALUE(AN$44),'SJ data'!$A$2:$R$99,8,0))</f>
        <v>0</v>
      </c>
      <c r="AO61" s="184">
        <f>IF(ISERR(VLOOKUP(VALUE(AO$44),'SJ data'!$A$2:$R$99,7,0)="TRUE"),0,VLOOKUP(VALUE(AO$44),'SJ data'!$A$2:$R$99,7,0))+IF(ISERR(VLOOKUP(VALUE(AO$44),'SJ data'!$A$2:$R$99,8,0)="TRUE"),0,VLOOKUP(VALUE(AO$44),'SJ data'!$A$2:$R$99,8,0))</f>
        <v>0</v>
      </c>
      <c r="AP61" s="184">
        <f>IF(ISERR(VLOOKUP(VALUE(AP$44),'SJ data'!$A$2:$R$99,7,0)="TRUE"),0,VLOOKUP(VALUE(AP$44),'SJ data'!$A$2:$R$99,7,0))+IF(ISERR(VLOOKUP(VALUE(AP$44),'SJ data'!$A$2:$R$99,8,0)="TRUE"),0,VLOOKUP(VALUE(AP$44),'SJ data'!$A$2:$R$99,8,0))</f>
        <v>185506.66</v>
      </c>
      <c r="AQ61" s="184">
        <f>IF(ISERR(VLOOKUP(VALUE(AQ$44),'SJ data'!$A$2:$R$99,7,0)="TRUE"),0,VLOOKUP(VALUE(AQ$44),'SJ data'!$A$2:$R$99,7,0))+IF(ISERR(VLOOKUP(VALUE(AQ$44),'SJ data'!$A$2:$R$99,8,0)="TRUE"),0,VLOOKUP(VALUE(AQ$44),'SJ data'!$A$2:$R$99,8,0))</f>
        <v>0</v>
      </c>
      <c r="AR61" s="184">
        <f>IF(ISERR(VLOOKUP(VALUE(AR$44),'SJ data'!$A$2:$R$99,7,0)="TRUE"),0,VLOOKUP(VALUE(AR$44),'SJ data'!$A$2:$R$99,7,0))+IF(ISERR(VLOOKUP(VALUE(AR$44),'SJ data'!$A$2:$R$99,8,0)="TRUE"),0,VLOOKUP(VALUE(AR$44),'SJ data'!$A$2:$R$99,8,0))</f>
        <v>30184727.380000003</v>
      </c>
      <c r="AS61" s="184">
        <f>IF(ISERR(VLOOKUP(VALUE(AS$44),'SJ data'!$A$2:$R$99,7,0)="TRUE"),0,VLOOKUP(VALUE(AS$44),'SJ data'!$A$2:$R$99,7,0))+IF(ISERR(VLOOKUP(VALUE(AS$44),'SJ data'!$A$2:$R$99,8,0)="TRUE"),0,VLOOKUP(VALUE(AS$44),'SJ data'!$A$2:$R$99,8,0))</f>
        <v>0</v>
      </c>
      <c r="AT61" s="184">
        <f>IF(ISERR(VLOOKUP(VALUE(AT$44),'SJ data'!$A$2:$R$99,7,0)="TRUE"),0,VLOOKUP(VALUE(AT$44),'SJ data'!$A$2:$R$99,7,0))+IF(ISERR(VLOOKUP(VALUE(AT$44),'SJ data'!$A$2:$R$99,8,0)="TRUE"),0,VLOOKUP(VALUE(AT$44),'SJ data'!$A$2:$R$99,8,0))</f>
        <v>0</v>
      </c>
      <c r="AU61" s="184">
        <f>IF(ISERR(VLOOKUP(VALUE(AU$44),'SJ data'!$A$2:$R$99,7,0)="TRUE"),0,VLOOKUP(VALUE(AU$44),'SJ data'!$A$2:$R$99,7,0))+IF(ISERR(VLOOKUP(VALUE(AU$44),'SJ data'!$A$2:$R$99,8,0)="TRUE"),0,VLOOKUP(VALUE(AU$44),'SJ data'!$A$2:$R$99,8,0))</f>
        <v>0</v>
      </c>
      <c r="AV61" s="184">
        <f>IF(ISERR(VLOOKUP(VALUE(AV$44),'SJ data'!$A$2:$R$99,7,0)="TRUE"),0,VLOOKUP(VALUE(AV$44),'SJ data'!$A$2:$R$99,7,0))+IF(ISERR(VLOOKUP(VALUE(AV$44),'SJ data'!$A$2:$R$99,8,0)="TRUE"),0,VLOOKUP(VALUE(AV$44),'SJ data'!$A$2:$R$99,8,0))</f>
        <v>3381727.8499999996</v>
      </c>
      <c r="AW61" s="184">
        <f>IF(ISERR(VLOOKUP(VALUE(AW$44),'SJ data'!$A$2:$R$99,7,0)="TRUE"),0,VLOOKUP(VALUE(AW$44),'SJ data'!$A$2:$R$99,7,0))+IF(ISERR(VLOOKUP(VALUE(AW$44),'SJ data'!$A$2:$R$99,8,0)="TRUE"),0,VLOOKUP(VALUE(AW$44),'SJ data'!$A$2:$R$99,8,0))</f>
        <v>0</v>
      </c>
      <c r="AX61" s="184">
        <f>IF(ISERR(VLOOKUP(VALUE(AX$44),'SJ data'!$A$2:$R$99,7,0)="TRUE"),0,VLOOKUP(VALUE(AX$44),'SJ data'!$A$2:$R$99,7,0))+IF(ISERR(VLOOKUP(VALUE(AX$44),'SJ data'!$A$2:$R$99,8,0)="TRUE"),0,VLOOKUP(VALUE(AX$44),'SJ data'!$A$2:$R$99,8,0))</f>
        <v>0</v>
      </c>
      <c r="AY61" s="184">
        <f>IF(ISERR(VLOOKUP(VALUE(AY$44),'SJ data'!$A$2:$R$99,7,0)="TRUE"),0,VLOOKUP(VALUE(AY$44),'SJ data'!$A$2:$R$99,7,0))+IF(ISERR(VLOOKUP(VALUE(AY$44),'SJ data'!$A$2:$R$99,8,0)="TRUE"),0,VLOOKUP(VALUE(AY$44),'SJ data'!$A$2:$R$99,8,0))</f>
        <v>0</v>
      </c>
      <c r="AZ61" s="184">
        <f>IF(ISERR(VLOOKUP(VALUE(AZ$44),'SJ data'!$A$2:$R$99,7,0)="TRUE"),0,VLOOKUP(VALUE(AZ$44),'SJ data'!$A$2:$R$99,7,0))+IF(ISERR(VLOOKUP(VALUE(AZ$44),'SJ data'!$A$2:$R$99,8,0)="TRUE"),0,VLOOKUP(VALUE(AZ$44),'SJ data'!$A$2:$R$99,8,0))</f>
        <v>4812524.7299999995</v>
      </c>
      <c r="BA61" s="184">
        <f>IF(ISERR(VLOOKUP(VALUE(BA$44),'SJ data'!$A$2:$R$99,7,0)="TRUE"),0,VLOOKUP(VALUE(BA$44),'SJ data'!$A$2:$R$99,7,0))+IF(ISERR(VLOOKUP(VALUE(BA$44),'SJ data'!$A$2:$R$99,8,0)="TRUE"),0,VLOOKUP(VALUE(BA$44),'SJ data'!$A$2:$R$99,8,0))</f>
        <v>194427.71</v>
      </c>
      <c r="BB61" s="184">
        <f>IF(ISERR(VLOOKUP(VALUE(BB$44),'SJ data'!$A$2:$R$99,7,0)="TRUE"),0,VLOOKUP(VALUE(BB$44),'SJ data'!$A$2:$R$99,7,0))+IF(ISERR(VLOOKUP(VALUE(BB$44),'SJ data'!$A$2:$R$99,8,0)="TRUE"),0,VLOOKUP(VALUE(BB$44),'SJ data'!$A$2:$R$99,8,0))</f>
        <v>0</v>
      </c>
      <c r="BC61" s="184">
        <f>IF(ISERR(VLOOKUP(VALUE(BC$44),'SJ data'!$A$2:$R$99,7,0)="TRUE"),0,VLOOKUP(VALUE(BC$44),'SJ data'!$A$2:$R$99,7,0))+IF(ISERR(VLOOKUP(VALUE(BC$44),'SJ data'!$A$2:$R$99,8,0)="TRUE"),0,VLOOKUP(VALUE(BC$44),'SJ data'!$A$2:$R$99,8,0))</f>
        <v>515286.16999999993</v>
      </c>
      <c r="BD61" s="184">
        <f>IF(ISERR(VLOOKUP(VALUE(BD$44),'SJ data'!$A$2:$R$99,7,0)="TRUE"),0,VLOOKUP(VALUE(BD$44),'SJ data'!$A$2:$R$99,7,0))+IF(ISERR(VLOOKUP(VALUE(BD$44),'SJ data'!$A$2:$R$99,8,0)="TRUE"),0,VLOOKUP(VALUE(BD$44),'SJ data'!$A$2:$R$99,8,0))</f>
        <v>0</v>
      </c>
      <c r="BE61" s="184">
        <f>IF(ISERR(VLOOKUP(VALUE(BE$44),'SJ data'!$A$2:$R$99,7,0)="TRUE"),0,VLOOKUP(VALUE(BE$44),'SJ data'!$A$2:$R$99,7,0))+IF(ISERR(VLOOKUP(VALUE(BE$44),'SJ data'!$A$2:$R$99,8,0)="TRUE"),0,VLOOKUP(VALUE(BE$44),'SJ data'!$A$2:$R$99,8,0))</f>
        <v>1294775.4099999999</v>
      </c>
      <c r="BF61" s="184">
        <f>IF(ISERR(VLOOKUP(VALUE(BF$44),'SJ data'!$A$2:$R$99,7,0)="TRUE"),0,VLOOKUP(VALUE(BF$44),'SJ data'!$A$2:$R$99,7,0))+IF(ISERR(VLOOKUP(VALUE(BF$44),'SJ data'!$A$2:$R$99,8,0)="TRUE"),0,VLOOKUP(VALUE(BF$44),'SJ data'!$A$2:$R$99,8,0))</f>
        <v>4328355.72</v>
      </c>
      <c r="BG61" s="184">
        <f>IF(ISERR(VLOOKUP(VALUE(BG$44),'SJ data'!$A$2:$R$99,7,0)="TRUE"),0,VLOOKUP(VALUE(BG$44),'SJ data'!$A$2:$R$99,7,0))+IF(ISERR(VLOOKUP(VALUE(BG$44),'SJ data'!$A$2:$R$99,8,0)="TRUE"),0,VLOOKUP(VALUE(BG$44),'SJ data'!$A$2:$R$99,8,0))</f>
        <v>0</v>
      </c>
      <c r="BH61" s="184">
        <f>IF(ISERR(VLOOKUP(VALUE(BH$44),'SJ data'!$A$2:$R$99,7,0)="TRUE"),0,VLOOKUP(VALUE(BH$44),'SJ data'!$A$2:$R$99,7,0))+IF(ISERR(VLOOKUP(VALUE(BH$44),'SJ data'!$A$2:$R$99,8,0)="TRUE"),0,VLOOKUP(VALUE(BH$44),'SJ data'!$A$2:$R$99,8,0))</f>
        <v>0</v>
      </c>
      <c r="BI61" s="184">
        <f>IF(ISERR(VLOOKUP(VALUE(BI$44),'SJ data'!$A$2:$R$99,7,0)="TRUE"),0,VLOOKUP(VALUE(BI$44),'SJ data'!$A$2:$R$99,7,0))+IF(ISERR(VLOOKUP(VALUE(BI$44),'SJ data'!$A$2:$R$99,8,0)="TRUE"),0,VLOOKUP(VALUE(BI$44),'SJ data'!$A$2:$R$99,8,0))</f>
        <v>0</v>
      </c>
      <c r="BJ61" s="184">
        <f>IF(ISERR(VLOOKUP(VALUE(BJ$44),'SJ data'!$A$2:$R$99,7,0)="TRUE"),0,VLOOKUP(VALUE(BJ$44),'SJ data'!$A$2:$R$99,7,0))+IF(ISERR(VLOOKUP(VALUE(BJ$44),'SJ data'!$A$2:$R$99,8,0)="TRUE"),0,VLOOKUP(VALUE(BJ$44),'SJ data'!$A$2:$R$99,8,0))</f>
        <v>0</v>
      </c>
      <c r="BK61" s="184">
        <f>IF(ISERR(VLOOKUP(VALUE(BK$44),'SJ data'!$A$2:$R$99,7,0)="TRUE"),0,VLOOKUP(VALUE(BK$44),'SJ data'!$A$2:$R$99,7,0))+IF(ISERR(VLOOKUP(VALUE(BK$44),'SJ data'!$A$2:$R$99,8,0)="TRUE"),0,VLOOKUP(VALUE(BK$44),'SJ data'!$A$2:$R$99,8,0))</f>
        <v>0</v>
      </c>
      <c r="BL61" s="184">
        <f>IF(ISERR(VLOOKUP(VALUE(BL$44),'SJ data'!$A$2:$R$99,7,0)="TRUE"),0,VLOOKUP(VALUE(BL$44),'SJ data'!$A$2:$R$99,7,0))+IF(ISERR(VLOOKUP(VALUE(BL$44),'SJ data'!$A$2:$R$99,8,0)="TRUE"),0,VLOOKUP(VALUE(BL$44),'SJ data'!$A$2:$R$99,8,0))</f>
        <v>0</v>
      </c>
      <c r="BM61" s="184">
        <f>IF(ISERR(VLOOKUP(VALUE(BM$44),'SJ data'!$A$2:$R$99,7,0)="TRUE"),0,VLOOKUP(VALUE(BM$44),'SJ data'!$A$2:$R$99,7,0))+IF(ISERR(VLOOKUP(VALUE(BM$44),'SJ data'!$A$2:$R$99,8,0)="TRUE"),0,VLOOKUP(VALUE(BM$44),'SJ data'!$A$2:$R$99,8,0))</f>
        <v>0</v>
      </c>
      <c r="BN61" s="184">
        <f>IF(ISERR(VLOOKUP(VALUE(BN$44),'SJ data'!$A$2:$R$99,7,0)="TRUE"),0,VLOOKUP(VALUE(BN$44),'SJ data'!$A$2:$R$99,7,0))+IF(ISERR(VLOOKUP(VALUE(BN$44),'SJ data'!$A$2:$R$99,8,0)="TRUE"),0,VLOOKUP(VALUE(BN$44),'SJ data'!$A$2:$R$99,8,0))</f>
        <v>1398788.01</v>
      </c>
      <c r="BO61" s="184">
        <f>IF(ISERR(VLOOKUP(VALUE(BO$44),'SJ data'!$A$2:$R$99,7,0)="TRUE"),0,VLOOKUP(VALUE(BO$44),'SJ data'!$A$2:$R$99,7,0))+IF(ISERR(VLOOKUP(VALUE(BO$44),'SJ data'!$A$2:$R$99,8,0)="TRUE"),0,VLOOKUP(VALUE(BO$44),'SJ data'!$A$2:$R$99,8,0))</f>
        <v>0</v>
      </c>
      <c r="BP61" s="184">
        <f>IF(ISERR(VLOOKUP(VALUE(BP$44),'SJ data'!$A$2:$R$99,7,0)="TRUE"),0,VLOOKUP(VALUE(BP$44),'SJ data'!$A$2:$R$99,7,0))+IF(ISERR(VLOOKUP(VALUE(BP$44),'SJ data'!$A$2:$R$99,8,0)="TRUE"),0,VLOOKUP(VALUE(BP$44),'SJ data'!$A$2:$R$99,8,0))</f>
        <v>0</v>
      </c>
      <c r="BQ61" s="184">
        <f>IF(ISERR(VLOOKUP(VALUE(BQ$44),'SJ data'!$A$2:$R$99,7,0)="TRUE"),0,VLOOKUP(VALUE(BQ$44),'SJ data'!$A$2:$R$99,7,0))+IF(ISERR(VLOOKUP(VALUE(BQ$44),'SJ data'!$A$2:$R$99,8,0)="TRUE"),0,VLOOKUP(VALUE(BQ$44),'SJ data'!$A$2:$R$99,8,0))</f>
        <v>0</v>
      </c>
      <c r="BR61" s="184">
        <f>IF(ISERR(VLOOKUP(VALUE(BR$44),'SJ data'!$A$2:$R$99,7,0)="TRUE"),0,VLOOKUP(VALUE(BR$44),'SJ data'!$A$2:$R$99,7,0))+IF(ISERR(VLOOKUP(VALUE(BR$44),'SJ data'!$A$2:$R$99,8,0)="TRUE"),0,VLOOKUP(VALUE(BR$44),'SJ data'!$A$2:$R$99,8,0))</f>
        <v>0</v>
      </c>
      <c r="BS61" s="184">
        <f>IF(ISERR(VLOOKUP(VALUE(BS$44),'SJ data'!$A$2:$R$99,7,0)="TRUE"),0,VLOOKUP(VALUE(BS$44),'SJ data'!$A$2:$R$99,7,0))+IF(ISERR(VLOOKUP(VALUE(BS$44),'SJ data'!$A$2:$R$99,8,0)="TRUE"),0,VLOOKUP(VALUE(BS$44),'SJ data'!$A$2:$R$99,8,0))</f>
        <v>0</v>
      </c>
      <c r="BT61" s="184">
        <f>IF(ISERR(VLOOKUP(VALUE(BT$44),'SJ data'!$A$2:$R$99,7,0)="TRUE"),0,VLOOKUP(VALUE(BT$44),'SJ data'!$A$2:$R$99,7,0))+IF(ISERR(VLOOKUP(VALUE(BT$44),'SJ data'!$A$2:$R$99,8,0)="TRUE"),0,VLOOKUP(VALUE(BT$44),'SJ data'!$A$2:$R$99,8,0))</f>
        <v>151445.33000000002</v>
      </c>
      <c r="BU61" s="184">
        <f>IF(ISERR(VLOOKUP(VALUE(BU$44),'SJ data'!$A$2:$R$99,7,0)="TRUE"),0,VLOOKUP(VALUE(BU$44),'SJ data'!$A$2:$R$99,7,0))+IF(ISERR(VLOOKUP(VALUE(BU$44),'SJ data'!$A$2:$R$99,8,0)="TRUE"),0,VLOOKUP(VALUE(BU$44),'SJ data'!$A$2:$R$99,8,0))</f>
        <v>0</v>
      </c>
      <c r="BV61" s="184">
        <f>IF(ISERR(VLOOKUP(VALUE(BV$44),'SJ data'!$A$2:$R$99,7,0)="TRUE"),0,VLOOKUP(VALUE(BV$44),'SJ data'!$A$2:$R$99,7,0))+IF(ISERR(VLOOKUP(VALUE(BV$44),'SJ data'!$A$2:$R$99,8,0)="TRUE"),0,VLOOKUP(VALUE(BV$44),'SJ data'!$A$2:$R$99,8,0))</f>
        <v>0</v>
      </c>
      <c r="BW61" s="184">
        <f>IF(ISERR(VLOOKUP(VALUE(BW$44),'SJ data'!$A$2:$R$99,7,0)="TRUE"),0,VLOOKUP(VALUE(BW$44),'SJ data'!$A$2:$R$99,7,0))+IF(ISERR(VLOOKUP(VALUE(BW$44),'SJ data'!$A$2:$R$99,8,0)="TRUE"),0,VLOOKUP(VALUE(BW$44),'SJ data'!$A$2:$R$99,8,0))</f>
        <v>0</v>
      </c>
      <c r="BX61" s="184">
        <f>IF(ISERR(VLOOKUP(VALUE(BX$44),'SJ data'!$A$2:$R$99,7,0)="TRUE"),0,VLOOKUP(VALUE(BX$44),'SJ data'!$A$2:$R$99,7,0))+IF(ISERR(VLOOKUP(VALUE(BX$44),'SJ data'!$A$2:$R$99,8,0)="TRUE"),0,VLOOKUP(VALUE(BX$44),'SJ data'!$A$2:$R$99,8,0))</f>
        <v>0</v>
      </c>
      <c r="BY61" s="184">
        <f>IF(ISERR(VLOOKUP(VALUE(BY$44),'SJ data'!$A$2:$R$99,7,0)="TRUE"),0,VLOOKUP(VALUE(BY$44),'SJ data'!$A$2:$R$99,7,0))+IF(ISERR(VLOOKUP(VALUE(BY$44),'SJ data'!$A$2:$R$99,8,0)="TRUE"),0,VLOOKUP(VALUE(BY$44),'SJ data'!$A$2:$R$99,8,0))</f>
        <v>4955560.18</v>
      </c>
      <c r="BZ61" s="184">
        <f>IF(ISERR(VLOOKUP(VALUE(BZ$44),'SJ data'!$A$2:$R$99,7,0)="TRUE"),0,VLOOKUP(VALUE(BZ$44),'SJ data'!$A$2:$R$99,7,0))+IF(ISERR(VLOOKUP(VALUE(BZ$44),'SJ data'!$A$2:$R$99,8,0)="TRUE"),0,VLOOKUP(VALUE(BZ$44),'SJ data'!$A$2:$R$99,8,0))</f>
        <v>887312.97</v>
      </c>
      <c r="CA61" s="184">
        <f>IF(ISERR(VLOOKUP(VALUE(CA$44),'SJ data'!$A$2:$R$99,7,0)="TRUE"),0,VLOOKUP(VALUE(CA$44),'SJ data'!$A$2:$R$99,7,0))+IF(ISERR(VLOOKUP(VALUE(CA$44),'SJ data'!$A$2:$R$99,8,0)="TRUE"),0,VLOOKUP(VALUE(CA$44),'SJ data'!$A$2:$R$99,8,0))</f>
        <v>654677.07000000007</v>
      </c>
      <c r="CB61" s="184">
        <f>IF(ISERR(VLOOKUP(VALUE(CB$44),'SJ data'!$A$2:$R$99,7,0)="TRUE"),0,VLOOKUP(VALUE(CB$44),'SJ data'!$A$2:$R$99,7,0))+IF(ISERR(VLOOKUP(VALUE(CB$44),'SJ data'!$A$2:$R$99,8,0)="TRUE"),0,VLOOKUP(VALUE(CB$44),'SJ data'!$A$2:$R$99,8,0))</f>
        <v>0</v>
      </c>
      <c r="CC61" s="184">
        <f>IF(ISERR(VLOOKUP(VALUE(CC$44),'SJ data'!$A$2:$R$99,7,0)="TRUE"),0,VLOOKUP(VALUE(CC$44),'SJ data'!$A$2:$R$99,7,0))+IF(ISERR(VLOOKUP(VALUE(CC$44),'SJ data'!$A$2:$R$99,8,0)="TRUE"),0,VLOOKUP(VALUE(CC$44),'SJ data'!$A$2:$R$99,8,0))+'SJ data'!G49</f>
        <v>3513536.48</v>
      </c>
      <c r="CD61" s="247" t="s">
        <v>221</v>
      </c>
      <c r="CE61" s="195">
        <f t="shared" si="0"/>
        <v>312834201.53000009</v>
      </c>
      <c r="CF61" s="250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4792558</v>
      </c>
      <c r="D62" s="195">
        <f t="shared" si="1"/>
        <v>0</v>
      </c>
      <c r="E62" s="195">
        <f t="shared" si="1"/>
        <v>13998376</v>
      </c>
      <c r="F62" s="195">
        <f t="shared" si="1"/>
        <v>0</v>
      </c>
      <c r="G62" s="195">
        <f t="shared" si="1"/>
        <v>0</v>
      </c>
      <c r="H62" s="195">
        <f t="shared" si="1"/>
        <v>15</v>
      </c>
      <c r="I62" s="195">
        <f t="shared" si="1"/>
        <v>0</v>
      </c>
      <c r="J62" s="195">
        <f>ROUND(J47+J48,0)</f>
        <v>1475397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3730096</v>
      </c>
      <c r="P62" s="195">
        <f t="shared" si="1"/>
        <v>5804694</v>
      </c>
      <c r="Q62" s="195">
        <f t="shared" si="1"/>
        <v>509138</v>
      </c>
      <c r="R62" s="195">
        <f t="shared" si="1"/>
        <v>0</v>
      </c>
      <c r="S62" s="195">
        <f t="shared" si="1"/>
        <v>809252</v>
      </c>
      <c r="T62" s="195">
        <f t="shared" si="1"/>
        <v>386352</v>
      </c>
      <c r="U62" s="195">
        <f t="shared" si="1"/>
        <v>2071463</v>
      </c>
      <c r="V62" s="195">
        <f t="shared" si="1"/>
        <v>604229</v>
      </c>
      <c r="W62" s="195">
        <f t="shared" si="1"/>
        <v>228622</v>
      </c>
      <c r="X62" s="195">
        <f t="shared" si="1"/>
        <v>274822</v>
      </c>
      <c r="Y62" s="195">
        <f t="shared" si="1"/>
        <v>1360259</v>
      </c>
      <c r="Z62" s="195">
        <f t="shared" si="1"/>
        <v>0</v>
      </c>
      <c r="AA62" s="195">
        <f t="shared" si="1"/>
        <v>163904</v>
      </c>
      <c r="AB62" s="195">
        <f t="shared" si="1"/>
        <v>2257147</v>
      </c>
      <c r="AC62" s="195">
        <f t="shared" si="1"/>
        <v>741759</v>
      </c>
      <c r="AD62" s="195">
        <f t="shared" si="1"/>
        <v>32601</v>
      </c>
      <c r="AE62" s="195">
        <f t="shared" si="1"/>
        <v>1060999</v>
      </c>
      <c r="AF62" s="195">
        <f t="shared" si="1"/>
        <v>0</v>
      </c>
      <c r="AG62" s="195">
        <f t="shared" si="1"/>
        <v>2105440</v>
      </c>
      <c r="AH62" s="195">
        <f t="shared" si="1"/>
        <v>0</v>
      </c>
      <c r="AI62" s="195">
        <f t="shared" si="1"/>
        <v>0</v>
      </c>
      <c r="AJ62" s="195">
        <f t="shared" si="1"/>
        <v>18328787</v>
      </c>
      <c r="AK62" s="195">
        <f t="shared" si="1"/>
        <v>419256</v>
      </c>
      <c r="AL62" s="195">
        <f t="shared" si="1"/>
        <v>132769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8595797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971685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2214511</v>
      </c>
      <c r="BA62" s="195">
        <f>ROUND(BA47+BA48,0)</f>
        <v>97070</v>
      </c>
      <c r="BB62" s="195">
        <f t="shared" si="1"/>
        <v>0</v>
      </c>
      <c r="BC62" s="195">
        <f t="shared" si="1"/>
        <v>228317</v>
      </c>
      <c r="BD62" s="195">
        <f t="shared" si="1"/>
        <v>0</v>
      </c>
      <c r="BE62" s="195">
        <f t="shared" si="1"/>
        <v>431718</v>
      </c>
      <c r="BF62" s="195">
        <f t="shared" si="1"/>
        <v>1930826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260649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2017</v>
      </c>
      <c r="BS62" s="195">
        <f t="shared" si="2"/>
        <v>0</v>
      </c>
      <c r="BT62" s="195">
        <f t="shared" si="2"/>
        <v>59942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1480131</v>
      </c>
      <c r="BZ62" s="195">
        <f t="shared" si="2"/>
        <v>282929</v>
      </c>
      <c r="CA62" s="195">
        <f t="shared" si="2"/>
        <v>171910</v>
      </c>
      <c r="CB62" s="195">
        <f t="shared" si="2"/>
        <v>0</v>
      </c>
      <c r="CC62" s="195">
        <f t="shared" si="2"/>
        <v>77065</v>
      </c>
      <c r="CD62" s="247" t="s">
        <v>221</v>
      </c>
      <c r="CE62" s="195">
        <f t="shared" si="0"/>
        <v>78092502</v>
      </c>
      <c r="CF62" s="250"/>
    </row>
    <row r="63" spans="1:84" ht="12.6" customHeight="1" x14ac:dyDescent="0.2">
      <c r="A63" s="171" t="s">
        <v>236</v>
      </c>
      <c r="B63" s="175"/>
      <c r="C63" s="184">
        <f>IF(ISERR(VLOOKUP(VALUE(C$44),'SJ data'!$A$2:$R$99,10,0)="TRUE"),0,VLOOKUP(VALUE(C$44),'SJ data'!$A$2:$R$99,10,0))</f>
        <v>4524322.7700000005</v>
      </c>
      <c r="D63" s="184">
        <f>IF(ISERR(VLOOKUP(VALUE(D$44),'SJ data'!$A$2:$R$99,10,0)="TRUE"),0,VLOOKUP(VALUE(D$44),'SJ data'!$A$2:$R$99,10,0))</f>
        <v>0</v>
      </c>
      <c r="E63" s="184">
        <f>IF(ISERR(VLOOKUP(VALUE(E$44),'SJ data'!$A$2:$R$99,10,0)="TRUE"),0,VLOOKUP(VALUE(E$44),'SJ data'!$A$2:$R$99,10,0))</f>
        <v>38750</v>
      </c>
      <c r="F63" s="184">
        <f>IF(ISERR(VLOOKUP(VALUE(F$44),'SJ data'!$A$2:$R$99,10,0)="TRUE"),0,VLOOKUP(VALUE(F$44),'SJ data'!$A$2:$R$99,10,0))</f>
        <v>0</v>
      </c>
      <c r="G63" s="184">
        <f>IF(ISERR(VLOOKUP(VALUE(G$44),'SJ data'!$A$2:$R$99,10,0)="TRUE"),0,VLOOKUP(VALUE(G$44),'SJ data'!$A$2:$R$99,10,0))</f>
        <v>0</v>
      </c>
      <c r="H63" s="184">
        <f>IF(ISERR(VLOOKUP(VALUE(H$44),'SJ data'!$A$2:$R$99,10,0)="TRUE"),0,VLOOKUP(VALUE(H$44),'SJ data'!$A$2:$R$99,10,0))</f>
        <v>-7.2</v>
      </c>
      <c r="I63" s="184">
        <f>IF(ISERR(VLOOKUP(VALUE(I$44),'SJ data'!$A$2:$R$99,10,0)="TRUE"),0,VLOOKUP(VALUE(I$44),'SJ data'!$A$2:$R$99,10,0))</f>
        <v>0</v>
      </c>
      <c r="J63" s="184">
        <f>IF(ISERR(VLOOKUP(VALUE(J$44),'SJ data'!$A$2:$R$99,10,0)="TRUE"),0,VLOOKUP(VALUE(J$44),'SJ data'!$A$2:$R$99,10,0))</f>
        <v>937314.63999999978</v>
      </c>
      <c r="K63" s="184">
        <f>IF(ISERR(VLOOKUP(VALUE(K$44),'SJ data'!$A$2:$R$99,10,0)="TRUE"),0,VLOOKUP(VALUE(K$44),'SJ data'!$A$2:$R$99,10,0))</f>
        <v>0</v>
      </c>
      <c r="L63" s="184">
        <f>IF(ISERR(VLOOKUP(VALUE(L$44),'SJ data'!$A$2:$R$99,10,0)="TRUE"),0,VLOOKUP(VALUE(L$44),'SJ data'!$A$2:$R$99,10,0))</f>
        <v>0</v>
      </c>
      <c r="M63" s="184">
        <f>IF(ISERR(VLOOKUP(VALUE(M$44),'SJ data'!$A$2:$R$99,10,0)="TRUE"),0,VLOOKUP(VALUE(M$44),'SJ data'!$A$2:$R$99,10,0))</f>
        <v>0</v>
      </c>
      <c r="N63" s="184">
        <f>IF(ISERR(VLOOKUP(VALUE(N$44),'SJ data'!$A$2:$R$99,10,0)="TRUE"),0,VLOOKUP(VALUE(N$44),'SJ data'!$A$2:$R$99,10,0))</f>
        <v>0</v>
      </c>
      <c r="O63" s="184">
        <f>IF(ISERR(VLOOKUP(VALUE(O$44),'SJ data'!$A$2:$R$99,10,0)="TRUE"),0,VLOOKUP(VALUE(O$44),'SJ data'!$A$2:$R$99,10,0))</f>
        <v>1668658.8</v>
      </c>
      <c r="P63" s="184">
        <f>IF(ISERR(VLOOKUP(VALUE(P$44),'SJ data'!$A$2:$R$99,10,0)="TRUE"),0,VLOOKUP(VALUE(P$44),'SJ data'!$A$2:$R$99,10,0))</f>
        <v>4619142.45</v>
      </c>
      <c r="Q63" s="184">
        <f>IF(ISERR(VLOOKUP(VALUE(Q$44),'SJ data'!$A$2:$R$99,10,0)="TRUE"),0,VLOOKUP(VALUE(Q$44),'SJ data'!$A$2:$R$99,10,0))</f>
        <v>0</v>
      </c>
      <c r="R63" s="184">
        <f>IF(ISERR(VLOOKUP(VALUE(R$44),'SJ data'!$A$2:$R$99,10,0)="TRUE"),0,VLOOKUP(VALUE(R$44),'SJ data'!$A$2:$R$99,10,0))</f>
        <v>0</v>
      </c>
      <c r="S63" s="184">
        <f>IF(ISERR(VLOOKUP(VALUE(S$44),'SJ data'!$A$2:$R$99,10,0)="TRUE"),0,VLOOKUP(VALUE(S$44),'SJ data'!$A$2:$R$99,10,0))</f>
        <v>0</v>
      </c>
      <c r="T63" s="184">
        <f>IF(ISERR(VLOOKUP(VALUE(T$44),'SJ data'!$A$2:$R$99,10,0)="TRUE"),0,VLOOKUP(VALUE(T$44),'SJ data'!$A$2:$R$99,10,0))</f>
        <v>0</v>
      </c>
      <c r="U63" s="184">
        <f>IF(ISERR(VLOOKUP(VALUE(U$44),'SJ data'!$A$2:$R$99,10,0)="TRUE"),0,VLOOKUP(VALUE(U$44),'SJ data'!$A$2:$R$99,10,0))</f>
        <v>77528.13</v>
      </c>
      <c r="V63" s="184">
        <f>IF(ISERR(VLOOKUP(VALUE(V$44),'SJ data'!$A$2:$R$99,10,0)="TRUE"),0,VLOOKUP(VALUE(V$44),'SJ data'!$A$2:$R$99,10,0))</f>
        <v>0</v>
      </c>
      <c r="W63" s="184">
        <f>IF(ISERR(VLOOKUP(VALUE(W$44),'SJ data'!$A$2:$R$99,10,0)="TRUE"),0,VLOOKUP(VALUE(W$44),'SJ data'!$A$2:$R$99,10,0))</f>
        <v>0</v>
      </c>
      <c r="X63" s="184">
        <f>IF(ISERR(VLOOKUP(VALUE(X$44),'SJ data'!$A$2:$R$99,10,0)="TRUE"),0,VLOOKUP(VALUE(X$44),'SJ data'!$A$2:$R$99,10,0))</f>
        <v>0</v>
      </c>
      <c r="Y63" s="184">
        <f>IF(ISERR(VLOOKUP(VALUE(Y$44),'SJ data'!$A$2:$R$99,10,0)="TRUE"),0,VLOOKUP(VALUE(Y$44),'SJ data'!$A$2:$R$99,10,0))</f>
        <v>50620.2</v>
      </c>
      <c r="Z63" s="184">
        <f>IF(ISERR(VLOOKUP(VALUE(Z$44),'SJ data'!$A$2:$R$99,10,0)="TRUE"),0,VLOOKUP(VALUE(Z$44),'SJ data'!$A$2:$R$99,10,0))</f>
        <v>0</v>
      </c>
      <c r="AA63" s="184">
        <f>IF(ISERR(VLOOKUP(VALUE(AA$44),'SJ data'!$A$2:$R$99,10,0)="TRUE"),0,VLOOKUP(VALUE(AA$44),'SJ data'!$A$2:$R$99,10,0))</f>
        <v>0</v>
      </c>
      <c r="AB63" s="184">
        <f>IF(ISERR(VLOOKUP(VALUE(AB$44),'SJ data'!$A$2:$R$99,10,0)="TRUE"),0,VLOOKUP(VALUE(AB$44),'SJ data'!$A$2:$R$99,10,0))</f>
        <v>7941</v>
      </c>
      <c r="AC63" s="184">
        <f>IF(ISERR(VLOOKUP(VALUE(AC$44),'SJ data'!$A$2:$R$99,10,0)="TRUE"),0,VLOOKUP(VALUE(AC$44),'SJ data'!$A$2:$R$99,10,0))</f>
        <v>4271.25</v>
      </c>
      <c r="AD63" s="184">
        <f>IF(ISERR(VLOOKUP(VALUE(AD$44),'SJ data'!$A$2:$R$99,10,0)="TRUE"),0,VLOOKUP(VALUE(AD$44),'SJ data'!$A$2:$R$99,10,0))</f>
        <v>0</v>
      </c>
      <c r="AE63" s="184">
        <f>IF(ISERR(VLOOKUP(VALUE(AE$44),'SJ data'!$A$2:$R$99,10,0)="TRUE"),0,VLOOKUP(VALUE(AE$44),'SJ data'!$A$2:$R$99,10,0))</f>
        <v>0</v>
      </c>
      <c r="AF63" s="184">
        <f>IF(ISERR(VLOOKUP(VALUE(AF$44),'SJ data'!$A$2:$R$99,10,0)="TRUE"),0,VLOOKUP(VALUE(AF$44),'SJ data'!$A$2:$R$99,10,0))</f>
        <v>0</v>
      </c>
      <c r="AG63" s="184">
        <f>IF(ISERR(VLOOKUP(VALUE(AG$44),'SJ data'!$A$2:$R$99,10,0)="TRUE"),0,VLOOKUP(VALUE(AG$44),'SJ data'!$A$2:$R$99,10,0))</f>
        <v>6693295.8200000003</v>
      </c>
      <c r="AH63" s="184">
        <f>IF(ISERR(VLOOKUP(VALUE(AH$44),'SJ data'!$A$2:$R$99,10,0)="TRUE"),0,VLOOKUP(VALUE(AH$44),'SJ data'!$A$2:$R$99,10,0))</f>
        <v>0</v>
      </c>
      <c r="AI63" s="184">
        <f>IF(ISERR(VLOOKUP(VALUE(AI$44),'SJ data'!$A$2:$R$99,10,0)="TRUE"),0,VLOOKUP(VALUE(AI$44),'SJ data'!$A$2:$R$99,10,0))</f>
        <v>0</v>
      </c>
      <c r="AJ63" s="184">
        <f>IF(ISERR(VLOOKUP(VALUE(AJ$44),'SJ data'!$A$2:$R$99,10,0)="TRUE"),0,VLOOKUP(VALUE(AJ$44),'SJ data'!$A$2:$R$99,10,0))</f>
        <v>1858047.4300000002</v>
      </c>
      <c r="AK63" s="184">
        <f>IF(ISERR(VLOOKUP(VALUE(AK$44),'SJ data'!$A$2:$R$99,10,0)="TRUE"),0,VLOOKUP(VALUE(AK$44),'SJ data'!$A$2:$R$99,10,0))</f>
        <v>0</v>
      </c>
      <c r="AL63" s="184">
        <f>IF(ISERR(VLOOKUP(VALUE(AL$44),'SJ data'!$A$2:$R$99,10,0)="TRUE"),0,VLOOKUP(VALUE(AL$44),'SJ data'!$A$2:$R$99,10,0))</f>
        <v>0</v>
      </c>
      <c r="AM63" s="184">
        <f>IF(ISERR(VLOOKUP(VALUE(AM$44),'SJ data'!$A$2:$R$99,10,0)="TRUE"),0,VLOOKUP(VALUE(AM$44),'SJ data'!$A$2:$R$99,10,0))</f>
        <v>0</v>
      </c>
      <c r="AN63" s="184">
        <f>IF(ISERR(VLOOKUP(VALUE(AN$44),'SJ data'!$A$2:$R$99,10,0)="TRUE"),0,VLOOKUP(VALUE(AN$44),'SJ data'!$A$2:$R$99,10,0))</f>
        <v>0</v>
      </c>
      <c r="AO63" s="184">
        <f>IF(ISERR(VLOOKUP(VALUE(AO$44),'SJ data'!$A$2:$R$99,10,0)="TRUE"),0,VLOOKUP(VALUE(AO$44),'SJ data'!$A$2:$R$99,10,0))</f>
        <v>0</v>
      </c>
      <c r="AP63" s="184">
        <f>IF(ISERR(VLOOKUP(VALUE(AP$44),'SJ data'!$A$2:$R$99,10,0)="TRUE"),0,VLOOKUP(VALUE(AP$44),'SJ data'!$A$2:$R$99,10,0))</f>
        <v>0</v>
      </c>
      <c r="AQ63" s="184">
        <f>IF(ISERR(VLOOKUP(VALUE(AQ$44),'SJ data'!$A$2:$R$99,10,0)="TRUE"),0,VLOOKUP(VALUE(AQ$44),'SJ data'!$A$2:$R$99,10,0))</f>
        <v>0</v>
      </c>
      <c r="AR63" s="184">
        <f>IF(ISERR(VLOOKUP(VALUE(AR$44),'SJ data'!$A$2:$R$99,10,0)="TRUE"),0,VLOOKUP(VALUE(AR$44),'SJ data'!$A$2:$R$99,10,0))</f>
        <v>0</v>
      </c>
      <c r="AS63" s="184">
        <f>IF(ISERR(VLOOKUP(VALUE(AS$44),'SJ data'!$A$2:$R$99,10,0)="TRUE"),0,VLOOKUP(VALUE(AS$44),'SJ data'!$A$2:$R$99,10,0))</f>
        <v>0</v>
      </c>
      <c r="AT63" s="184">
        <f>IF(ISERR(VLOOKUP(VALUE(AT$44),'SJ data'!$A$2:$R$99,10,0)="TRUE"),0,VLOOKUP(VALUE(AT$44),'SJ data'!$A$2:$R$99,10,0))</f>
        <v>0</v>
      </c>
      <c r="AU63" s="184">
        <f>IF(ISERR(VLOOKUP(VALUE(AU$44),'SJ data'!$A$2:$R$99,10,0)="TRUE"),0,VLOOKUP(VALUE(AU$44),'SJ data'!$A$2:$R$99,10,0))</f>
        <v>0</v>
      </c>
      <c r="AV63" s="184">
        <f>'SJ data'!J49</f>
        <v>8779621.5399999991</v>
      </c>
      <c r="AW63" s="184">
        <f>IF(ISERR(VLOOKUP(VALUE(AW$44),'SJ data'!$A$2:$R$99,10,0)="TRUE"),0,VLOOKUP(VALUE(AW$44),'SJ data'!$A$2:$R$99,10,0))</f>
        <v>0</v>
      </c>
      <c r="AX63" s="184">
        <f>IF(ISERR(VLOOKUP(VALUE(AX$44),'SJ data'!$A$2:$R$99,10,0)="TRUE"),0,VLOOKUP(VALUE(AX$44),'SJ data'!$A$2:$R$99,10,0))</f>
        <v>0</v>
      </c>
      <c r="AY63" s="184">
        <f>IF(ISERR(VLOOKUP(VALUE(AY$44),'SJ data'!$A$2:$R$99,10,0)="TRUE"),0,VLOOKUP(VALUE(AY$44),'SJ data'!$A$2:$R$99,10,0))</f>
        <v>0</v>
      </c>
      <c r="AZ63" s="184">
        <f>IF(ISERR(VLOOKUP(VALUE(AZ$44),'SJ data'!$A$2:$R$99,10,0)="TRUE"),0,VLOOKUP(VALUE(AZ$44),'SJ data'!$A$2:$R$99,10,0))</f>
        <v>0</v>
      </c>
      <c r="BA63" s="184">
        <f>IF(ISERR(VLOOKUP(VALUE(BA$44),'SJ data'!$A$2:$R$99,10,0)="TRUE"),0,VLOOKUP(VALUE(BA$44),'SJ data'!$A$2:$R$99,10,0))</f>
        <v>0</v>
      </c>
      <c r="BB63" s="184">
        <f>IF(ISERR(VLOOKUP(VALUE(BB$44),'SJ data'!$A$2:$R$99,10,0)="TRUE"),0,VLOOKUP(VALUE(BB$44),'SJ data'!$A$2:$R$99,10,0))</f>
        <v>0</v>
      </c>
      <c r="BC63" s="184">
        <f>IF(ISERR(VLOOKUP(VALUE(BC$44),'SJ data'!$A$2:$R$99,10,0)="TRUE"),0,VLOOKUP(VALUE(BC$44),'SJ data'!$A$2:$R$99,10,0))</f>
        <v>0</v>
      </c>
      <c r="BD63" s="184">
        <f>IF(ISERR(VLOOKUP(VALUE(BD$44),'SJ data'!$A$2:$R$99,10,0)="TRUE"),0,VLOOKUP(VALUE(BD$44),'SJ data'!$A$2:$R$99,10,0))</f>
        <v>0</v>
      </c>
      <c r="BE63" s="184">
        <f>IF(ISERR(VLOOKUP(VALUE(BE$44),'SJ data'!$A$2:$R$99,10,0)="TRUE"),0,VLOOKUP(VALUE(BE$44),'SJ data'!$A$2:$R$99,10,0))</f>
        <v>0</v>
      </c>
      <c r="BF63" s="184">
        <f>IF(ISERR(VLOOKUP(VALUE(BF$44),'SJ data'!$A$2:$R$99,10,0)="TRUE"),0,VLOOKUP(VALUE(BF$44),'SJ data'!$A$2:$R$99,10,0))</f>
        <v>0</v>
      </c>
      <c r="BG63" s="184">
        <f>IF(ISERR(VLOOKUP(VALUE(BG$44),'SJ data'!$A$2:$R$99,10,0)="TRUE"),0,VLOOKUP(VALUE(BG$44),'SJ data'!$A$2:$R$99,10,0))</f>
        <v>0</v>
      </c>
      <c r="BH63" s="184">
        <f>IF(ISERR(VLOOKUP(VALUE(BH$44),'SJ data'!$A$2:$R$99,10,0)="TRUE"),0,VLOOKUP(VALUE(BH$44),'SJ data'!$A$2:$R$99,10,0))</f>
        <v>0</v>
      </c>
      <c r="BI63" s="184">
        <f>IF(ISERR(VLOOKUP(VALUE(BI$44),'SJ data'!$A$2:$R$99,10,0)="TRUE"),0,VLOOKUP(VALUE(BI$44),'SJ data'!$A$2:$R$99,10,0))</f>
        <v>0</v>
      </c>
      <c r="BJ63" s="184">
        <f>IF(ISERR(VLOOKUP(VALUE(BJ$44),'SJ data'!$A$2:$R$99,10,0)="TRUE"),0,VLOOKUP(VALUE(BJ$44),'SJ data'!$A$2:$R$99,10,0))</f>
        <v>0</v>
      </c>
      <c r="BK63" s="184">
        <f>IF(ISERR(VLOOKUP(VALUE(BK$44),'SJ data'!$A$2:$R$99,10,0)="TRUE"),0,VLOOKUP(VALUE(BK$44),'SJ data'!$A$2:$R$99,10,0))</f>
        <v>0</v>
      </c>
      <c r="BL63" s="184">
        <f>IF(ISERR(VLOOKUP(VALUE(BL$44),'SJ data'!$A$2:$R$99,10,0)="TRUE"),0,VLOOKUP(VALUE(BL$44),'SJ data'!$A$2:$R$99,10,0))</f>
        <v>0</v>
      </c>
      <c r="BM63" s="184">
        <f>IF(ISERR(VLOOKUP(VALUE(BM$44),'SJ data'!$A$2:$R$99,10,0)="TRUE"),0,VLOOKUP(VALUE(BM$44),'SJ data'!$A$2:$R$99,10,0))</f>
        <v>0</v>
      </c>
      <c r="BN63" s="184">
        <f>IF(ISERR(VLOOKUP(VALUE(BN$44),'SJ data'!$A$2:$R$99,10,0)="TRUE"),0,VLOOKUP(VALUE(BN$44),'SJ data'!$A$2:$R$99,10,0))</f>
        <v>0</v>
      </c>
      <c r="BO63" s="184">
        <f>IF(ISERR(VLOOKUP(VALUE(BO$44),'SJ data'!$A$2:$R$99,10,0)="TRUE"),0,VLOOKUP(VALUE(BO$44),'SJ data'!$A$2:$R$99,10,0))</f>
        <v>0</v>
      </c>
      <c r="BP63" s="184">
        <f>IF(ISERR(VLOOKUP(VALUE(BP$44),'SJ data'!$A$2:$R$99,10,0)="TRUE"),0,VLOOKUP(VALUE(BP$44),'SJ data'!$A$2:$R$99,10,0))</f>
        <v>0</v>
      </c>
      <c r="BQ63" s="184">
        <f>IF(ISERR(VLOOKUP(VALUE(BQ$44),'SJ data'!$A$2:$R$99,10,0)="TRUE"),0,VLOOKUP(VALUE(BQ$44),'SJ data'!$A$2:$R$99,10,0))</f>
        <v>0</v>
      </c>
      <c r="BR63" s="184">
        <f>IF(ISERR(VLOOKUP(VALUE(BR$44),'SJ data'!$A$2:$R$99,10,0)="TRUE"),0,VLOOKUP(VALUE(BR$44),'SJ data'!$A$2:$R$99,10,0))</f>
        <v>0</v>
      </c>
      <c r="BS63" s="184">
        <f>IF(ISERR(VLOOKUP(VALUE(BS$44),'SJ data'!$A$2:$R$99,10,0)="TRUE"),0,VLOOKUP(VALUE(BS$44),'SJ data'!$A$2:$R$99,10,0))</f>
        <v>0</v>
      </c>
      <c r="BT63" s="184">
        <f>IF(ISERR(VLOOKUP(VALUE(BT$44),'SJ data'!$A$2:$R$99,10,0)="TRUE"),0,VLOOKUP(VALUE(BT$44),'SJ data'!$A$2:$R$99,10,0))</f>
        <v>0</v>
      </c>
      <c r="BU63" s="184">
        <f>IF(ISERR(VLOOKUP(VALUE(BU$44),'SJ data'!$A$2:$R$99,10,0)="TRUE"),0,VLOOKUP(VALUE(BU$44),'SJ data'!$A$2:$R$99,10,0))</f>
        <v>0</v>
      </c>
      <c r="BV63" s="184">
        <f>IF(ISERR(VLOOKUP(VALUE(BV$44),'SJ data'!$A$2:$R$99,10,0)="TRUE"),0,VLOOKUP(VALUE(BV$44),'SJ data'!$A$2:$R$99,10,0))</f>
        <v>0</v>
      </c>
      <c r="BW63" s="184">
        <f>IF(ISERR(VLOOKUP(VALUE(BW$44),'SJ data'!$A$2:$R$99,10,0)="TRUE"),0,VLOOKUP(VALUE(BW$44),'SJ data'!$A$2:$R$99,10,0))</f>
        <v>0</v>
      </c>
      <c r="BX63" s="184">
        <f>IF(ISERR(VLOOKUP(VALUE(BX$44),'SJ data'!$A$2:$R$99,10,0)="TRUE"),0,VLOOKUP(VALUE(BX$44),'SJ data'!$A$2:$R$99,10,0))</f>
        <v>0</v>
      </c>
      <c r="BY63" s="184">
        <f>IF(ISERR(VLOOKUP(VALUE(BY$44),'SJ data'!$A$2:$R$99,10,0)="TRUE"),0,VLOOKUP(VALUE(BY$44),'SJ data'!$A$2:$R$99,10,0))</f>
        <v>0</v>
      </c>
      <c r="BZ63" s="184">
        <f>IF(ISERR(VLOOKUP(VALUE(BZ$44),'SJ data'!$A$2:$R$99,10,0)="TRUE"),0,VLOOKUP(VALUE(BZ$44),'SJ data'!$A$2:$R$99,10,0))</f>
        <v>0</v>
      </c>
      <c r="CA63" s="184">
        <f>IF(ISERR(VLOOKUP(VALUE(CA$44),'SJ data'!$A$2:$R$99,10,0)="TRUE"),0,VLOOKUP(VALUE(CA$44),'SJ data'!$A$2:$R$99,10,0))</f>
        <v>0</v>
      </c>
      <c r="CB63" s="184">
        <f>IF(ISERR(VLOOKUP(VALUE(CB$44),'SJ data'!$A$2:$R$99,10,0)="TRUE"),0,VLOOKUP(VALUE(CB$44),'SJ data'!$A$2:$R$99,10,0))</f>
        <v>0</v>
      </c>
      <c r="CC63" s="184">
        <f>IF(ISERR(VLOOKUP(VALUE(CC$44),'SJ data'!$A$2:$R$99,10,0)="TRUE"),0,VLOOKUP(VALUE(CC$44),'SJ data'!$A$2:$R$99,10,0))</f>
        <v>240461.99</v>
      </c>
      <c r="CD63" s="247" t="s">
        <v>221</v>
      </c>
      <c r="CE63" s="195">
        <f t="shared" si="0"/>
        <v>29499968.819999997</v>
      </c>
      <c r="CF63" s="250"/>
    </row>
    <row r="64" spans="1:84" ht="12.6" customHeight="1" x14ac:dyDescent="0.2">
      <c r="A64" s="171" t="s">
        <v>237</v>
      </c>
      <c r="B64" s="175"/>
      <c r="C64" s="184">
        <f>IF(ISERR(VLOOKUP(VALUE(C$44),'SJ data'!$A$2:$R$99,11,0)="TRUE"),0,VLOOKUP(VALUE(C$44),'SJ data'!$A$2:$R$99,11,0))</f>
        <v>2744290.66</v>
      </c>
      <c r="D64" s="184">
        <f>IF(ISERR(VLOOKUP(VALUE(D$44),'SJ data'!$A$2:$R$99,11,0)="TRUE"),0,VLOOKUP(VALUE(D$44),'SJ data'!$A$2:$R$99,11,0))</f>
        <v>0</v>
      </c>
      <c r="E64" s="184">
        <f>IF(ISERR(VLOOKUP(VALUE(E$44),'SJ data'!$A$2:$R$99,11,0)="TRUE"),0,VLOOKUP(VALUE(E$44),'SJ data'!$A$2:$R$99,11,0))</f>
        <v>3790408.7499999995</v>
      </c>
      <c r="F64" s="184">
        <f>IF(ISERR(VLOOKUP(VALUE(F$44),'SJ data'!$A$2:$R$99,11,0)="TRUE"),0,VLOOKUP(VALUE(F$44),'SJ data'!$A$2:$R$99,11,0))</f>
        <v>0</v>
      </c>
      <c r="G64" s="184">
        <f>IF(ISERR(VLOOKUP(VALUE(G$44),'SJ data'!$A$2:$R$99,11,0)="TRUE"),0,VLOOKUP(VALUE(G$44),'SJ data'!$A$2:$R$99,11,0))</f>
        <v>0</v>
      </c>
      <c r="H64" s="184">
        <f>IF(ISERR(VLOOKUP(VALUE(H$44),'SJ data'!$A$2:$R$99,11,0)="TRUE"),0,VLOOKUP(VALUE(H$44),'SJ data'!$A$2:$R$99,11,0))</f>
        <v>1744.8</v>
      </c>
      <c r="I64" s="184">
        <f>IF(ISERR(VLOOKUP(VALUE(I$44),'SJ data'!$A$2:$R$99,11,0)="TRUE"),0,VLOOKUP(VALUE(I$44),'SJ data'!$A$2:$R$99,11,0))</f>
        <v>0</v>
      </c>
      <c r="J64" s="184">
        <f>IF(ISERR(VLOOKUP(VALUE(J$44),'SJ data'!$A$2:$R$99,11,0)="TRUE"),0,VLOOKUP(VALUE(J$44),'SJ data'!$A$2:$R$99,11,0))</f>
        <v>966892.63000000012</v>
      </c>
      <c r="K64" s="184">
        <f>IF(ISERR(VLOOKUP(VALUE(K$44),'SJ data'!$A$2:$R$99,11,0)="TRUE"),0,VLOOKUP(VALUE(K$44),'SJ data'!$A$2:$R$99,11,0))</f>
        <v>0</v>
      </c>
      <c r="L64" s="184">
        <f>IF(ISERR(VLOOKUP(VALUE(L$44),'SJ data'!$A$2:$R$99,11,0)="TRUE"),0,VLOOKUP(VALUE(L$44),'SJ data'!$A$2:$R$99,11,0))</f>
        <v>0</v>
      </c>
      <c r="M64" s="184">
        <f>IF(ISERR(VLOOKUP(VALUE(M$44),'SJ data'!$A$2:$R$99,11,0)="TRUE"),0,VLOOKUP(VALUE(M$44),'SJ data'!$A$2:$R$99,11,0))</f>
        <v>0</v>
      </c>
      <c r="N64" s="184">
        <f>IF(ISERR(VLOOKUP(VALUE(N$44),'SJ data'!$A$2:$R$99,11,0)="TRUE"),0,VLOOKUP(VALUE(N$44),'SJ data'!$A$2:$R$99,11,0))</f>
        <v>0</v>
      </c>
      <c r="O64" s="184">
        <f>IF(ISERR(VLOOKUP(VALUE(O$44),'SJ data'!$A$2:$R$99,11,0)="TRUE"),0,VLOOKUP(VALUE(O$44),'SJ data'!$A$2:$R$99,11,0))</f>
        <v>1450510.05</v>
      </c>
      <c r="P64" s="184">
        <f>IF(ISERR(VLOOKUP(VALUE(P$44),'SJ data'!$A$2:$R$99,11,0)="TRUE"),0,VLOOKUP(VALUE(P$44),'SJ data'!$A$2:$R$99,11,0))</f>
        <v>45165029.420000024</v>
      </c>
      <c r="Q64" s="184">
        <f>IF(ISERR(VLOOKUP(VALUE(Q$44),'SJ data'!$A$2:$R$99,11,0)="TRUE"),0,VLOOKUP(VALUE(Q$44),'SJ data'!$A$2:$R$99,11,0))</f>
        <v>140604.29</v>
      </c>
      <c r="R64" s="184">
        <f>IF(ISERR(VLOOKUP(VALUE(R$44),'SJ data'!$A$2:$R$99,11,0)="TRUE"),0,VLOOKUP(VALUE(R$44),'SJ data'!$A$2:$R$99,11,0))</f>
        <v>0</v>
      </c>
      <c r="S64" s="184">
        <f>IF(ISERR(VLOOKUP(VALUE(S$44),'SJ data'!$A$2:$R$99,11,0)="TRUE"),0,VLOOKUP(VALUE(S$44),'SJ data'!$A$2:$R$99,11,0))</f>
        <v>-1184727.4200000011</v>
      </c>
      <c r="T64" s="184">
        <f>IF(ISERR(VLOOKUP(VALUE(T$44),'SJ data'!$A$2:$R$99,11,0)="TRUE"),0,VLOOKUP(VALUE(T$44),'SJ data'!$A$2:$R$99,11,0))</f>
        <v>1045941.0999999999</v>
      </c>
      <c r="U64" s="184">
        <f>IF(ISERR(VLOOKUP(VALUE(U$44),'SJ data'!$A$2:$R$99,11,0)="TRUE"),0,VLOOKUP(VALUE(U$44),'SJ data'!$A$2:$R$99,11,0))</f>
        <v>7182558.2699999996</v>
      </c>
      <c r="V64" s="184">
        <f>IF(ISERR(VLOOKUP(VALUE(V$44),'SJ data'!$A$2:$R$99,11,0)="TRUE"),0,VLOOKUP(VALUE(V$44),'SJ data'!$A$2:$R$99,11,0))</f>
        <v>11883004.460000003</v>
      </c>
      <c r="W64" s="184">
        <f>IF(ISERR(VLOOKUP(VALUE(W$44),'SJ data'!$A$2:$R$99,11,0)="TRUE"),0,VLOOKUP(VALUE(W$44),'SJ data'!$A$2:$R$99,11,0))</f>
        <v>158538.31</v>
      </c>
      <c r="X64" s="184">
        <f>IF(ISERR(VLOOKUP(VALUE(X$44),'SJ data'!$A$2:$R$99,11,0)="TRUE"),0,VLOOKUP(VALUE(X$44),'SJ data'!$A$2:$R$99,11,0))</f>
        <v>304470.85000000003</v>
      </c>
      <c r="Y64" s="184">
        <f>IF(ISERR(VLOOKUP(VALUE(Y$44),'SJ data'!$A$2:$R$99,11,0)="TRUE"),0,VLOOKUP(VALUE(Y$44),'SJ data'!$A$2:$R$99,11,0))</f>
        <v>3510254.4499999993</v>
      </c>
      <c r="Z64" s="184">
        <f>IF(ISERR(VLOOKUP(VALUE(Z$44),'SJ data'!$A$2:$R$99,11,0)="TRUE"),0,VLOOKUP(VALUE(Z$44),'SJ data'!$A$2:$R$99,11,0))</f>
        <v>0</v>
      </c>
      <c r="AA64" s="184">
        <f>IF(ISERR(VLOOKUP(VALUE(AA$44),'SJ data'!$A$2:$R$99,11,0)="TRUE"),0,VLOOKUP(VALUE(AA$44),'SJ data'!$A$2:$R$99,11,0))</f>
        <v>744660.15999999992</v>
      </c>
      <c r="AB64" s="184">
        <f>IF(ISERR(VLOOKUP(VALUE(AB$44),'SJ data'!$A$2:$R$99,11,0)="TRUE"),0,VLOOKUP(VALUE(AB$44),'SJ data'!$A$2:$R$99,11,0))</f>
        <v>15813970.800000001</v>
      </c>
      <c r="AC64" s="184">
        <f>IF(ISERR(VLOOKUP(VALUE(AC$44),'SJ data'!$A$2:$R$99,11,0)="TRUE"),0,VLOOKUP(VALUE(AC$44),'SJ data'!$A$2:$R$99,11,0))</f>
        <v>759066.53</v>
      </c>
      <c r="AD64" s="184">
        <f>IF(ISERR(VLOOKUP(VALUE(AD$44),'SJ data'!$A$2:$R$99,11,0)="TRUE"),0,VLOOKUP(VALUE(AD$44),'SJ data'!$A$2:$R$99,11,0))</f>
        <v>53393.829999999994</v>
      </c>
      <c r="AE64" s="184">
        <f>IF(ISERR(VLOOKUP(VALUE(AE$44),'SJ data'!$A$2:$R$99,11,0)="TRUE"),0,VLOOKUP(VALUE(AE$44),'SJ data'!$A$2:$R$99,11,0))</f>
        <v>40821.839999999989</v>
      </c>
      <c r="AF64" s="184">
        <f>IF(ISERR(VLOOKUP(VALUE(AF$44),'SJ data'!$A$2:$R$99,11,0)="TRUE"),0,VLOOKUP(VALUE(AF$44),'SJ data'!$A$2:$R$99,11,0))</f>
        <v>0</v>
      </c>
      <c r="AG64" s="184">
        <f>IF(ISERR(VLOOKUP(VALUE(AG$44),'SJ data'!$A$2:$R$99,11,0)="TRUE"),0,VLOOKUP(VALUE(AG$44),'SJ data'!$A$2:$R$99,11,0))</f>
        <v>1590146.6700000002</v>
      </c>
      <c r="AH64" s="184">
        <f>IF(ISERR(VLOOKUP(VALUE(AH$44),'SJ data'!$A$2:$R$99,11,0)="TRUE"),0,VLOOKUP(VALUE(AH$44),'SJ data'!$A$2:$R$99,11,0))</f>
        <v>0</v>
      </c>
      <c r="AI64" s="184">
        <f>IF(ISERR(VLOOKUP(VALUE(AI$44),'SJ data'!$A$2:$R$99,11,0)="TRUE"),0,VLOOKUP(VALUE(AI$44),'SJ data'!$A$2:$R$99,11,0))</f>
        <v>0</v>
      </c>
      <c r="AJ64" s="184">
        <f>IF(ISERR(VLOOKUP(VALUE(AJ$44),'SJ data'!$A$2:$R$99,11,0)="TRUE"),0,VLOOKUP(VALUE(AJ$44),'SJ data'!$A$2:$R$99,11,0))</f>
        <v>6643318.3399999999</v>
      </c>
      <c r="AK64" s="184">
        <f>IF(ISERR(VLOOKUP(VALUE(AK$44),'SJ data'!$A$2:$R$99,11,0)="TRUE"),0,VLOOKUP(VALUE(AK$44),'SJ data'!$A$2:$R$99,11,0))</f>
        <v>2649.5699999999997</v>
      </c>
      <c r="AL64" s="184">
        <f>IF(ISERR(VLOOKUP(VALUE(AL$44),'SJ data'!$A$2:$R$99,11,0)="TRUE"),0,VLOOKUP(VALUE(AL$44),'SJ data'!$A$2:$R$99,11,0))</f>
        <v>313.99</v>
      </c>
      <c r="AM64" s="184">
        <f>IF(ISERR(VLOOKUP(VALUE(AM$44),'SJ data'!$A$2:$R$99,11,0)="TRUE"),0,VLOOKUP(VALUE(AM$44),'SJ data'!$A$2:$R$99,11,0))</f>
        <v>0</v>
      </c>
      <c r="AN64" s="184">
        <f>IF(ISERR(VLOOKUP(VALUE(AN$44),'SJ data'!$A$2:$R$99,11,0)="TRUE"),0,VLOOKUP(VALUE(AN$44),'SJ data'!$A$2:$R$99,11,0))</f>
        <v>0</v>
      </c>
      <c r="AO64" s="184">
        <f>IF(ISERR(VLOOKUP(VALUE(AO$44),'SJ data'!$A$2:$R$99,11,0)="TRUE"),0,VLOOKUP(VALUE(AO$44),'SJ data'!$A$2:$R$99,11,0))</f>
        <v>0</v>
      </c>
      <c r="AP64" s="184">
        <f>IF(ISERR(VLOOKUP(VALUE(AP$44),'SJ data'!$A$2:$R$99,11,0)="TRUE"),0,VLOOKUP(VALUE(AP$44),'SJ data'!$A$2:$R$99,11,0))</f>
        <v>17469.59</v>
      </c>
      <c r="AQ64" s="184">
        <f>IF(ISERR(VLOOKUP(VALUE(AQ$44),'SJ data'!$A$2:$R$99,11,0)="TRUE"),0,VLOOKUP(VALUE(AQ$44),'SJ data'!$A$2:$R$99,11,0))</f>
        <v>0</v>
      </c>
      <c r="AR64" s="184">
        <f>IF(ISERR(VLOOKUP(VALUE(AR$44),'SJ data'!$A$2:$R$99,11,0)="TRUE"),0,VLOOKUP(VALUE(AR$44),'SJ data'!$A$2:$R$99,11,0))</f>
        <v>1363941.8499999996</v>
      </c>
      <c r="AS64" s="184">
        <f>IF(ISERR(VLOOKUP(VALUE(AS$44),'SJ data'!$A$2:$R$99,11,0)="TRUE"),0,VLOOKUP(VALUE(AS$44),'SJ data'!$A$2:$R$99,11,0))</f>
        <v>0</v>
      </c>
      <c r="AT64" s="184">
        <f>IF(ISERR(VLOOKUP(VALUE(AT$44),'SJ data'!$A$2:$R$99,11,0)="TRUE"),0,VLOOKUP(VALUE(AT$44),'SJ data'!$A$2:$R$99,11,0))</f>
        <v>0</v>
      </c>
      <c r="AU64" s="184">
        <f>IF(ISERR(VLOOKUP(VALUE(AU$44),'SJ data'!$A$2:$R$99,11,0)="TRUE"),0,VLOOKUP(VALUE(AU$44),'SJ data'!$A$2:$R$99,11,0))</f>
        <v>0</v>
      </c>
      <c r="AV64" s="184">
        <f>IF(ISERR(VLOOKUP(VALUE(AV$44),'SJ data'!$A$2:$R$99,11,0)="TRUE"),0,VLOOKUP(VALUE(AV$44),'SJ data'!$A$2:$R$99,11,0))+'SJ data'!K49</f>
        <v>961895.29</v>
      </c>
      <c r="AW64" s="184">
        <f>IF(ISERR(VLOOKUP(VALUE(AW$44),'SJ data'!$A$2:$R$99,11,0)="TRUE"),0,VLOOKUP(VALUE(AW$44),'SJ data'!$A$2:$R$99,11,0))</f>
        <v>0</v>
      </c>
      <c r="AX64" s="184">
        <f>IF(ISERR(VLOOKUP(VALUE(AX$44),'SJ data'!$A$2:$R$99,11,0)="TRUE"),0,VLOOKUP(VALUE(AX$44),'SJ data'!$A$2:$R$99,11,0))</f>
        <v>0</v>
      </c>
      <c r="AY64" s="184">
        <f>IF(ISERR(VLOOKUP(VALUE(AY$44),'SJ data'!$A$2:$R$99,11,0)="TRUE"),0,VLOOKUP(VALUE(AY$44),'SJ data'!$A$2:$R$99,11,0))</f>
        <v>0</v>
      </c>
      <c r="AZ64" s="184">
        <f>IF(ISERR(VLOOKUP(VALUE(AZ$44),'SJ data'!$A$2:$R$99,11,0)="TRUE"),0,VLOOKUP(VALUE(AZ$44),'SJ data'!$A$2:$R$99,11,0))</f>
        <v>3404607.6100000003</v>
      </c>
      <c r="BA64" s="184">
        <f>IF(ISERR(VLOOKUP(VALUE(BA$44),'SJ data'!$A$2:$R$99,11,0)="TRUE"),0,VLOOKUP(VALUE(BA$44),'SJ data'!$A$2:$R$99,11,0))</f>
        <v>3843.21</v>
      </c>
      <c r="BB64" s="184">
        <f>IF(ISERR(VLOOKUP(VALUE(BB$44),'SJ data'!$A$2:$R$99,11,0)="TRUE"),0,VLOOKUP(VALUE(BB$44),'SJ data'!$A$2:$R$99,11,0))</f>
        <v>0</v>
      </c>
      <c r="BC64" s="184">
        <f>IF(ISERR(VLOOKUP(VALUE(BC$44),'SJ data'!$A$2:$R$99,11,0)="TRUE"),0,VLOOKUP(VALUE(BC$44),'SJ data'!$A$2:$R$99,11,0))</f>
        <v>426.88</v>
      </c>
      <c r="BD64" s="184">
        <f>IF(ISERR(VLOOKUP(VALUE(BD$44),'SJ data'!$A$2:$R$99,11,0)="TRUE"),0,VLOOKUP(VALUE(BD$44),'SJ data'!$A$2:$R$99,11,0))</f>
        <v>131995.37999999998</v>
      </c>
      <c r="BE64" s="184">
        <f>IF(ISERR(VLOOKUP(VALUE(BE$44),'SJ data'!$A$2:$R$99,11,0)="TRUE"),0,VLOOKUP(VALUE(BE$44),'SJ data'!$A$2:$R$99,11,0))</f>
        <v>-68003.160000000018</v>
      </c>
      <c r="BF64" s="184">
        <f>IF(ISERR(VLOOKUP(VALUE(BF$44),'SJ data'!$A$2:$R$99,11,0)="TRUE"),0,VLOOKUP(VALUE(BF$44),'SJ data'!$A$2:$R$99,11,0))</f>
        <v>596106.69999999995</v>
      </c>
      <c r="BG64" s="184">
        <f>IF(ISERR(VLOOKUP(VALUE(BG$44),'SJ data'!$A$2:$R$99,11,0)="TRUE"),0,VLOOKUP(VALUE(BG$44),'SJ data'!$A$2:$R$99,11,0))</f>
        <v>0</v>
      </c>
      <c r="BH64" s="184">
        <f>IF(ISERR(VLOOKUP(VALUE(BH$44),'SJ data'!$A$2:$R$99,11,0)="TRUE"),0,VLOOKUP(VALUE(BH$44),'SJ data'!$A$2:$R$99,11,0))</f>
        <v>0</v>
      </c>
      <c r="BI64" s="184">
        <f>IF(ISERR(VLOOKUP(VALUE(BI$44),'SJ data'!$A$2:$R$99,11,0)="TRUE"),0,VLOOKUP(VALUE(BI$44),'SJ data'!$A$2:$R$99,11,0))</f>
        <v>187545.69000000003</v>
      </c>
      <c r="BJ64" s="184">
        <f>IF(ISERR(VLOOKUP(VALUE(BJ$44),'SJ data'!$A$2:$R$99,11,0)="TRUE"),0,VLOOKUP(VALUE(BJ$44),'SJ data'!$A$2:$R$99,11,0))</f>
        <v>0</v>
      </c>
      <c r="BK64" s="184">
        <f>IF(ISERR(VLOOKUP(VALUE(BK$44),'SJ data'!$A$2:$R$99,11,0)="TRUE"),0,VLOOKUP(VALUE(BK$44),'SJ data'!$A$2:$R$99,11,0))</f>
        <v>0</v>
      </c>
      <c r="BL64" s="184">
        <f>IF(ISERR(VLOOKUP(VALUE(BL$44),'SJ data'!$A$2:$R$99,11,0)="TRUE"),0,VLOOKUP(VALUE(BL$44),'SJ data'!$A$2:$R$99,11,0))</f>
        <v>45698.289999999994</v>
      </c>
      <c r="BM64" s="184">
        <f>IF(ISERR(VLOOKUP(VALUE(BM$44),'SJ data'!$A$2:$R$99,11,0)="TRUE"),0,VLOOKUP(VALUE(BM$44),'SJ data'!$A$2:$R$99,11,0))</f>
        <v>0</v>
      </c>
      <c r="BN64" s="184">
        <f>IF(ISERR(VLOOKUP(VALUE(BN$44),'SJ data'!$A$2:$R$99,11,0)="TRUE"),0,VLOOKUP(VALUE(BN$44),'SJ data'!$A$2:$R$99,11,0))</f>
        <v>62132.040000000008</v>
      </c>
      <c r="BO64" s="184">
        <f>IF(ISERR(VLOOKUP(VALUE(BO$44),'SJ data'!$A$2:$R$99,11,0)="TRUE"),0,VLOOKUP(VALUE(BO$44),'SJ data'!$A$2:$R$99,11,0))</f>
        <v>0</v>
      </c>
      <c r="BP64" s="184">
        <f>IF(ISERR(VLOOKUP(VALUE(BP$44),'SJ data'!$A$2:$R$99,11,0)="TRUE"),0,VLOOKUP(VALUE(BP$44),'SJ data'!$A$2:$R$99,11,0))</f>
        <v>0</v>
      </c>
      <c r="BQ64" s="184">
        <f>IF(ISERR(VLOOKUP(VALUE(BQ$44),'SJ data'!$A$2:$R$99,11,0)="TRUE"),0,VLOOKUP(VALUE(BQ$44),'SJ data'!$A$2:$R$99,11,0))</f>
        <v>0</v>
      </c>
      <c r="BR64" s="184">
        <f>IF(ISERR(VLOOKUP(VALUE(BR$44),'SJ data'!$A$2:$R$99,11,0)="TRUE"),0,VLOOKUP(VALUE(BR$44),'SJ data'!$A$2:$R$99,11,0))</f>
        <v>0</v>
      </c>
      <c r="BS64" s="184">
        <f>IF(ISERR(VLOOKUP(VALUE(BS$44),'SJ data'!$A$2:$R$99,11,0)="TRUE"),0,VLOOKUP(VALUE(BS$44),'SJ data'!$A$2:$R$99,11,0))</f>
        <v>0</v>
      </c>
      <c r="BT64" s="184">
        <f>IF(ISERR(VLOOKUP(VALUE(BT$44),'SJ data'!$A$2:$R$99,11,0)="TRUE"),0,VLOOKUP(VALUE(BT$44),'SJ data'!$A$2:$R$99,11,0))</f>
        <v>120.71</v>
      </c>
      <c r="BU64" s="184">
        <f>IF(ISERR(VLOOKUP(VALUE(BU$44),'SJ data'!$A$2:$R$99,11,0)="TRUE"),0,VLOOKUP(VALUE(BU$44),'SJ data'!$A$2:$R$99,11,0))</f>
        <v>0</v>
      </c>
      <c r="BV64" s="184">
        <f>IF(ISERR(VLOOKUP(VALUE(BV$44),'SJ data'!$A$2:$R$99,11,0)="TRUE"),0,VLOOKUP(VALUE(BV$44),'SJ data'!$A$2:$R$99,11,0))</f>
        <v>0</v>
      </c>
      <c r="BW64" s="184">
        <f>IF(ISERR(VLOOKUP(VALUE(BW$44),'SJ data'!$A$2:$R$99,11,0)="TRUE"),0,VLOOKUP(VALUE(BW$44),'SJ data'!$A$2:$R$99,11,0))</f>
        <v>0</v>
      </c>
      <c r="BX64" s="184">
        <f>IF(ISERR(VLOOKUP(VALUE(BX$44),'SJ data'!$A$2:$R$99,11,0)="TRUE"),0,VLOOKUP(VALUE(BX$44),'SJ data'!$A$2:$R$99,11,0))</f>
        <v>0</v>
      </c>
      <c r="BY64" s="184">
        <f>IF(ISERR(VLOOKUP(VALUE(BY$44),'SJ data'!$A$2:$R$99,11,0)="TRUE"),0,VLOOKUP(VALUE(BY$44),'SJ data'!$A$2:$R$99,11,0))</f>
        <v>5635.17</v>
      </c>
      <c r="BZ64" s="184">
        <f>IF(ISERR(VLOOKUP(VALUE(BZ$44),'SJ data'!$A$2:$R$99,11,0)="TRUE"),0,VLOOKUP(VALUE(BZ$44),'SJ data'!$A$2:$R$99,11,0))</f>
        <v>0</v>
      </c>
      <c r="CA64" s="184">
        <f>IF(ISERR(VLOOKUP(VALUE(CA$44),'SJ data'!$A$2:$R$99,11,0)="TRUE"),0,VLOOKUP(VALUE(CA$44),'SJ data'!$A$2:$R$99,11,0))</f>
        <v>0</v>
      </c>
      <c r="CB64" s="184">
        <f>IF(ISERR(VLOOKUP(VALUE(CB$44),'SJ data'!$A$2:$R$99,11,0)="TRUE"),0,VLOOKUP(VALUE(CB$44),'SJ data'!$A$2:$R$99,11,0))</f>
        <v>0</v>
      </c>
      <c r="CC64" s="184">
        <f>IF(ISERR(VLOOKUP(VALUE(CC$44),'SJ data'!$A$2:$R$99,11,0)="TRUE"),0,VLOOKUP(VALUE(CC$44),'SJ data'!$A$2:$R$99,11,0))</f>
        <v>-757717.4600000002</v>
      </c>
      <c r="CD64" s="247" t="s">
        <v>221</v>
      </c>
      <c r="CE64" s="195">
        <f t="shared" si="0"/>
        <v>108763560.14000003</v>
      </c>
      <c r="CF64" s="250"/>
    </row>
    <row r="65" spans="1:84" ht="12.6" customHeight="1" x14ac:dyDescent="0.2">
      <c r="A65" s="171" t="s">
        <v>238</v>
      </c>
      <c r="B65" s="175"/>
      <c r="C65" s="184">
        <f>IF(ISERR(VLOOKUP(VALUE(C$44),'SJ data'!$A$2:$R$99,12,0)="TRUE"),0,VLOOKUP(VALUE(C$44),'SJ data'!$A$2:$R$99,12,0))</f>
        <v>4284.0200000000004</v>
      </c>
      <c r="D65" s="184">
        <f>IF(ISERR(VLOOKUP(VALUE(D$44),'SJ data'!$A$2:$R$99,12,0)="TRUE"),0,VLOOKUP(VALUE(D$44),'SJ data'!$A$2:$R$99,12,0))</f>
        <v>0</v>
      </c>
      <c r="E65" s="184">
        <f>IF(ISERR(VLOOKUP(VALUE(E$44),'SJ data'!$A$2:$R$99,12,0)="TRUE"),0,VLOOKUP(VALUE(E$44),'SJ data'!$A$2:$R$99,12,0))</f>
        <v>6741.4299999999994</v>
      </c>
      <c r="F65" s="184">
        <f>IF(ISERR(VLOOKUP(VALUE(F$44),'SJ data'!$A$2:$R$99,12,0)="TRUE"),0,VLOOKUP(VALUE(F$44),'SJ data'!$A$2:$R$99,12,0))</f>
        <v>0</v>
      </c>
      <c r="G65" s="184">
        <f>IF(ISERR(VLOOKUP(VALUE(G$44),'SJ data'!$A$2:$R$99,12,0)="TRUE"),0,VLOOKUP(VALUE(G$44),'SJ data'!$A$2:$R$99,12,0))</f>
        <v>0</v>
      </c>
      <c r="H65" s="184">
        <f>IF(ISERR(VLOOKUP(VALUE(H$44),'SJ data'!$A$2:$R$99,12,0)="TRUE"),0,VLOOKUP(VALUE(H$44),'SJ data'!$A$2:$R$99,12,0))</f>
        <v>4.2300000000000004</v>
      </c>
      <c r="I65" s="184">
        <f>IF(ISERR(VLOOKUP(VALUE(I$44),'SJ data'!$A$2:$R$99,12,0)="TRUE"),0,VLOOKUP(VALUE(I$44),'SJ data'!$A$2:$R$99,12,0))</f>
        <v>0</v>
      </c>
      <c r="J65" s="184">
        <f>IF(ISERR(VLOOKUP(VALUE(J$44),'SJ data'!$A$2:$R$99,12,0)="TRUE"),0,VLOOKUP(VALUE(J$44),'SJ data'!$A$2:$R$99,12,0))</f>
        <v>1659.4799999999998</v>
      </c>
      <c r="K65" s="184">
        <f>IF(ISERR(VLOOKUP(VALUE(K$44),'SJ data'!$A$2:$R$99,12,0)="TRUE"),0,VLOOKUP(VALUE(K$44),'SJ data'!$A$2:$R$99,12,0))</f>
        <v>0</v>
      </c>
      <c r="L65" s="184">
        <f>IF(ISERR(VLOOKUP(VALUE(L$44),'SJ data'!$A$2:$R$99,12,0)="TRUE"),0,VLOOKUP(VALUE(L$44),'SJ data'!$A$2:$R$99,12,0))</f>
        <v>0</v>
      </c>
      <c r="M65" s="184">
        <f>IF(ISERR(VLOOKUP(VALUE(M$44),'SJ data'!$A$2:$R$99,12,0)="TRUE"),0,VLOOKUP(VALUE(M$44),'SJ data'!$A$2:$R$99,12,0))</f>
        <v>0</v>
      </c>
      <c r="N65" s="184">
        <f>IF(ISERR(VLOOKUP(VALUE(N$44),'SJ data'!$A$2:$R$99,12,0)="TRUE"),0,VLOOKUP(VALUE(N$44),'SJ data'!$A$2:$R$99,12,0))</f>
        <v>0</v>
      </c>
      <c r="O65" s="184">
        <f>IF(ISERR(VLOOKUP(VALUE(O$44),'SJ data'!$A$2:$R$99,12,0)="TRUE"),0,VLOOKUP(VALUE(O$44),'SJ data'!$A$2:$R$99,12,0))</f>
        <v>4044.28</v>
      </c>
      <c r="P65" s="184">
        <f>IF(ISERR(VLOOKUP(VALUE(P$44),'SJ data'!$A$2:$R$99,12,0)="TRUE"),0,VLOOKUP(VALUE(P$44),'SJ data'!$A$2:$R$99,12,0))</f>
        <v>9661.57</v>
      </c>
      <c r="Q65" s="184">
        <f>IF(ISERR(VLOOKUP(VALUE(Q$44),'SJ data'!$A$2:$R$99,12,0)="TRUE"),0,VLOOKUP(VALUE(Q$44),'SJ data'!$A$2:$R$99,12,0))</f>
        <v>480.87</v>
      </c>
      <c r="R65" s="184">
        <f>IF(ISERR(VLOOKUP(VALUE(R$44),'SJ data'!$A$2:$R$99,12,0)="TRUE"),0,VLOOKUP(VALUE(R$44),'SJ data'!$A$2:$R$99,12,0))</f>
        <v>0</v>
      </c>
      <c r="S65" s="184">
        <f>IF(ISERR(VLOOKUP(VALUE(S$44),'SJ data'!$A$2:$R$99,12,0)="TRUE"),0,VLOOKUP(VALUE(S$44),'SJ data'!$A$2:$R$99,12,0))</f>
        <v>0</v>
      </c>
      <c r="T65" s="184">
        <f>IF(ISERR(VLOOKUP(VALUE(T$44),'SJ data'!$A$2:$R$99,12,0)="TRUE"),0,VLOOKUP(VALUE(T$44),'SJ data'!$A$2:$R$99,12,0))</f>
        <v>656.35</v>
      </c>
      <c r="U65" s="184">
        <f>IF(ISERR(VLOOKUP(VALUE(U$44),'SJ data'!$A$2:$R$99,12,0)="TRUE"),0,VLOOKUP(VALUE(U$44),'SJ data'!$A$2:$R$99,12,0))</f>
        <v>61143.880000000005</v>
      </c>
      <c r="V65" s="184">
        <f>IF(ISERR(VLOOKUP(VALUE(V$44),'SJ data'!$A$2:$R$99,12,0)="TRUE"),0,VLOOKUP(VALUE(V$44),'SJ data'!$A$2:$R$99,12,0))</f>
        <v>2691.75</v>
      </c>
      <c r="W65" s="184">
        <f>IF(ISERR(VLOOKUP(VALUE(W$44),'SJ data'!$A$2:$R$99,12,0)="TRUE"),0,VLOOKUP(VALUE(W$44),'SJ data'!$A$2:$R$99,12,0))</f>
        <v>0</v>
      </c>
      <c r="X65" s="184">
        <f>IF(ISERR(VLOOKUP(VALUE(X$44),'SJ data'!$A$2:$R$99,12,0)="TRUE"),0,VLOOKUP(VALUE(X$44),'SJ data'!$A$2:$R$99,12,0))</f>
        <v>282.28999999999996</v>
      </c>
      <c r="Y65" s="184">
        <f>IF(ISERR(VLOOKUP(VALUE(Y$44),'SJ data'!$A$2:$R$99,12,0)="TRUE"),0,VLOOKUP(VALUE(Y$44),'SJ data'!$A$2:$R$99,12,0))</f>
        <v>4070.1200000000003</v>
      </c>
      <c r="Z65" s="184">
        <f>IF(ISERR(VLOOKUP(VALUE(Z$44),'SJ data'!$A$2:$R$99,12,0)="TRUE"),0,VLOOKUP(VALUE(Z$44),'SJ data'!$A$2:$R$99,12,0))</f>
        <v>0</v>
      </c>
      <c r="AA65" s="184">
        <f>IF(ISERR(VLOOKUP(VALUE(AA$44),'SJ data'!$A$2:$R$99,12,0)="TRUE"),0,VLOOKUP(VALUE(AA$44),'SJ data'!$A$2:$R$99,12,0))</f>
        <v>0</v>
      </c>
      <c r="AB65" s="184">
        <f>IF(ISERR(VLOOKUP(VALUE(AB$44),'SJ data'!$A$2:$R$99,12,0)="TRUE"),0,VLOOKUP(VALUE(AB$44),'SJ data'!$A$2:$R$99,12,0))</f>
        <v>5885.880000000001</v>
      </c>
      <c r="AC65" s="184">
        <f>IF(ISERR(VLOOKUP(VALUE(AC$44),'SJ data'!$A$2:$R$99,12,0)="TRUE"),0,VLOOKUP(VALUE(AC$44),'SJ data'!$A$2:$R$99,12,0))</f>
        <v>782.13</v>
      </c>
      <c r="AD65" s="184">
        <f>IF(ISERR(VLOOKUP(VALUE(AD$44),'SJ data'!$A$2:$R$99,12,0)="TRUE"),0,VLOOKUP(VALUE(AD$44),'SJ data'!$A$2:$R$99,12,0))</f>
        <v>0</v>
      </c>
      <c r="AE65" s="184">
        <f>IF(ISERR(VLOOKUP(VALUE(AE$44),'SJ data'!$A$2:$R$99,12,0)="TRUE"),0,VLOOKUP(VALUE(AE$44),'SJ data'!$A$2:$R$99,12,0))</f>
        <v>1367.29</v>
      </c>
      <c r="AF65" s="184">
        <f>IF(ISERR(VLOOKUP(VALUE(AF$44),'SJ data'!$A$2:$R$99,12,0)="TRUE"),0,VLOOKUP(VALUE(AF$44),'SJ data'!$A$2:$R$99,12,0))</f>
        <v>0</v>
      </c>
      <c r="AG65" s="184">
        <f>IF(ISERR(VLOOKUP(VALUE(AG$44),'SJ data'!$A$2:$R$99,12,0)="TRUE"),0,VLOOKUP(VALUE(AG$44),'SJ data'!$A$2:$R$99,12,0))</f>
        <v>3000.5</v>
      </c>
      <c r="AH65" s="184">
        <f>IF(ISERR(VLOOKUP(VALUE(AH$44),'SJ data'!$A$2:$R$99,12,0)="TRUE"),0,VLOOKUP(VALUE(AH$44),'SJ data'!$A$2:$R$99,12,0))</f>
        <v>0</v>
      </c>
      <c r="AI65" s="184">
        <f>IF(ISERR(VLOOKUP(VALUE(AI$44),'SJ data'!$A$2:$R$99,12,0)="TRUE"),0,VLOOKUP(VALUE(AI$44),'SJ data'!$A$2:$R$99,12,0))</f>
        <v>0</v>
      </c>
      <c r="AJ65" s="184">
        <f>IF(ISERR(VLOOKUP(VALUE(AJ$44),'SJ data'!$A$2:$R$99,12,0)="TRUE"),0,VLOOKUP(VALUE(AJ$44),'SJ data'!$A$2:$R$99,12,0))</f>
        <v>428083.38</v>
      </c>
      <c r="AK65" s="184">
        <f>IF(ISERR(VLOOKUP(VALUE(AK$44),'SJ data'!$A$2:$R$99,12,0)="TRUE"),0,VLOOKUP(VALUE(AK$44),'SJ data'!$A$2:$R$99,12,0))</f>
        <v>611.88</v>
      </c>
      <c r="AL65" s="184">
        <f>IF(ISERR(VLOOKUP(VALUE(AL$44),'SJ data'!$A$2:$R$99,12,0)="TRUE"),0,VLOOKUP(VALUE(AL$44),'SJ data'!$A$2:$R$99,12,0))</f>
        <v>821.7399999999999</v>
      </c>
      <c r="AM65" s="184">
        <f>IF(ISERR(VLOOKUP(VALUE(AM$44),'SJ data'!$A$2:$R$99,12,0)="TRUE"),0,VLOOKUP(VALUE(AM$44),'SJ data'!$A$2:$R$99,12,0))</f>
        <v>0</v>
      </c>
      <c r="AN65" s="184">
        <f>IF(ISERR(VLOOKUP(VALUE(AN$44),'SJ data'!$A$2:$R$99,12,0)="TRUE"),0,VLOOKUP(VALUE(AN$44),'SJ data'!$A$2:$R$99,12,0))</f>
        <v>0</v>
      </c>
      <c r="AO65" s="184">
        <f>IF(ISERR(VLOOKUP(VALUE(AO$44),'SJ data'!$A$2:$R$99,12,0)="TRUE"),0,VLOOKUP(VALUE(AO$44),'SJ data'!$A$2:$R$99,12,0))</f>
        <v>0</v>
      </c>
      <c r="AP65" s="184">
        <f>IF(ISERR(VLOOKUP(VALUE(AP$44),'SJ data'!$A$2:$R$99,12,0)="TRUE"),0,VLOOKUP(VALUE(AP$44),'SJ data'!$A$2:$R$99,12,0))</f>
        <v>33743.730000000003</v>
      </c>
      <c r="AQ65" s="184">
        <f>IF(ISERR(VLOOKUP(VALUE(AQ$44),'SJ data'!$A$2:$R$99,12,0)="TRUE"),0,VLOOKUP(VALUE(AQ$44),'SJ data'!$A$2:$R$99,12,0))</f>
        <v>0</v>
      </c>
      <c r="AR65" s="184">
        <f>IF(ISERR(VLOOKUP(VALUE(AR$44),'SJ data'!$A$2:$R$99,12,0)="TRUE"),0,VLOOKUP(VALUE(AR$44),'SJ data'!$A$2:$R$99,12,0))</f>
        <v>386851.9</v>
      </c>
      <c r="AS65" s="184">
        <f>IF(ISERR(VLOOKUP(VALUE(AS$44),'SJ data'!$A$2:$R$99,12,0)="TRUE"),0,VLOOKUP(VALUE(AS$44),'SJ data'!$A$2:$R$99,12,0))</f>
        <v>0</v>
      </c>
      <c r="AT65" s="184">
        <f>IF(ISERR(VLOOKUP(VALUE(AT$44),'SJ data'!$A$2:$R$99,12,0)="TRUE"),0,VLOOKUP(VALUE(AT$44),'SJ data'!$A$2:$R$99,12,0))</f>
        <v>0</v>
      </c>
      <c r="AU65" s="184">
        <f>IF(ISERR(VLOOKUP(VALUE(AU$44),'SJ data'!$A$2:$R$99,12,0)="TRUE"),0,VLOOKUP(VALUE(AU$44),'SJ data'!$A$2:$R$99,12,0))</f>
        <v>0</v>
      </c>
      <c r="AV65" s="184">
        <f>IF(ISERR(VLOOKUP(VALUE(AV$44),'SJ data'!$A$2:$R$99,12,0)="TRUE"),0,VLOOKUP(VALUE(AV$44),'SJ data'!$A$2:$R$99,12,0))</f>
        <v>9531.52</v>
      </c>
      <c r="AW65" s="184">
        <f>IF(ISERR(VLOOKUP(VALUE(AW$44),'SJ data'!$A$2:$R$99,12,0)="TRUE"),0,VLOOKUP(VALUE(AW$44),'SJ data'!$A$2:$R$99,12,0))</f>
        <v>0</v>
      </c>
      <c r="AX65" s="184">
        <f>IF(ISERR(VLOOKUP(VALUE(AX$44),'SJ data'!$A$2:$R$99,12,0)="TRUE"),0,VLOOKUP(VALUE(AX$44),'SJ data'!$A$2:$R$99,12,0))</f>
        <v>0</v>
      </c>
      <c r="AY65" s="184">
        <f>IF(ISERR(VLOOKUP(VALUE(AY$44),'SJ data'!$A$2:$R$99,12,0)="TRUE"),0,VLOOKUP(VALUE(AY$44),'SJ data'!$A$2:$R$99,12,0))</f>
        <v>0</v>
      </c>
      <c r="AZ65" s="184">
        <f>IF(ISERR(VLOOKUP(VALUE(AZ$44),'SJ data'!$A$2:$R$99,12,0)="TRUE"),0,VLOOKUP(VALUE(AZ$44),'SJ data'!$A$2:$R$99,12,0))</f>
        <v>679.11</v>
      </c>
      <c r="BA65" s="184">
        <f>IF(ISERR(VLOOKUP(VALUE(BA$44),'SJ data'!$A$2:$R$99,12,0)="TRUE"),0,VLOOKUP(VALUE(BA$44),'SJ data'!$A$2:$R$99,12,0))</f>
        <v>0</v>
      </c>
      <c r="BB65" s="184">
        <f>IF(ISERR(VLOOKUP(VALUE(BB$44),'SJ data'!$A$2:$R$99,12,0)="TRUE"),0,VLOOKUP(VALUE(BB$44),'SJ data'!$A$2:$R$99,12,0))</f>
        <v>0</v>
      </c>
      <c r="BC65" s="184">
        <f>IF(ISERR(VLOOKUP(VALUE(BC$44),'SJ data'!$A$2:$R$99,12,0)="TRUE"),0,VLOOKUP(VALUE(BC$44),'SJ data'!$A$2:$R$99,12,0))</f>
        <v>97.77</v>
      </c>
      <c r="BD65" s="184">
        <f>IF(ISERR(VLOOKUP(VALUE(BD$44),'SJ data'!$A$2:$R$99,12,0)="TRUE"),0,VLOOKUP(VALUE(BD$44),'SJ data'!$A$2:$R$99,12,0))</f>
        <v>0</v>
      </c>
      <c r="BE65" s="184">
        <f>IF(ISERR(VLOOKUP(VALUE(BE$44),'SJ data'!$A$2:$R$99,12,0)="TRUE"),0,VLOOKUP(VALUE(BE$44),'SJ data'!$A$2:$R$99,12,0))</f>
        <v>3534900.1799999997</v>
      </c>
      <c r="BF65" s="184">
        <f>IF(ISERR(VLOOKUP(VALUE(BF$44),'SJ data'!$A$2:$R$99,12,0)="TRUE"),0,VLOOKUP(VALUE(BF$44),'SJ data'!$A$2:$R$99,12,0))</f>
        <v>809.5</v>
      </c>
      <c r="BG65" s="184">
        <f>IF(ISERR(VLOOKUP(VALUE(BG$44),'SJ data'!$A$2:$R$99,12,0)="TRUE"),0,VLOOKUP(VALUE(BG$44),'SJ data'!$A$2:$R$99,12,0))</f>
        <v>0</v>
      </c>
      <c r="BH65" s="184">
        <f>IF(ISERR(VLOOKUP(VALUE(BH$44),'SJ data'!$A$2:$R$99,12,0)="TRUE"),0,VLOOKUP(VALUE(BH$44),'SJ data'!$A$2:$R$99,12,0))</f>
        <v>0</v>
      </c>
      <c r="BI65" s="184">
        <f>IF(ISERR(VLOOKUP(VALUE(BI$44),'SJ data'!$A$2:$R$99,12,0)="TRUE"),0,VLOOKUP(VALUE(BI$44),'SJ data'!$A$2:$R$99,12,0))</f>
        <v>0</v>
      </c>
      <c r="BJ65" s="184">
        <f>IF(ISERR(VLOOKUP(VALUE(BJ$44),'SJ data'!$A$2:$R$99,12,0)="TRUE"),0,VLOOKUP(VALUE(BJ$44),'SJ data'!$A$2:$R$99,12,0))</f>
        <v>0</v>
      </c>
      <c r="BK65" s="184">
        <f>IF(ISERR(VLOOKUP(VALUE(BK$44),'SJ data'!$A$2:$R$99,12,0)="TRUE"),0,VLOOKUP(VALUE(BK$44),'SJ data'!$A$2:$R$99,12,0))</f>
        <v>0</v>
      </c>
      <c r="BL65" s="184">
        <f>IF(ISERR(VLOOKUP(VALUE(BL$44),'SJ data'!$A$2:$R$99,12,0)="TRUE"),0,VLOOKUP(VALUE(BL$44),'SJ data'!$A$2:$R$99,12,0))</f>
        <v>446.03999999999996</v>
      </c>
      <c r="BM65" s="184">
        <f>IF(ISERR(VLOOKUP(VALUE(BM$44),'SJ data'!$A$2:$R$99,12,0)="TRUE"),0,VLOOKUP(VALUE(BM$44),'SJ data'!$A$2:$R$99,12,0))</f>
        <v>0</v>
      </c>
      <c r="BN65" s="184">
        <f>IF(ISERR(VLOOKUP(VALUE(BN$44),'SJ data'!$A$2:$R$99,12,0)="TRUE"),0,VLOOKUP(VALUE(BN$44),'SJ data'!$A$2:$R$99,12,0))</f>
        <v>6052.52</v>
      </c>
      <c r="BO65" s="184">
        <f>IF(ISERR(VLOOKUP(VALUE(BO$44),'SJ data'!$A$2:$R$99,12,0)="TRUE"),0,VLOOKUP(VALUE(BO$44),'SJ data'!$A$2:$R$99,12,0))</f>
        <v>0</v>
      </c>
      <c r="BP65" s="184">
        <f>IF(ISERR(VLOOKUP(VALUE(BP$44),'SJ data'!$A$2:$R$99,12,0)="TRUE"),0,VLOOKUP(VALUE(BP$44),'SJ data'!$A$2:$R$99,12,0))</f>
        <v>0</v>
      </c>
      <c r="BQ65" s="184">
        <f>IF(ISERR(VLOOKUP(VALUE(BQ$44),'SJ data'!$A$2:$R$99,12,0)="TRUE"),0,VLOOKUP(VALUE(BQ$44),'SJ data'!$A$2:$R$99,12,0))</f>
        <v>0</v>
      </c>
      <c r="BR65" s="184">
        <f>IF(ISERR(VLOOKUP(VALUE(BR$44),'SJ data'!$A$2:$R$99,12,0)="TRUE"),0,VLOOKUP(VALUE(BR$44),'SJ data'!$A$2:$R$99,12,0))</f>
        <v>0</v>
      </c>
      <c r="BS65" s="184">
        <f>IF(ISERR(VLOOKUP(VALUE(BS$44),'SJ data'!$A$2:$R$99,12,0)="TRUE"),0,VLOOKUP(VALUE(BS$44),'SJ data'!$A$2:$R$99,12,0))</f>
        <v>0</v>
      </c>
      <c r="BT65" s="184">
        <f>IF(ISERR(VLOOKUP(VALUE(BT$44),'SJ data'!$A$2:$R$99,12,0)="TRUE"),0,VLOOKUP(VALUE(BT$44),'SJ data'!$A$2:$R$99,12,0))</f>
        <v>0</v>
      </c>
      <c r="BU65" s="184">
        <f>IF(ISERR(VLOOKUP(VALUE(BU$44),'SJ data'!$A$2:$R$99,12,0)="TRUE"),0,VLOOKUP(VALUE(BU$44),'SJ data'!$A$2:$R$99,12,0))</f>
        <v>0</v>
      </c>
      <c r="BV65" s="184">
        <f>IF(ISERR(VLOOKUP(VALUE(BV$44),'SJ data'!$A$2:$R$99,12,0)="TRUE"),0,VLOOKUP(VALUE(BV$44),'SJ data'!$A$2:$R$99,12,0))</f>
        <v>0</v>
      </c>
      <c r="BW65" s="184">
        <f>IF(ISERR(VLOOKUP(VALUE(BW$44),'SJ data'!$A$2:$R$99,12,0)="TRUE"),0,VLOOKUP(VALUE(BW$44),'SJ data'!$A$2:$R$99,12,0))</f>
        <v>0</v>
      </c>
      <c r="BX65" s="184">
        <f>IF(ISERR(VLOOKUP(VALUE(BX$44),'SJ data'!$A$2:$R$99,12,0)="TRUE"),0,VLOOKUP(VALUE(BX$44),'SJ data'!$A$2:$R$99,12,0))</f>
        <v>0</v>
      </c>
      <c r="BY65" s="184">
        <f>IF(ISERR(VLOOKUP(VALUE(BY$44),'SJ data'!$A$2:$R$99,12,0)="TRUE"),0,VLOOKUP(VALUE(BY$44),'SJ data'!$A$2:$R$99,12,0))</f>
        <v>2244.5500000000002</v>
      </c>
      <c r="BZ65" s="184">
        <f>IF(ISERR(VLOOKUP(VALUE(BZ$44),'SJ data'!$A$2:$R$99,12,0)="TRUE"),0,VLOOKUP(VALUE(BZ$44),'SJ data'!$A$2:$R$99,12,0))</f>
        <v>0</v>
      </c>
      <c r="CA65" s="184">
        <f>IF(ISERR(VLOOKUP(VALUE(CA$44),'SJ data'!$A$2:$R$99,12,0)="TRUE"),0,VLOOKUP(VALUE(CA$44),'SJ data'!$A$2:$R$99,12,0))</f>
        <v>0</v>
      </c>
      <c r="CB65" s="184">
        <f>IF(ISERR(VLOOKUP(VALUE(CB$44),'SJ data'!$A$2:$R$99,12,0)="TRUE"),0,VLOOKUP(VALUE(CB$44),'SJ data'!$A$2:$R$99,12,0))</f>
        <v>0</v>
      </c>
      <c r="CC65" s="184">
        <f>IF(ISERR(VLOOKUP(VALUE(CC$44),'SJ data'!$A$2:$R$99,12,0)="TRUE"),0,VLOOKUP(VALUE(CC$44),'SJ data'!$A$2:$R$99,12,0))</f>
        <v>0</v>
      </c>
      <c r="CD65" s="247" t="s">
        <v>221</v>
      </c>
      <c r="CE65" s="195">
        <f t="shared" si="0"/>
        <v>4511629.8899999987</v>
      </c>
      <c r="CF65" s="250"/>
    </row>
    <row r="66" spans="1:84" ht="12.6" customHeight="1" x14ac:dyDescent="0.2">
      <c r="A66" s="171" t="s">
        <v>239</v>
      </c>
      <c r="B66" s="175"/>
      <c r="C66" s="184">
        <f>IF(ISERR(VLOOKUP(VALUE(C$44),'SJ data'!$A$2:$R$99,16,0)="TRUE"),0,VLOOKUP(VALUE(C$44),'SJ data'!$A$2:$R$99,16,0))</f>
        <v>337581.18999999994</v>
      </c>
      <c r="D66" s="184">
        <f>IF(ISERR(VLOOKUP(VALUE(D$44),'SJ data'!$A$2:$R$99,16,0)="TRUE"),0,VLOOKUP(VALUE(D$44),'SJ data'!$A$2:$R$99,16,0))</f>
        <v>0</v>
      </c>
      <c r="E66" s="184">
        <f>IF(ISERR(VLOOKUP(VALUE(E$44),'SJ data'!$A$2:$R$99,16,0)="TRUE"),0,VLOOKUP(VALUE(E$44),'SJ data'!$A$2:$R$99,16,0))</f>
        <v>2540625.1099999994</v>
      </c>
      <c r="F66" s="184">
        <f>IF(ISERR(VLOOKUP(VALUE(F$44),'SJ data'!$A$2:$R$99,16,0)="TRUE"),0,VLOOKUP(VALUE(F$44),'SJ data'!$A$2:$R$99,16,0))</f>
        <v>0</v>
      </c>
      <c r="G66" s="184">
        <f>IF(ISERR(VLOOKUP(VALUE(G$44),'SJ data'!$A$2:$R$99,16,0)="TRUE"),0,VLOOKUP(VALUE(G$44),'SJ data'!$A$2:$R$99,16,0))</f>
        <v>0</v>
      </c>
      <c r="H66" s="184">
        <f>IF(ISERR(VLOOKUP(VALUE(H$44),'SJ data'!$A$2:$R$99,16,0)="TRUE"),0,VLOOKUP(VALUE(H$44),'SJ data'!$A$2:$R$99,16,0))</f>
        <v>200.84</v>
      </c>
      <c r="I66" s="184">
        <f>IF(ISERR(VLOOKUP(VALUE(I$44),'SJ data'!$A$2:$R$99,16,0)="TRUE"),0,VLOOKUP(VALUE(I$44),'SJ data'!$A$2:$R$99,16,0))</f>
        <v>0</v>
      </c>
      <c r="J66" s="184">
        <f>IF(ISERR(VLOOKUP(VALUE(J$44),'SJ data'!$A$2:$R$99,16,0)="TRUE"),0,VLOOKUP(VALUE(J$44),'SJ data'!$A$2:$R$99,16,0))</f>
        <v>490970.17000000004</v>
      </c>
      <c r="K66" s="184">
        <f>IF(ISERR(VLOOKUP(VALUE(K$44),'SJ data'!$A$2:$R$99,16,0)="TRUE"),0,VLOOKUP(VALUE(K$44),'SJ data'!$A$2:$R$99,16,0))</f>
        <v>0</v>
      </c>
      <c r="L66" s="184">
        <f>IF(ISERR(VLOOKUP(VALUE(L$44),'SJ data'!$A$2:$R$99,16,0)="TRUE"),0,VLOOKUP(VALUE(L$44),'SJ data'!$A$2:$R$99,16,0))</f>
        <v>0</v>
      </c>
      <c r="M66" s="184">
        <f>IF(ISERR(VLOOKUP(VALUE(M$44),'SJ data'!$A$2:$R$99,16,0)="TRUE"),0,VLOOKUP(VALUE(M$44),'SJ data'!$A$2:$R$99,16,0))</f>
        <v>0</v>
      </c>
      <c r="N66" s="184">
        <f>IF(ISERR(VLOOKUP(VALUE(N$44),'SJ data'!$A$2:$R$99,16,0)="TRUE"),0,VLOOKUP(VALUE(N$44),'SJ data'!$A$2:$R$99,16,0))</f>
        <v>0</v>
      </c>
      <c r="O66" s="184">
        <f>IF(ISERR(VLOOKUP(VALUE(O$44),'SJ data'!$A$2:$R$99,16,0)="TRUE"),0,VLOOKUP(VALUE(O$44),'SJ data'!$A$2:$R$99,16,0))</f>
        <v>756292.9700000002</v>
      </c>
      <c r="P66" s="184">
        <f>IF(ISERR(VLOOKUP(VALUE(P$44),'SJ data'!$A$2:$R$99,16,0)="TRUE"),0,VLOOKUP(VALUE(P$44),'SJ data'!$A$2:$R$99,16,0))</f>
        <v>4395251.0100000007</v>
      </c>
      <c r="Q66" s="184">
        <f>IF(ISERR(VLOOKUP(VALUE(Q$44),'SJ data'!$A$2:$R$99,16,0)="TRUE"),0,VLOOKUP(VALUE(Q$44),'SJ data'!$A$2:$R$99,16,0))</f>
        <v>26438.699999999997</v>
      </c>
      <c r="R66" s="184">
        <f>IF(ISERR(VLOOKUP(VALUE(R$44),'SJ data'!$A$2:$R$99,16,0)="TRUE"),0,VLOOKUP(VALUE(R$44),'SJ data'!$A$2:$R$99,16,0))</f>
        <v>0</v>
      </c>
      <c r="S66" s="184">
        <f>IF(ISERR(VLOOKUP(VALUE(S$44),'SJ data'!$A$2:$R$99,16,0)="TRUE"),0,VLOOKUP(VALUE(S$44),'SJ data'!$A$2:$R$99,16,0))</f>
        <v>187873.32754150004</v>
      </c>
      <c r="T66" s="184">
        <f>IF(ISERR(VLOOKUP(VALUE(T$44),'SJ data'!$A$2:$R$99,16,0)="TRUE"),0,VLOOKUP(VALUE(T$44),'SJ data'!$A$2:$R$99,16,0))</f>
        <v>1037314.73</v>
      </c>
      <c r="U66" s="184">
        <f>IF(ISERR(VLOOKUP(VALUE(U$44),'SJ data'!$A$2:$R$99,16,0)="TRUE"),0,VLOOKUP(VALUE(U$44),'SJ data'!$A$2:$R$99,16,0))</f>
        <v>4161682.3799999994</v>
      </c>
      <c r="V66" s="184">
        <f>IF(ISERR(VLOOKUP(VALUE(V$44),'SJ data'!$A$2:$R$99,16,0)="TRUE"),0,VLOOKUP(VALUE(V$44),'SJ data'!$A$2:$R$99,16,0))</f>
        <v>1126145.1199999999</v>
      </c>
      <c r="W66" s="184">
        <f>IF(ISERR(VLOOKUP(VALUE(W$44),'SJ data'!$A$2:$R$99,16,0)="TRUE"),0,VLOOKUP(VALUE(W$44),'SJ data'!$A$2:$R$99,16,0))</f>
        <v>241678.10999999996</v>
      </c>
      <c r="X66" s="184">
        <f>IF(ISERR(VLOOKUP(VALUE(X$44),'SJ data'!$A$2:$R$99,16,0)="TRUE"),0,VLOOKUP(VALUE(X$44),'SJ data'!$A$2:$R$99,16,0))</f>
        <v>289685.12</v>
      </c>
      <c r="Y66" s="184">
        <f>IF(ISERR(VLOOKUP(VALUE(Y$44),'SJ data'!$A$2:$R$99,16,0)="TRUE"),0,VLOOKUP(VALUE(Y$44),'SJ data'!$A$2:$R$99,16,0))</f>
        <v>1922682.7600000002</v>
      </c>
      <c r="Z66" s="184">
        <f>IF(ISERR(VLOOKUP(VALUE(Z$44),'SJ data'!$A$2:$R$99,16,0)="TRUE"),0,VLOOKUP(VALUE(Z$44),'SJ data'!$A$2:$R$99,16,0))</f>
        <v>0</v>
      </c>
      <c r="AA66" s="184">
        <f>IF(ISERR(VLOOKUP(VALUE(AA$44),'SJ data'!$A$2:$R$99,16,0)="TRUE"),0,VLOOKUP(VALUE(AA$44),'SJ data'!$A$2:$R$99,16,0))</f>
        <v>131642.94999999998</v>
      </c>
      <c r="AB66" s="184">
        <f>IF(ISERR(VLOOKUP(VALUE(AB$44),'SJ data'!$A$2:$R$99,16,0)="TRUE"),0,VLOOKUP(VALUE(AB$44),'SJ data'!$A$2:$R$99,16,0))</f>
        <v>607592.69000000018</v>
      </c>
      <c r="AC66" s="184">
        <f>IF(ISERR(VLOOKUP(VALUE(AC$44),'SJ data'!$A$2:$R$99,16,0)="TRUE"),0,VLOOKUP(VALUE(AC$44),'SJ data'!$A$2:$R$99,16,0))</f>
        <v>65464.169999999991</v>
      </c>
      <c r="AD66" s="184">
        <f>IF(ISERR(VLOOKUP(VALUE(AD$44),'SJ data'!$A$2:$R$99,16,0)="TRUE"),0,VLOOKUP(VALUE(AD$44),'SJ data'!$A$2:$R$99,16,0))</f>
        <v>2736251.7899999996</v>
      </c>
      <c r="AE66" s="184">
        <f>IF(ISERR(VLOOKUP(VALUE(AE$44),'SJ data'!$A$2:$R$99,16,0)="TRUE"),0,VLOOKUP(VALUE(AE$44),'SJ data'!$A$2:$R$99,16,0))</f>
        <v>931665.96000000008</v>
      </c>
      <c r="AF66" s="184">
        <f>IF(ISERR(VLOOKUP(VALUE(AF$44),'SJ data'!$A$2:$R$99,16,0)="TRUE"),0,VLOOKUP(VALUE(AF$44),'SJ data'!$A$2:$R$99,16,0))</f>
        <v>0</v>
      </c>
      <c r="AG66" s="184">
        <f>IF(ISERR(VLOOKUP(VALUE(AG$44),'SJ data'!$A$2:$R$99,16,0)="TRUE"),0,VLOOKUP(VALUE(AG$44),'SJ data'!$A$2:$R$99,16,0))</f>
        <v>3881112.2559136292</v>
      </c>
      <c r="AH66" s="184">
        <f>IF(ISERR(VLOOKUP(VALUE(AH$44),'SJ data'!$A$2:$R$99,16,0)="TRUE"),0,VLOOKUP(VALUE(AH$44),'SJ data'!$A$2:$R$99,16,0))</f>
        <v>0</v>
      </c>
      <c r="AI66" s="184">
        <f>IF(ISERR(VLOOKUP(VALUE(AI$44),'SJ data'!$A$2:$R$99,16,0)="TRUE"),0,VLOOKUP(VALUE(AI$44),'SJ data'!$A$2:$R$99,16,0))</f>
        <v>0</v>
      </c>
      <c r="AJ66" s="184">
        <f>IF(ISERR(VLOOKUP(VALUE(AJ$44),'SJ data'!$A$2:$R$99,16,0)="TRUE"),0,VLOOKUP(VALUE(AJ$44),'SJ data'!$A$2:$R$99,16,0))</f>
        <v>12954085.560000002</v>
      </c>
      <c r="AK66" s="184">
        <f>IF(ISERR(VLOOKUP(VALUE(AK$44),'SJ data'!$A$2:$R$99,16,0)="TRUE"),0,VLOOKUP(VALUE(AK$44),'SJ data'!$A$2:$R$99,16,0))</f>
        <v>6773.7</v>
      </c>
      <c r="AL66" s="184">
        <f>IF(ISERR(VLOOKUP(VALUE(AL$44),'SJ data'!$A$2:$R$99,16,0)="TRUE"),0,VLOOKUP(VALUE(AL$44),'SJ data'!$A$2:$R$99,16,0))</f>
        <v>1474.38</v>
      </c>
      <c r="AM66" s="184">
        <f>IF(ISERR(VLOOKUP(VALUE(AM$44),'SJ data'!$A$2:$R$99,16,0)="TRUE"),0,VLOOKUP(VALUE(AM$44),'SJ data'!$A$2:$R$99,16,0))</f>
        <v>0</v>
      </c>
      <c r="AN66" s="184">
        <f>IF(ISERR(VLOOKUP(VALUE(AN$44),'SJ data'!$A$2:$R$99,16,0)="TRUE"),0,VLOOKUP(VALUE(AN$44),'SJ data'!$A$2:$R$99,16,0))</f>
        <v>0</v>
      </c>
      <c r="AO66" s="184">
        <f>IF(ISERR(VLOOKUP(VALUE(AO$44),'SJ data'!$A$2:$R$99,16,0)="TRUE"),0,VLOOKUP(VALUE(AO$44),'SJ data'!$A$2:$R$99,16,0))</f>
        <v>0</v>
      </c>
      <c r="AP66" s="184">
        <f>IF(ISERR(VLOOKUP(VALUE(AP$44),'SJ data'!$A$2:$R$99,16,0)="TRUE"),0,VLOOKUP(VALUE(AP$44),'SJ data'!$A$2:$R$99,16,0))</f>
        <v>21143.67</v>
      </c>
      <c r="AQ66" s="184">
        <f>IF(ISERR(VLOOKUP(VALUE(AQ$44),'SJ data'!$A$2:$R$99,16,0)="TRUE"),0,VLOOKUP(VALUE(AQ$44),'SJ data'!$A$2:$R$99,16,0))</f>
        <v>0</v>
      </c>
      <c r="AR66" s="184">
        <f>IF(ISERR(VLOOKUP(VALUE(AR$44),'SJ data'!$A$2:$R$99,16,0)="TRUE"),0,VLOOKUP(VALUE(AR$44),'SJ data'!$A$2:$R$99,16,0))</f>
        <v>10271906.222899998</v>
      </c>
      <c r="AS66" s="184">
        <f>IF(ISERR(VLOOKUP(VALUE(AS$44),'SJ data'!$A$2:$R$99,16,0)="TRUE"),0,VLOOKUP(VALUE(AS$44),'SJ data'!$A$2:$R$99,16,0))</f>
        <v>0</v>
      </c>
      <c r="AT66" s="184">
        <f>IF(ISERR(VLOOKUP(VALUE(AT$44),'SJ data'!$A$2:$R$99,16,0)="TRUE"),0,VLOOKUP(VALUE(AT$44),'SJ data'!$A$2:$R$99,16,0))</f>
        <v>0</v>
      </c>
      <c r="AU66" s="184">
        <f>IF(ISERR(VLOOKUP(VALUE(AU$44),'SJ data'!$A$2:$R$99,16,0)="TRUE"),0,VLOOKUP(VALUE(AU$44),'SJ data'!$A$2:$R$99,16,0))</f>
        <v>0</v>
      </c>
      <c r="AV66" s="184">
        <f>IF(ISERR(VLOOKUP(VALUE(AV$44),'SJ data'!$A$2:$R$99,16,0)="TRUE"),0,VLOOKUP(VALUE(AV$44),'SJ data'!$A$2:$R$99,16,0))</f>
        <v>465926.23999999993</v>
      </c>
      <c r="AW66" s="184">
        <f>IF(ISERR(VLOOKUP(VALUE(AW$44),'SJ data'!$A$2:$R$99,16,0)="TRUE"),0,VLOOKUP(VALUE(AW$44),'SJ data'!$A$2:$R$99,16,0))</f>
        <v>0</v>
      </c>
      <c r="AX66" s="184">
        <f>IF(ISERR(VLOOKUP(VALUE(AX$44),'SJ data'!$A$2:$R$99,16,0)="TRUE"),0,VLOOKUP(VALUE(AX$44),'SJ data'!$A$2:$R$99,16,0))</f>
        <v>0</v>
      </c>
      <c r="AY66" s="184">
        <f>IF(ISERR(VLOOKUP(VALUE(AY$44),'SJ data'!$A$2:$R$99,16,0)="TRUE"),0,VLOOKUP(VALUE(AY$44),'SJ data'!$A$2:$R$99,16,0))</f>
        <v>0</v>
      </c>
      <c r="AZ66" s="184">
        <f>IF(ISERR(VLOOKUP(VALUE(AZ$44),'SJ data'!$A$2:$R$99,16,0)="TRUE"),0,VLOOKUP(VALUE(AZ$44),'SJ data'!$A$2:$R$99,16,0))</f>
        <v>2175074.79</v>
      </c>
      <c r="BA66" s="184">
        <f>IF(ISERR(VLOOKUP(VALUE(BA$44),'SJ data'!$A$2:$R$99,16,0)="TRUE"),0,VLOOKUP(VALUE(BA$44),'SJ data'!$A$2:$R$99,16,0))</f>
        <v>8347.07</v>
      </c>
      <c r="BB66" s="184">
        <f>IF(ISERR(VLOOKUP(VALUE(BB$44),'SJ data'!$A$2:$R$99,16,0)="TRUE"),0,VLOOKUP(VALUE(BB$44),'SJ data'!$A$2:$R$99,16,0))</f>
        <v>0</v>
      </c>
      <c r="BC66" s="184">
        <f>IF(ISERR(VLOOKUP(VALUE(BC$44),'SJ data'!$A$2:$R$99,16,0)="TRUE"),0,VLOOKUP(VALUE(BC$44),'SJ data'!$A$2:$R$99,16,0))</f>
        <v>0</v>
      </c>
      <c r="BD66" s="184">
        <f>IF(ISERR(VLOOKUP(VALUE(BD$44),'SJ data'!$A$2:$R$99,16,0)="TRUE"),0,VLOOKUP(VALUE(BD$44),'SJ data'!$A$2:$R$99,16,0))</f>
        <v>0</v>
      </c>
      <c r="BE66" s="184">
        <f>IF(ISERR(VLOOKUP(VALUE(BE$44),'SJ data'!$A$2:$R$99,16,0)="TRUE"),0,VLOOKUP(VALUE(BE$44),'SJ data'!$A$2:$R$99,16,0))</f>
        <v>10816132.02</v>
      </c>
      <c r="BF66" s="184">
        <f>IF(ISERR(VLOOKUP(VALUE(BF$44),'SJ data'!$A$2:$R$99,16,0)="TRUE"),0,VLOOKUP(VALUE(BF$44),'SJ data'!$A$2:$R$99,16,0))</f>
        <v>473476.14999999991</v>
      </c>
      <c r="BG66" s="184">
        <f>IF(ISERR(VLOOKUP(VALUE(BG$44),'SJ data'!$A$2:$R$99,16,0)="TRUE"),0,VLOOKUP(VALUE(BG$44),'SJ data'!$A$2:$R$99,16,0))</f>
        <v>0</v>
      </c>
      <c r="BH66" s="184">
        <f>IF(ISERR(VLOOKUP(VALUE(BH$44),'SJ data'!$A$2:$R$99,16,0)="TRUE"),0,VLOOKUP(VALUE(BH$44),'SJ data'!$A$2:$R$99,16,0))</f>
        <v>0</v>
      </c>
      <c r="BI66" s="184">
        <f>IF(ISERR(VLOOKUP(VALUE(BI$44),'SJ data'!$A$2:$R$99,16,0)="TRUE"),0,VLOOKUP(VALUE(BI$44),'SJ data'!$A$2:$R$99,16,0))</f>
        <v>655.69</v>
      </c>
      <c r="BJ66" s="184">
        <f>IF(ISERR(VLOOKUP(VALUE(BJ$44),'SJ data'!$A$2:$R$99,16,0)="TRUE"),0,VLOOKUP(VALUE(BJ$44),'SJ data'!$A$2:$R$99,16,0))</f>
        <v>0</v>
      </c>
      <c r="BK66" s="184">
        <f>IF(ISERR(VLOOKUP(VALUE(BK$44),'SJ data'!$A$2:$R$99,16,0)="TRUE"),0,VLOOKUP(VALUE(BK$44),'SJ data'!$A$2:$R$99,16,0))</f>
        <v>7365007.1295641745</v>
      </c>
      <c r="BL66" s="184">
        <f>IF(ISERR(VLOOKUP(VALUE(BL$44),'SJ data'!$A$2:$R$99,16,0)="TRUE"),0,VLOOKUP(VALUE(BL$44),'SJ data'!$A$2:$R$99,16,0))</f>
        <v>19792142.698511623</v>
      </c>
      <c r="BM66" s="184">
        <f>IF(ISERR(VLOOKUP(VALUE(BM$44),'SJ data'!$A$2:$R$99,16,0)="TRUE"),0,VLOOKUP(VALUE(BM$44),'SJ data'!$A$2:$R$99,16,0))</f>
        <v>0</v>
      </c>
      <c r="BN66" s="184">
        <f>IF(ISERR(VLOOKUP(VALUE(BN$44),'SJ data'!$A$2:$R$99,16,0)="TRUE"),0,VLOOKUP(VALUE(BN$44),'SJ data'!$A$2:$R$99,16,0))</f>
        <v>1600942.9530191498</v>
      </c>
      <c r="BO66" s="184">
        <f>IF(ISERR(VLOOKUP(VALUE(BO$44),'SJ data'!$A$2:$R$99,16,0)="TRUE"),0,VLOOKUP(VALUE(BO$44),'SJ data'!$A$2:$R$99,16,0))</f>
        <v>0</v>
      </c>
      <c r="BP66" s="184">
        <f>IF(ISERR(VLOOKUP(VALUE(BP$44),'SJ data'!$A$2:$R$99,16,0)="TRUE"),0,VLOOKUP(VALUE(BP$44),'SJ data'!$A$2:$R$99,16,0))</f>
        <v>0</v>
      </c>
      <c r="BQ66" s="184">
        <f>IF(ISERR(VLOOKUP(VALUE(BQ$44),'SJ data'!$A$2:$R$99,16,0)="TRUE"),0,VLOOKUP(VALUE(BQ$44),'SJ data'!$A$2:$R$99,16,0))</f>
        <v>0</v>
      </c>
      <c r="BR66" s="184">
        <f>IF(ISERR(VLOOKUP(VALUE(BR$44),'SJ data'!$A$2:$R$99,16,0)="TRUE"),0,VLOOKUP(VALUE(BR$44),'SJ data'!$A$2:$R$99,16,0))</f>
        <v>0</v>
      </c>
      <c r="BS66" s="184">
        <f>IF(ISERR(VLOOKUP(VALUE(BS$44),'SJ data'!$A$2:$R$99,16,0)="TRUE"),0,VLOOKUP(VALUE(BS$44),'SJ data'!$A$2:$R$99,16,0))</f>
        <v>0</v>
      </c>
      <c r="BT66" s="184">
        <f>IF(ISERR(VLOOKUP(VALUE(BT$44),'SJ data'!$A$2:$R$99,16,0)="TRUE"),0,VLOOKUP(VALUE(BT$44),'SJ data'!$A$2:$R$99,16,0))</f>
        <v>0</v>
      </c>
      <c r="BU66" s="184">
        <f>IF(ISERR(VLOOKUP(VALUE(BU$44),'SJ data'!$A$2:$R$99,16,0)="TRUE"),0,VLOOKUP(VALUE(BU$44),'SJ data'!$A$2:$R$99,16,0))</f>
        <v>0</v>
      </c>
      <c r="BV66" s="184">
        <f>IF(ISERR(VLOOKUP(VALUE(BV$44),'SJ data'!$A$2:$R$99,16,0)="TRUE"),0,VLOOKUP(VALUE(BV$44),'SJ data'!$A$2:$R$99,16,0))</f>
        <v>3114854.0479523898</v>
      </c>
      <c r="BW66" s="184">
        <f>IF(ISERR(VLOOKUP(VALUE(BW$44),'SJ data'!$A$2:$R$99,16,0)="TRUE"),0,VLOOKUP(VALUE(BW$44),'SJ data'!$A$2:$R$99,16,0))</f>
        <v>344529.09580771497</v>
      </c>
      <c r="BX66" s="184">
        <f>IF(ISERR(VLOOKUP(VALUE(BX$44),'SJ data'!$A$2:$R$99,16,0)="TRUE"),0,VLOOKUP(VALUE(BX$44),'SJ data'!$A$2:$R$99,16,0))</f>
        <v>-463944.14201183501</v>
      </c>
      <c r="BY66" s="184">
        <f>IF(ISERR(VLOOKUP(VALUE(BY$44),'SJ data'!$A$2:$R$99,16,0)="TRUE"),0,VLOOKUP(VALUE(BY$44),'SJ data'!$A$2:$R$99,16,0))</f>
        <v>909986.39833</v>
      </c>
      <c r="BZ66" s="184">
        <f>IF(ISERR(VLOOKUP(VALUE(BZ$44),'SJ data'!$A$2:$R$99,16,0)="TRUE"),0,VLOOKUP(VALUE(BZ$44),'SJ data'!$A$2:$R$99,16,0))</f>
        <v>0</v>
      </c>
      <c r="CA66" s="184">
        <f>IF(ISERR(VLOOKUP(VALUE(CA$44),'SJ data'!$A$2:$R$99,16,0)="TRUE"),0,VLOOKUP(VALUE(CA$44),'SJ data'!$A$2:$R$99,16,0))</f>
        <v>0</v>
      </c>
      <c r="CB66" s="184">
        <f>IF(ISERR(VLOOKUP(VALUE(CB$44),'SJ data'!$A$2:$R$99,16,0)="TRUE"),0,VLOOKUP(VALUE(CB$44),'SJ data'!$A$2:$R$99,16,0))</f>
        <v>0</v>
      </c>
      <c r="CC66" s="184">
        <f>IF(ISERR(VLOOKUP(VALUE(CC$44),'SJ data'!$A$2:$R$99,16,0)="TRUE"),0,VLOOKUP(VALUE(CC$44),'SJ data'!$A$2:$R$99,16,0))+'SJ data'!P49</f>
        <v>92381553.047601104</v>
      </c>
      <c r="CD66" s="247" t="s">
        <v>221</v>
      </c>
      <c r="CE66" s="195">
        <f t="shared" si="0"/>
        <v>188108218.07512945</v>
      </c>
      <c r="CF66" s="250"/>
    </row>
    <row r="67" spans="1:84" ht="12.6" customHeight="1" x14ac:dyDescent="0.2">
      <c r="A67" s="171" t="s">
        <v>6</v>
      </c>
      <c r="B67" s="175"/>
      <c r="C67" s="195">
        <f>ROUND(C51+C52,0)</f>
        <v>1422742</v>
      </c>
      <c r="D67" s="195">
        <f>ROUND(D51+D52,0)</f>
        <v>0</v>
      </c>
      <c r="E67" s="195">
        <f t="shared" ref="E67:BP67" si="3">ROUND(E51+E52,0)</f>
        <v>2851829</v>
      </c>
      <c r="F67" s="195">
        <f t="shared" si="3"/>
        <v>0</v>
      </c>
      <c r="G67" s="195">
        <f t="shared" si="3"/>
        <v>0</v>
      </c>
      <c r="H67" s="195">
        <f t="shared" si="3"/>
        <v>184390</v>
      </c>
      <c r="I67" s="195">
        <f t="shared" si="3"/>
        <v>0</v>
      </c>
      <c r="J67" s="195">
        <f>ROUND(J51+J52,0)</f>
        <v>209263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762813</v>
      </c>
      <c r="P67" s="195">
        <f t="shared" si="3"/>
        <v>7212076</v>
      </c>
      <c r="Q67" s="195">
        <f t="shared" si="3"/>
        <v>39686</v>
      </c>
      <c r="R67" s="195">
        <f t="shared" si="3"/>
        <v>0</v>
      </c>
      <c r="S67" s="195">
        <f t="shared" si="3"/>
        <v>248073</v>
      </c>
      <c r="T67" s="195">
        <f t="shared" si="3"/>
        <v>42353</v>
      </c>
      <c r="U67" s="195">
        <f t="shared" si="3"/>
        <v>466522</v>
      </c>
      <c r="V67" s="195">
        <f t="shared" si="3"/>
        <v>982083</v>
      </c>
      <c r="W67" s="195">
        <f t="shared" si="3"/>
        <v>130355</v>
      </c>
      <c r="X67" s="195">
        <f t="shared" si="3"/>
        <v>155396</v>
      </c>
      <c r="Y67" s="195">
        <f t="shared" si="3"/>
        <v>983902</v>
      </c>
      <c r="Z67" s="195">
        <f t="shared" si="3"/>
        <v>0</v>
      </c>
      <c r="AA67" s="195">
        <f t="shared" si="3"/>
        <v>5785</v>
      </c>
      <c r="AB67" s="195">
        <f t="shared" si="3"/>
        <v>773477</v>
      </c>
      <c r="AC67" s="195">
        <f t="shared" si="3"/>
        <v>238684</v>
      </c>
      <c r="AD67" s="195">
        <f t="shared" si="3"/>
        <v>256563</v>
      </c>
      <c r="AE67" s="195">
        <f t="shared" si="3"/>
        <v>180166</v>
      </c>
      <c r="AF67" s="195">
        <f t="shared" si="3"/>
        <v>0</v>
      </c>
      <c r="AG67" s="195">
        <f t="shared" si="3"/>
        <v>1054672</v>
      </c>
      <c r="AH67" s="195">
        <f t="shared" si="3"/>
        <v>0</v>
      </c>
      <c r="AI67" s="195">
        <f t="shared" si="3"/>
        <v>0</v>
      </c>
      <c r="AJ67" s="195">
        <f t="shared" si="3"/>
        <v>4825011</v>
      </c>
      <c r="AK67" s="195">
        <f t="shared" si="3"/>
        <v>87121</v>
      </c>
      <c r="AL67" s="195">
        <f t="shared" si="3"/>
        <v>59327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25560</v>
      </c>
      <c r="AQ67" s="195">
        <f t="shared" si="3"/>
        <v>0</v>
      </c>
      <c r="AR67" s="195">
        <f t="shared" si="3"/>
        <v>881570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49018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605204</v>
      </c>
      <c r="BA67" s="195">
        <f>ROUND(BA51+BA52,0)</f>
        <v>60365</v>
      </c>
      <c r="BB67" s="195">
        <f t="shared" si="3"/>
        <v>0</v>
      </c>
      <c r="BC67" s="195">
        <f t="shared" si="3"/>
        <v>0</v>
      </c>
      <c r="BD67" s="195">
        <f t="shared" si="3"/>
        <v>32943</v>
      </c>
      <c r="BE67" s="195">
        <f t="shared" si="3"/>
        <v>4083483</v>
      </c>
      <c r="BF67" s="195">
        <f t="shared" si="3"/>
        <v>57239</v>
      </c>
      <c r="BG67" s="195">
        <f t="shared" si="3"/>
        <v>0</v>
      </c>
      <c r="BH67" s="195">
        <f t="shared" si="3"/>
        <v>0</v>
      </c>
      <c r="BI67" s="195">
        <f t="shared" si="3"/>
        <v>19032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2506249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21833</v>
      </c>
      <c r="BU67" s="195">
        <f t="shared" si="4"/>
        <v>0</v>
      </c>
      <c r="BV67" s="195">
        <f t="shared" si="4"/>
        <v>134484</v>
      </c>
      <c r="BW67" s="195">
        <f t="shared" si="4"/>
        <v>0</v>
      </c>
      <c r="BX67" s="195">
        <f t="shared" si="4"/>
        <v>0</v>
      </c>
      <c r="BY67" s="195">
        <f t="shared" si="4"/>
        <v>17434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1450932</v>
      </c>
      <c r="CD67" s="247" t="s">
        <v>221</v>
      </c>
      <c r="CE67" s="195">
        <f t="shared" si="0"/>
        <v>33117876</v>
      </c>
      <c r="CF67" s="250"/>
    </row>
    <row r="68" spans="1:84" ht="12.6" customHeight="1" x14ac:dyDescent="0.2">
      <c r="A68" s="171" t="s">
        <v>240</v>
      </c>
      <c r="B68" s="175"/>
      <c r="C68" s="184">
        <f>IF(ISERR(VLOOKUP(VALUE(C$44),'SJ data'!$A$2:$R$99,17,0)="TRUE"),0,VLOOKUP(VALUE(C$44),'SJ data'!$A$2:$R$99,17,0))</f>
        <v>29499.56</v>
      </c>
      <c r="D68" s="184">
        <f>IF(ISERR(VLOOKUP(VALUE(D$44),'SJ data'!$A$2:$R$99,17,0)="TRUE"),0,VLOOKUP(VALUE(D$44),'SJ data'!$A$2:$R$99,17,0))</f>
        <v>0</v>
      </c>
      <c r="E68" s="184">
        <f>IF(ISERR(VLOOKUP(VALUE(E$44),'SJ data'!$A$2:$R$99,17,0)="TRUE"),0,VLOOKUP(VALUE(E$44),'SJ data'!$A$2:$R$99,17,0))</f>
        <v>62111.73</v>
      </c>
      <c r="F68" s="184">
        <f>IF(ISERR(VLOOKUP(VALUE(F$44),'SJ data'!$A$2:$R$99,17,0)="TRUE"),0,VLOOKUP(VALUE(F$44),'SJ data'!$A$2:$R$99,17,0))</f>
        <v>0</v>
      </c>
      <c r="G68" s="184">
        <f>IF(ISERR(VLOOKUP(VALUE(G$44),'SJ data'!$A$2:$R$99,17,0)="TRUE"),0,VLOOKUP(VALUE(G$44),'SJ data'!$A$2:$R$99,17,0))</f>
        <v>0</v>
      </c>
      <c r="H68" s="184">
        <f>IF(ISERR(VLOOKUP(VALUE(H$44),'SJ data'!$A$2:$R$99,17,0)="TRUE"),0,VLOOKUP(VALUE(H$44),'SJ data'!$A$2:$R$99,17,0))</f>
        <v>896.99000000000024</v>
      </c>
      <c r="I68" s="184">
        <f>IF(ISERR(VLOOKUP(VALUE(I$44),'SJ data'!$A$2:$R$99,17,0)="TRUE"),0,VLOOKUP(VALUE(I$44),'SJ data'!$A$2:$R$99,17,0))</f>
        <v>0</v>
      </c>
      <c r="J68" s="184">
        <f>IF(ISERR(VLOOKUP(VALUE(J$44),'SJ data'!$A$2:$R$99,17,0)="TRUE"),0,VLOOKUP(VALUE(J$44),'SJ data'!$A$2:$R$99,17,0))</f>
        <v>481.42999999999989</v>
      </c>
      <c r="K68" s="184">
        <f>IF(ISERR(VLOOKUP(VALUE(K$44),'SJ data'!$A$2:$R$99,17,0)="TRUE"),0,VLOOKUP(VALUE(K$44),'SJ data'!$A$2:$R$99,17,0))</f>
        <v>0</v>
      </c>
      <c r="L68" s="184">
        <f>IF(ISERR(VLOOKUP(VALUE(L$44),'SJ data'!$A$2:$R$99,17,0)="TRUE"),0,VLOOKUP(VALUE(L$44),'SJ data'!$A$2:$R$99,17,0))</f>
        <v>0</v>
      </c>
      <c r="M68" s="184">
        <f>IF(ISERR(VLOOKUP(VALUE(M$44),'SJ data'!$A$2:$R$99,17,0)="TRUE"),0,VLOOKUP(VALUE(M$44),'SJ data'!$A$2:$R$99,17,0))</f>
        <v>0</v>
      </c>
      <c r="N68" s="184">
        <f>IF(ISERR(VLOOKUP(VALUE(N$44),'SJ data'!$A$2:$R$99,17,0)="TRUE"),0,VLOOKUP(VALUE(N$44),'SJ data'!$A$2:$R$99,17,0))</f>
        <v>0</v>
      </c>
      <c r="O68" s="184">
        <f>IF(ISERR(VLOOKUP(VALUE(O$44),'SJ data'!$A$2:$R$99,17,0)="TRUE"),0,VLOOKUP(VALUE(O$44),'SJ data'!$A$2:$R$99,17,0))</f>
        <v>188003.09999999998</v>
      </c>
      <c r="P68" s="184">
        <f>IF(ISERR(VLOOKUP(VALUE(P$44),'SJ data'!$A$2:$R$99,17,0)="TRUE"),0,VLOOKUP(VALUE(P$44),'SJ data'!$A$2:$R$99,17,0))</f>
        <v>716535.25999999989</v>
      </c>
      <c r="Q68" s="184">
        <f>IF(ISERR(VLOOKUP(VALUE(Q$44),'SJ data'!$A$2:$R$99,17,0)="TRUE"),0,VLOOKUP(VALUE(Q$44),'SJ data'!$A$2:$R$99,17,0))</f>
        <v>2842.04</v>
      </c>
      <c r="R68" s="184">
        <f>IF(ISERR(VLOOKUP(VALUE(R$44),'SJ data'!$A$2:$R$99,17,0)="TRUE"),0,VLOOKUP(VALUE(R$44),'SJ data'!$A$2:$R$99,17,0))</f>
        <v>0</v>
      </c>
      <c r="S68" s="184">
        <f>IF(ISERR(VLOOKUP(VALUE(S$44),'SJ data'!$A$2:$R$99,17,0)="TRUE"),0,VLOOKUP(VALUE(S$44),'SJ data'!$A$2:$R$99,17,0))</f>
        <v>147234.01</v>
      </c>
      <c r="T68" s="184">
        <f>IF(ISERR(VLOOKUP(VALUE(T$44),'SJ data'!$A$2:$R$99,17,0)="TRUE"),0,VLOOKUP(VALUE(T$44),'SJ data'!$A$2:$R$99,17,0))</f>
        <v>404.2299999999999</v>
      </c>
      <c r="U68" s="184">
        <f>IF(ISERR(VLOOKUP(VALUE(U$44),'SJ data'!$A$2:$R$99,17,0)="TRUE"),0,VLOOKUP(VALUE(U$44),'SJ data'!$A$2:$R$99,17,0))</f>
        <v>453090.60000000003</v>
      </c>
      <c r="V68" s="184">
        <f>IF(ISERR(VLOOKUP(VALUE(V$44),'SJ data'!$A$2:$R$99,17,0)="TRUE"),0,VLOOKUP(VALUE(V$44),'SJ data'!$A$2:$R$99,17,0))</f>
        <v>1813.34</v>
      </c>
      <c r="W68" s="184">
        <f>IF(ISERR(VLOOKUP(VALUE(W$44),'SJ data'!$A$2:$R$99,17,0)="TRUE"),0,VLOOKUP(VALUE(W$44),'SJ data'!$A$2:$R$99,17,0))</f>
        <v>4228.8599999999997</v>
      </c>
      <c r="X68" s="184">
        <f>IF(ISERR(VLOOKUP(VALUE(X$44),'SJ data'!$A$2:$R$99,17,0)="TRUE"),0,VLOOKUP(VALUE(X$44),'SJ data'!$A$2:$R$99,17,0))</f>
        <v>542.94000000000005</v>
      </c>
      <c r="Y68" s="184">
        <f>IF(ISERR(VLOOKUP(VALUE(Y$44),'SJ data'!$A$2:$R$99,17,0)="TRUE"),0,VLOOKUP(VALUE(Y$44),'SJ data'!$A$2:$R$99,17,0))</f>
        <v>38891.140000000007</v>
      </c>
      <c r="Z68" s="184">
        <f>IF(ISERR(VLOOKUP(VALUE(Z$44),'SJ data'!$A$2:$R$99,17,0)="TRUE"),0,VLOOKUP(VALUE(Z$44),'SJ data'!$A$2:$R$99,17,0))</f>
        <v>0</v>
      </c>
      <c r="AA68" s="184">
        <f>IF(ISERR(VLOOKUP(VALUE(AA$44),'SJ data'!$A$2:$R$99,17,0)="TRUE"),0,VLOOKUP(VALUE(AA$44),'SJ data'!$A$2:$R$99,17,0))</f>
        <v>276.85000000000002</v>
      </c>
      <c r="AB68" s="184">
        <f>IF(ISERR(VLOOKUP(VALUE(AB$44),'SJ data'!$A$2:$R$99,17,0)="TRUE"),0,VLOOKUP(VALUE(AB$44),'SJ data'!$A$2:$R$99,17,0))</f>
        <v>170885.93</v>
      </c>
      <c r="AC68" s="184">
        <f>IF(ISERR(VLOOKUP(VALUE(AC$44),'SJ data'!$A$2:$R$99,17,0)="TRUE"),0,VLOOKUP(VALUE(AC$44),'SJ data'!$A$2:$R$99,17,0))</f>
        <v>29830.949999999997</v>
      </c>
      <c r="AD68" s="184">
        <f>IF(ISERR(VLOOKUP(VALUE(AD$44),'SJ data'!$A$2:$R$99,17,0)="TRUE"),0,VLOOKUP(VALUE(AD$44),'SJ data'!$A$2:$R$99,17,0))</f>
        <v>3144.5399999999995</v>
      </c>
      <c r="AE68" s="184">
        <f>IF(ISERR(VLOOKUP(VALUE(AE$44),'SJ data'!$A$2:$R$99,17,0)="TRUE"),0,VLOOKUP(VALUE(AE$44),'SJ data'!$A$2:$R$99,17,0))</f>
        <v>180857.05000000002</v>
      </c>
      <c r="AF68" s="184">
        <f>IF(ISERR(VLOOKUP(VALUE(AF$44),'SJ data'!$A$2:$R$99,17,0)="TRUE"),0,VLOOKUP(VALUE(AF$44),'SJ data'!$A$2:$R$99,17,0))</f>
        <v>0</v>
      </c>
      <c r="AG68" s="184">
        <f>IF(ISERR(VLOOKUP(VALUE(AG$44),'SJ data'!$A$2:$R$99,17,0)="TRUE"),0,VLOOKUP(VALUE(AG$44),'SJ data'!$A$2:$R$99,17,0))</f>
        <v>27611.200000000001</v>
      </c>
      <c r="AH68" s="184">
        <f>IF(ISERR(VLOOKUP(VALUE(AH$44),'SJ data'!$A$2:$R$99,17,0)="TRUE"),0,VLOOKUP(VALUE(AH$44),'SJ data'!$A$2:$R$99,17,0))</f>
        <v>0</v>
      </c>
      <c r="AI68" s="184">
        <f>IF(ISERR(VLOOKUP(VALUE(AI$44),'SJ data'!$A$2:$R$99,17,0)="TRUE"),0,VLOOKUP(VALUE(AI$44),'SJ data'!$A$2:$R$99,17,0))</f>
        <v>0</v>
      </c>
      <c r="AJ68" s="184">
        <f>IF(ISERR(VLOOKUP(VALUE(AJ$44),'SJ data'!$A$2:$R$99,17,0)="TRUE"),0,VLOOKUP(VALUE(AJ$44),'SJ data'!$A$2:$R$99,17,0))</f>
        <v>8762685.5399999991</v>
      </c>
      <c r="AK68" s="184">
        <f>IF(ISERR(VLOOKUP(VALUE(AK$44),'SJ data'!$A$2:$R$99,17,0)="TRUE"),0,VLOOKUP(VALUE(AK$44),'SJ data'!$A$2:$R$99,17,0))</f>
        <v>0</v>
      </c>
      <c r="AL68" s="184">
        <f>IF(ISERR(VLOOKUP(VALUE(AL$44),'SJ data'!$A$2:$R$99,17,0)="TRUE"),0,VLOOKUP(VALUE(AL$44),'SJ data'!$A$2:$R$99,17,0))</f>
        <v>0</v>
      </c>
      <c r="AM68" s="184">
        <f>IF(ISERR(VLOOKUP(VALUE(AM$44),'SJ data'!$A$2:$R$99,17,0)="TRUE"),0,VLOOKUP(VALUE(AM$44),'SJ data'!$A$2:$R$99,17,0))</f>
        <v>0</v>
      </c>
      <c r="AN68" s="184">
        <f>IF(ISERR(VLOOKUP(VALUE(AN$44),'SJ data'!$A$2:$R$99,17,0)="TRUE"),0,VLOOKUP(VALUE(AN$44),'SJ data'!$A$2:$R$99,17,0))</f>
        <v>0</v>
      </c>
      <c r="AO68" s="184">
        <f>IF(ISERR(VLOOKUP(VALUE(AO$44),'SJ data'!$A$2:$R$99,17,0)="TRUE"),0,VLOOKUP(VALUE(AO$44),'SJ data'!$A$2:$R$99,17,0))</f>
        <v>0</v>
      </c>
      <c r="AP68" s="184">
        <f>IF(ISERR(VLOOKUP(VALUE(AP$44),'SJ data'!$A$2:$R$99,17,0)="TRUE"),0,VLOOKUP(VALUE(AP$44),'SJ data'!$A$2:$R$99,17,0))</f>
        <v>110881.12999999999</v>
      </c>
      <c r="AQ68" s="184">
        <f>IF(ISERR(VLOOKUP(VALUE(AQ$44),'SJ data'!$A$2:$R$99,17,0)="TRUE"),0,VLOOKUP(VALUE(AQ$44),'SJ data'!$A$2:$R$99,17,0))</f>
        <v>0</v>
      </c>
      <c r="AR68" s="184">
        <f>IF(ISERR(VLOOKUP(VALUE(AR$44),'SJ data'!$A$2:$R$99,17,0)="TRUE"),0,VLOOKUP(VALUE(AR$44),'SJ data'!$A$2:$R$99,17,0))</f>
        <v>1609179.1800000002</v>
      </c>
      <c r="AS68" s="184">
        <f>IF(ISERR(VLOOKUP(VALUE(AS$44),'SJ data'!$A$2:$R$99,17,0)="TRUE"),0,VLOOKUP(VALUE(AS$44),'SJ data'!$A$2:$R$99,17,0))</f>
        <v>0</v>
      </c>
      <c r="AT68" s="184">
        <f>IF(ISERR(VLOOKUP(VALUE(AT$44),'SJ data'!$A$2:$R$99,17,0)="TRUE"),0,VLOOKUP(VALUE(AT$44),'SJ data'!$A$2:$R$99,17,0))</f>
        <v>0</v>
      </c>
      <c r="AU68" s="184">
        <f>IF(ISERR(VLOOKUP(VALUE(AU$44),'SJ data'!$A$2:$R$99,17,0)="TRUE"),0,VLOOKUP(VALUE(AU$44),'SJ data'!$A$2:$R$99,17,0))</f>
        <v>0</v>
      </c>
      <c r="AV68" s="184">
        <f>IF(ISERR(VLOOKUP(VALUE(AV$44),'SJ data'!$A$2:$R$99,17,0)="TRUE"),0,VLOOKUP(VALUE(AV$44),'SJ data'!$A$2:$R$99,17,0))+'SJ data'!Q49</f>
        <v>1899875.51</v>
      </c>
      <c r="AW68" s="184">
        <f>IF(ISERR(VLOOKUP(VALUE(AW$44),'SJ data'!$A$2:$R$99,17,0)="TRUE"),0,VLOOKUP(VALUE(AW$44),'SJ data'!$A$2:$R$99,17,0))</f>
        <v>0</v>
      </c>
      <c r="AX68" s="184">
        <f>IF(ISERR(VLOOKUP(VALUE(AX$44),'SJ data'!$A$2:$R$99,17,0)="TRUE"),0,VLOOKUP(VALUE(AX$44),'SJ data'!$A$2:$R$99,17,0))</f>
        <v>0</v>
      </c>
      <c r="AY68" s="184">
        <f>IF(ISERR(VLOOKUP(VALUE(AY$44),'SJ data'!$A$2:$R$99,17,0)="TRUE"),0,VLOOKUP(VALUE(AY$44),'SJ data'!$A$2:$R$99,17,0))</f>
        <v>0</v>
      </c>
      <c r="AZ68" s="184">
        <f>IF(ISERR(VLOOKUP(VALUE(AZ$44),'SJ data'!$A$2:$R$99,17,0)="TRUE"),0,VLOOKUP(VALUE(AZ$44),'SJ data'!$A$2:$R$99,17,0))</f>
        <v>117127.12</v>
      </c>
      <c r="BA68" s="184">
        <f>IF(ISERR(VLOOKUP(VALUE(BA$44),'SJ data'!$A$2:$R$99,17,0)="TRUE"),0,VLOOKUP(VALUE(BA$44),'SJ data'!$A$2:$R$99,17,0))</f>
        <v>0</v>
      </c>
      <c r="BB68" s="184">
        <f>IF(ISERR(VLOOKUP(VALUE(BB$44),'SJ data'!$A$2:$R$99,17,0)="TRUE"),0,VLOOKUP(VALUE(BB$44),'SJ data'!$A$2:$R$99,17,0))</f>
        <v>0</v>
      </c>
      <c r="BC68" s="184">
        <f>IF(ISERR(VLOOKUP(VALUE(BC$44),'SJ data'!$A$2:$R$99,17,0)="TRUE"),0,VLOOKUP(VALUE(BC$44),'SJ data'!$A$2:$R$99,17,0))</f>
        <v>1800.6100000000001</v>
      </c>
      <c r="BD68" s="184">
        <f>IF(ISERR(VLOOKUP(VALUE(BD$44),'SJ data'!$A$2:$R$99,17,0)="TRUE"),0,VLOOKUP(VALUE(BD$44),'SJ data'!$A$2:$R$99,17,0))</f>
        <v>2146493.66</v>
      </c>
      <c r="BE68" s="184">
        <f>IF(ISERR(VLOOKUP(VALUE(BE$44),'SJ data'!$A$2:$R$99,17,0)="TRUE"),0,VLOOKUP(VALUE(BE$44),'SJ data'!$A$2:$R$99,17,0))</f>
        <v>2337026.7200000011</v>
      </c>
      <c r="BF68" s="184">
        <f>IF(ISERR(VLOOKUP(VALUE(BF$44),'SJ data'!$A$2:$R$99,17,0)="TRUE"),0,VLOOKUP(VALUE(BF$44),'SJ data'!$A$2:$R$99,17,0))</f>
        <v>3707.05</v>
      </c>
      <c r="BG68" s="184">
        <f>IF(ISERR(VLOOKUP(VALUE(BG$44),'SJ data'!$A$2:$R$99,17,0)="TRUE"),0,VLOOKUP(VALUE(BG$44),'SJ data'!$A$2:$R$99,17,0))</f>
        <v>0</v>
      </c>
      <c r="BH68" s="184">
        <f>IF(ISERR(VLOOKUP(VALUE(BH$44),'SJ data'!$A$2:$R$99,17,0)="TRUE"),0,VLOOKUP(VALUE(BH$44),'SJ data'!$A$2:$R$99,17,0))</f>
        <v>0</v>
      </c>
      <c r="BI68" s="184">
        <f>IF(ISERR(VLOOKUP(VALUE(BI$44),'SJ data'!$A$2:$R$99,17,0)="TRUE"),0,VLOOKUP(VALUE(BI$44),'SJ data'!$A$2:$R$99,17,0))</f>
        <v>0</v>
      </c>
      <c r="BJ68" s="184">
        <f>IF(ISERR(VLOOKUP(VALUE(BJ$44),'SJ data'!$A$2:$R$99,17,0)="TRUE"),0,VLOOKUP(VALUE(BJ$44),'SJ data'!$A$2:$R$99,17,0))</f>
        <v>0</v>
      </c>
      <c r="BK68" s="184">
        <f>IF(ISERR(VLOOKUP(VALUE(BK$44),'SJ data'!$A$2:$R$99,17,0)="TRUE"),0,VLOOKUP(VALUE(BK$44),'SJ data'!$A$2:$R$99,17,0))</f>
        <v>0</v>
      </c>
      <c r="BL68" s="184">
        <f>IF(ISERR(VLOOKUP(VALUE(BL$44),'SJ data'!$A$2:$R$99,17,0)="TRUE"),0,VLOOKUP(VALUE(BL$44),'SJ data'!$A$2:$R$99,17,0))</f>
        <v>15787.18</v>
      </c>
      <c r="BM68" s="184">
        <f>IF(ISERR(VLOOKUP(VALUE(BM$44),'SJ data'!$A$2:$R$99,17,0)="TRUE"),0,VLOOKUP(VALUE(BM$44),'SJ data'!$A$2:$R$99,17,0))</f>
        <v>0</v>
      </c>
      <c r="BN68" s="184">
        <f>IF(ISERR(VLOOKUP(VALUE(BN$44),'SJ data'!$A$2:$R$99,17,0)="TRUE"),0,VLOOKUP(VALUE(BN$44),'SJ data'!$A$2:$R$99,17,0))</f>
        <v>61323.94</v>
      </c>
      <c r="BO68" s="184">
        <f>IF(ISERR(VLOOKUP(VALUE(BO$44),'SJ data'!$A$2:$R$99,17,0)="TRUE"),0,VLOOKUP(VALUE(BO$44),'SJ data'!$A$2:$R$99,17,0))</f>
        <v>0</v>
      </c>
      <c r="BP68" s="184">
        <f>IF(ISERR(VLOOKUP(VALUE(BP$44),'SJ data'!$A$2:$R$99,17,0)="TRUE"),0,VLOOKUP(VALUE(BP$44),'SJ data'!$A$2:$R$99,17,0))</f>
        <v>0</v>
      </c>
      <c r="BQ68" s="184">
        <f>IF(ISERR(VLOOKUP(VALUE(BQ$44),'SJ data'!$A$2:$R$99,17,0)="TRUE"),0,VLOOKUP(VALUE(BQ$44),'SJ data'!$A$2:$R$99,17,0))</f>
        <v>0</v>
      </c>
      <c r="BR68" s="184">
        <f>IF(ISERR(VLOOKUP(VALUE(BR$44),'SJ data'!$A$2:$R$99,17,0)="TRUE"),0,VLOOKUP(VALUE(BR$44),'SJ data'!$A$2:$R$99,17,0))</f>
        <v>0</v>
      </c>
      <c r="BS68" s="184">
        <f>IF(ISERR(VLOOKUP(VALUE(BS$44),'SJ data'!$A$2:$R$99,17,0)="TRUE"),0,VLOOKUP(VALUE(BS$44),'SJ data'!$A$2:$R$99,17,0))</f>
        <v>0</v>
      </c>
      <c r="BT68" s="184">
        <f>IF(ISERR(VLOOKUP(VALUE(BT$44),'SJ data'!$A$2:$R$99,17,0)="TRUE"),0,VLOOKUP(VALUE(BT$44),'SJ data'!$A$2:$R$99,17,0))</f>
        <v>0</v>
      </c>
      <c r="BU68" s="184">
        <f>IF(ISERR(VLOOKUP(VALUE(BU$44),'SJ data'!$A$2:$R$99,17,0)="TRUE"),0,VLOOKUP(VALUE(BU$44),'SJ data'!$A$2:$R$99,17,0))</f>
        <v>0</v>
      </c>
      <c r="BV68" s="184">
        <f>IF(ISERR(VLOOKUP(VALUE(BV$44),'SJ data'!$A$2:$R$99,17,0)="TRUE"),0,VLOOKUP(VALUE(BV$44),'SJ data'!$A$2:$R$99,17,0))</f>
        <v>0</v>
      </c>
      <c r="BW68" s="184">
        <f>IF(ISERR(VLOOKUP(VALUE(BW$44),'SJ data'!$A$2:$R$99,17,0)="TRUE"),0,VLOOKUP(VALUE(BW$44),'SJ data'!$A$2:$R$99,17,0))</f>
        <v>0</v>
      </c>
      <c r="BX68" s="184">
        <f>IF(ISERR(VLOOKUP(VALUE(BX$44),'SJ data'!$A$2:$R$99,17,0)="TRUE"),0,VLOOKUP(VALUE(BX$44),'SJ data'!$A$2:$R$99,17,0))</f>
        <v>0</v>
      </c>
      <c r="BY68" s="184">
        <f>IF(ISERR(VLOOKUP(VALUE(BY$44),'SJ data'!$A$2:$R$99,17,0)="TRUE"),0,VLOOKUP(VALUE(BY$44),'SJ data'!$A$2:$R$99,17,0))</f>
        <v>5953.8</v>
      </c>
      <c r="BZ68" s="184">
        <f>IF(ISERR(VLOOKUP(VALUE(BZ$44),'SJ data'!$A$2:$R$99,17,0)="TRUE"),0,VLOOKUP(VALUE(BZ$44),'SJ data'!$A$2:$R$99,17,0))</f>
        <v>0</v>
      </c>
      <c r="CA68" s="184">
        <f>IF(ISERR(VLOOKUP(VALUE(CA$44),'SJ data'!$A$2:$R$99,17,0)="TRUE"),0,VLOOKUP(VALUE(CA$44),'SJ data'!$A$2:$R$99,17,0))</f>
        <v>0</v>
      </c>
      <c r="CB68" s="184">
        <f>IF(ISERR(VLOOKUP(VALUE(CB$44),'SJ data'!$A$2:$R$99,17,0)="TRUE"),0,VLOOKUP(VALUE(CB$44),'SJ data'!$A$2:$R$99,17,0))</f>
        <v>0</v>
      </c>
      <c r="CC68" s="184">
        <f>IF(ISERR(VLOOKUP(VALUE(CC$44),'SJ data'!$A$2:$R$99,17,0)="TRUE"),0,VLOOKUP(VALUE(CC$44),'SJ data'!$A$2:$R$99,17,0))</f>
        <v>-1251845.2100000002</v>
      </c>
      <c r="CD68" s="247" t="s">
        <v>221</v>
      </c>
      <c r="CE68" s="195">
        <f t="shared" si="0"/>
        <v>17879177.98</v>
      </c>
      <c r="CF68" s="250"/>
    </row>
    <row r="69" spans="1:84" ht="12.6" customHeight="1" x14ac:dyDescent="0.2">
      <c r="A69" s="171" t="s">
        <v>241</v>
      </c>
      <c r="B69" s="175"/>
      <c r="C69" s="184">
        <f>IF(ISERR(VLOOKUP(VALUE(C$44),'SJ data'!$A$2:$R$99,15,0)="TRUE"),0,VLOOKUP(VALUE(C$44),'SJ data'!$A$2:$R$99,15,0))</f>
        <v>168452.53999999998</v>
      </c>
      <c r="D69" s="184">
        <f>IF(ISERR(VLOOKUP(VALUE(D$44),'SJ data'!$A$2:$R$99,15,0)="TRUE"),0,VLOOKUP(VALUE(D$44),'SJ data'!$A$2:$R$99,15,0))</f>
        <v>0</v>
      </c>
      <c r="E69" s="184">
        <f>IF(ISERR(VLOOKUP(VALUE(E$44),'SJ data'!$A$2:$R$99,15,0)="TRUE"),0,VLOOKUP(VALUE(E$44),'SJ data'!$A$2:$R$99,15,0))</f>
        <v>159072.32000000001</v>
      </c>
      <c r="F69" s="184">
        <f>IF(ISERR(VLOOKUP(VALUE(F$44),'SJ data'!$A$2:$R$99,15,0)="TRUE"),0,VLOOKUP(VALUE(F$44),'SJ data'!$A$2:$R$99,15,0))</f>
        <v>0</v>
      </c>
      <c r="G69" s="184">
        <f>IF(ISERR(VLOOKUP(VALUE(G$44),'SJ data'!$A$2:$R$99,15,0)="TRUE"),0,VLOOKUP(VALUE(G$44),'SJ data'!$A$2:$R$99,15,0))</f>
        <v>0</v>
      </c>
      <c r="H69" s="184">
        <f>IF(ISERR(VLOOKUP(VALUE(H$44),'SJ data'!$A$2:$R$99,15,0)="TRUE"),0,VLOOKUP(VALUE(H$44),'SJ data'!$A$2:$R$99,15,0))</f>
        <v>50.46</v>
      </c>
      <c r="I69" s="184">
        <f>IF(ISERR(VLOOKUP(VALUE(I$44),'SJ data'!$A$2:$R$99,15,0)="TRUE"),0,VLOOKUP(VALUE(I$44),'SJ data'!$A$2:$R$99,15,0))</f>
        <v>0</v>
      </c>
      <c r="J69" s="184">
        <f>IF(ISERR(VLOOKUP(VALUE(J$44),'SJ data'!$A$2:$R$99,15,0)="TRUE"),0,VLOOKUP(VALUE(J$44),'SJ data'!$A$2:$R$99,15,0))</f>
        <v>71641.679999999993</v>
      </c>
      <c r="K69" s="184">
        <f>IF(ISERR(VLOOKUP(VALUE(K$44),'SJ data'!$A$2:$R$99,15,0)="TRUE"),0,VLOOKUP(VALUE(K$44),'SJ data'!$A$2:$R$99,15,0))</f>
        <v>0</v>
      </c>
      <c r="L69" s="184">
        <f>IF(ISERR(VLOOKUP(VALUE(L$44),'SJ data'!$A$2:$R$99,15,0)="TRUE"),0,VLOOKUP(VALUE(L$44),'SJ data'!$A$2:$R$99,15,0))</f>
        <v>0</v>
      </c>
      <c r="M69" s="184">
        <f>IF(ISERR(VLOOKUP(VALUE(M$44),'SJ data'!$A$2:$R$99,15,0)="TRUE"),0,VLOOKUP(VALUE(M$44),'SJ data'!$A$2:$R$99,15,0))</f>
        <v>0</v>
      </c>
      <c r="N69" s="184">
        <f>IF(ISERR(VLOOKUP(VALUE(N$44),'SJ data'!$A$2:$R$99,15,0)="TRUE"),0,VLOOKUP(VALUE(N$44),'SJ data'!$A$2:$R$99,15,0))</f>
        <v>0</v>
      </c>
      <c r="O69" s="184">
        <f>IF(ISERR(VLOOKUP(VALUE(O$44),'SJ data'!$A$2:$R$99,15,0)="TRUE"),0,VLOOKUP(VALUE(O$44),'SJ data'!$A$2:$R$99,15,0))</f>
        <v>71987.079999999987</v>
      </c>
      <c r="P69" s="184">
        <f>IF(ISERR(VLOOKUP(VALUE(P$44),'SJ data'!$A$2:$R$99,15,0)="TRUE"),0,VLOOKUP(VALUE(P$44),'SJ data'!$A$2:$R$99,15,0))</f>
        <v>1031400.67</v>
      </c>
      <c r="Q69" s="184">
        <f>IF(ISERR(VLOOKUP(VALUE(Q$44),'SJ data'!$A$2:$R$99,15,0)="TRUE"),0,VLOOKUP(VALUE(Q$44),'SJ data'!$A$2:$R$99,15,0))</f>
        <v>22930.39</v>
      </c>
      <c r="R69" s="184">
        <f>IF(ISERR(VLOOKUP(VALUE(R$44),'SJ data'!$A$2:$R$99,15,0)="TRUE"),0,VLOOKUP(VALUE(R$44),'SJ data'!$A$2:$R$99,15,0))</f>
        <v>0</v>
      </c>
      <c r="S69" s="184">
        <f>IF(ISERR(VLOOKUP(VALUE(S$44),'SJ data'!$A$2:$R$99,15,0)="TRUE"),0,VLOOKUP(VALUE(S$44),'SJ data'!$A$2:$R$99,15,0))</f>
        <v>99314.35</v>
      </c>
      <c r="T69" s="184">
        <f>IF(ISERR(VLOOKUP(VALUE(T$44),'SJ data'!$A$2:$R$99,15,0)="TRUE"),0,VLOOKUP(VALUE(T$44),'SJ data'!$A$2:$R$99,15,0))</f>
        <v>2976.2000000000003</v>
      </c>
      <c r="U69" s="184">
        <f>IF(ISERR(VLOOKUP(VALUE(U$44),'SJ data'!$A$2:$R$99,15,0)="TRUE"),0,VLOOKUP(VALUE(U$44),'SJ data'!$A$2:$R$99,15,0))</f>
        <v>130241.04000000002</v>
      </c>
      <c r="V69" s="184">
        <f>IF(ISERR(VLOOKUP(VALUE(V$44),'SJ data'!$A$2:$R$99,15,0)="TRUE"),0,VLOOKUP(VALUE(V$44),'SJ data'!$A$2:$R$99,15,0))</f>
        <v>56892.950000000004</v>
      </c>
      <c r="W69" s="184">
        <f>IF(ISERR(VLOOKUP(VALUE(W$44),'SJ data'!$A$2:$R$99,15,0)="TRUE"),0,VLOOKUP(VALUE(W$44),'SJ data'!$A$2:$R$99,15,0))</f>
        <v>0</v>
      </c>
      <c r="X69" s="184">
        <f>IF(ISERR(VLOOKUP(VALUE(X$44),'SJ data'!$A$2:$R$99,15,0)="TRUE"),0,VLOOKUP(VALUE(X$44),'SJ data'!$A$2:$R$99,15,0))</f>
        <v>1620</v>
      </c>
      <c r="Y69" s="184">
        <f>IF(ISERR(VLOOKUP(VALUE(Y$44),'SJ data'!$A$2:$R$99,15,0)="TRUE"),0,VLOOKUP(VALUE(Y$44),'SJ data'!$A$2:$R$99,15,0))</f>
        <v>40353.67</v>
      </c>
      <c r="Z69" s="184">
        <f>IF(ISERR(VLOOKUP(VALUE(Z$44),'SJ data'!$A$2:$R$99,15,0)="TRUE"),0,VLOOKUP(VALUE(Z$44),'SJ data'!$A$2:$R$99,15,0))</f>
        <v>0</v>
      </c>
      <c r="AA69" s="184">
        <f>IF(ISERR(VLOOKUP(VALUE(AA$44),'SJ data'!$A$2:$R$99,15,0)="TRUE"),0,VLOOKUP(VALUE(AA$44),'SJ data'!$A$2:$R$99,15,0))</f>
        <v>10462.66</v>
      </c>
      <c r="AB69" s="184">
        <f>IF(ISERR(VLOOKUP(VALUE(AB$44),'SJ data'!$A$2:$R$99,15,0)="TRUE"),0,VLOOKUP(VALUE(AB$44),'SJ data'!$A$2:$R$99,15,0))</f>
        <v>2291440.0700000003</v>
      </c>
      <c r="AC69" s="184">
        <f>IF(ISERR(VLOOKUP(VALUE(AC$44),'SJ data'!$A$2:$R$99,15,0)="TRUE"),0,VLOOKUP(VALUE(AC$44),'SJ data'!$A$2:$R$99,15,0))</f>
        <v>16755.43</v>
      </c>
      <c r="AD69" s="184">
        <f>IF(ISERR(VLOOKUP(VALUE(AD$44),'SJ data'!$A$2:$R$99,15,0)="TRUE"),0,VLOOKUP(VALUE(AD$44),'SJ data'!$A$2:$R$99,15,0))</f>
        <v>4028.8199999999997</v>
      </c>
      <c r="AE69" s="184">
        <f>IF(ISERR(VLOOKUP(VALUE(AE$44),'SJ data'!$A$2:$R$99,15,0)="TRUE"),0,VLOOKUP(VALUE(AE$44),'SJ data'!$A$2:$R$99,15,0))</f>
        <v>8962.51</v>
      </c>
      <c r="AF69" s="184">
        <f>IF(ISERR(VLOOKUP(VALUE(AF$44),'SJ data'!$A$2:$R$99,15,0)="TRUE"),0,VLOOKUP(VALUE(AF$44),'SJ data'!$A$2:$R$99,15,0))</f>
        <v>0</v>
      </c>
      <c r="AG69" s="184">
        <f>IF(ISERR(VLOOKUP(VALUE(AG$44),'SJ data'!$A$2:$R$99,15,0)="TRUE"),0,VLOOKUP(VALUE(AG$44),'SJ data'!$A$2:$R$99,15,0))</f>
        <v>92444.03</v>
      </c>
      <c r="AH69" s="184">
        <f>IF(ISERR(VLOOKUP(VALUE(AH$44),'SJ data'!$A$2:$R$99,15,0)="TRUE"),0,VLOOKUP(VALUE(AH$44),'SJ data'!$A$2:$R$99,15,0))</f>
        <v>0</v>
      </c>
      <c r="AI69" s="184">
        <f>IF(ISERR(VLOOKUP(VALUE(AI$44),'SJ data'!$A$2:$R$99,15,0)="TRUE"),0,VLOOKUP(VALUE(AI$44),'SJ data'!$A$2:$R$99,15,0))</f>
        <v>0</v>
      </c>
      <c r="AJ69" s="184">
        <f>IF(ISERR(VLOOKUP(VALUE(AJ$44),'SJ data'!$A$2:$R$99,15,0)="TRUE"),0,VLOOKUP(VALUE(AJ$44),'SJ data'!$A$2:$R$99,15,0))</f>
        <v>5077399.8199999994</v>
      </c>
      <c r="AK69" s="184">
        <f>IF(ISERR(VLOOKUP(VALUE(AK$44),'SJ data'!$A$2:$R$99,15,0)="TRUE"),0,VLOOKUP(VALUE(AK$44),'SJ data'!$A$2:$R$99,15,0))</f>
        <v>2538.5699999999997</v>
      </c>
      <c r="AL69" s="184">
        <f>IF(ISERR(VLOOKUP(VALUE(AL$44),'SJ data'!$A$2:$R$99,15,0)="TRUE"),0,VLOOKUP(VALUE(AL$44),'SJ data'!$A$2:$R$99,15,0))</f>
        <v>5071.22</v>
      </c>
      <c r="AM69" s="184">
        <f>IF(ISERR(VLOOKUP(VALUE(AM$44),'SJ data'!$A$2:$R$99,15,0)="TRUE"),0,VLOOKUP(VALUE(AM$44),'SJ data'!$A$2:$R$99,15,0))</f>
        <v>0</v>
      </c>
      <c r="AN69" s="184">
        <f>IF(ISERR(VLOOKUP(VALUE(AN$44),'SJ data'!$A$2:$R$99,15,0)="TRUE"),0,VLOOKUP(VALUE(AN$44),'SJ data'!$A$2:$R$99,15,0))</f>
        <v>0</v>
      </c>
      <c r="AO69" s="184">
        <f>IF(ISERR(VLOOKUP(VALUE(AO$44),'SJ data'!$A$2:$R$99,15,0)="TRUE"),0,VLOOKUP(VALUE(AO$44),'SJ data'!$A$2:$R$99,15,0))</f>
        <v>0</v>
      </c>
      <c r="AP69" s="184">
        <f>IF(ISERR(VLOOKUP(VALUE(AP$44),'SJ data'!$A$2:$R$99,15,0)="TRUE"),0,VLOOKUP(VALUE(AP$44),'SJ data'!$A$2:$R$99,15,0))</f>
        <v>20069.28</v>
      </c>
      <c r="AQ69" s="184">
        <f>IF(ISERR(VLOOKUP(VALUE(AQ$44),'SJ data'!$A$2:$R$99,15,0)="TRUE"),0,VLOOKUP(VALUE(AQ$44),'SJ data'!$A$2:$R$99,15,0))</f>
        <v>0</v>
      </c>
      <c r="AR69" s="184">
        <f>IF(ISERR(VLOOKUP(VALUE(AR$44),'SJ data'!$A$2:$R$99,15,0)="TRUE"),0,VLOOKUP(VALUE(AR$44),'SJ data'!$A$2:$R$99,15,0))</f>
        <v>1671017.6299999994</v>
      </c>
      <c r="AS69" s="184">
        <f>IF(ISERR(VLOOKUP(VALUE(AS$44),'SJ data'!$A$2:$R$99,15,0)="TRUE"),0,VLOOKUP(VALUE(AS$44),'SJ data'!$A$2:$R$99,15,0))</f>
        <v>0</v>
      </c>
      <c r="AT69" s="184">
        <f>IF(ISERR(VLOOKUP(VALUE(AT$44),'SJ data'!$A$2:$R$99,15,0)="TRUE"),0,VLOOKUP(VALUE(AT$44),'SJ data'!$A$2:$R$99,15,0))</f>
        <v>0</v>
      </c>
      <c r="AU69" s="184">
        <f>IF(ISERR(VLOOKUP(VALUE(AU$44),'SJ data'!$A$2:$R$99,15,0)="TRUE"),0,VLOOKUP(VALUE(AU$44),'SJ data'!$A$2:$R$99,15,0))</f>
        <v>0</v>
      </c>
      <c r="AV69" s="184">
        <f>IF(ISERR(VLOOKUP(VALUE(AV$44),'SJ data'!$A$2:$R$99,15,0)="TRUE"),0,VLOOKUP(VALUE(AV$44),'SJ data'!$A$2:$R$99,15,0))-5593251.12</f>
        <v>-4190996.5900000003</v>
      </c>
      <c r="AW69" s="184">
        <f>IF(ISERR(VLOOKUP(VALUE(AW$44),'SJ data'!$A$2:$R$99,15,0)="TRUE"),0,VLOOKUP(VALUE(AW$44),'SJ data'!$A$2:$R$99,15,0))</f>
        <v>0</v>
      </c>
      <c r="AX69" s="184">
        <f>IF(ISERR(VLOOKUP(VALUE(AX$44),'SJ data'!$A$2:$R$99,15,0)="TRUE"),0,VLOOKUP(VALUE(AX$44),'SJ data'!$A$2:$R$99,15,0))</f>
        <v>0</v>
      </c>
      <c r="AY69" s="184">
        <f>IF(ISERR(VLOOKUP(VALUE(AY$44),'SJ data'!$A$2:$R$99,15,0)="TRUE"),0,VLOOKUP(VALUE(AY$44),'SJ data'!$A$2:$R$99,15,0))</f>
        <v>0</v>
      </c>
      <c r="AZ69" s="184">
        <f>IF(ISERR(VLOOKUP(VALUE(AZ$44),'SJ data'!$A$2:$R$99,15,0)="TRUE"),0,VLOOKUP(VALUE(AZ$44),'SJ data'!$A$2:$R$99,15,0))</f>
        <v>112538.02</v>
      </c>
      <c r="BA69" s="184">
        <f>IF(ISERR(VLOOKUP(VALUE(BA$44),'SJ data'!$A$2:$R$99,15,0)="TRUE"),0,VLOOKUP(VALUE(BA$44),'SJ data'!$A$2:$R$99,15,0))</f>
        <v>0</v>
      </c>
      <c r="BB69" s="184">
        <f>IF(ISERR(VLOOKUP(VALUE(BB$44),'SJ data'!$A$2:$R$99,15,0)="TRUE"),0,VLOOKUP(VALUE(BB$44),'SJ data'!$A$2:$R$99,15,0))</f>
        <v>0</v>
      </c>
      <c r="BC69" s="184">
        <f>IF(ISERR(VLOOKUP(VALUE(BC$44),'SJ data'!$A$2:$R$99,15,0)="TRUE"),0,VLOOKUP(VALUE(BC$44),'SJ data'!$A$2:$R$99,15,0))</f>
        <v>763.43000000000006</v>
      </c>
      <c r="BD69" s="184">
        <f>IF(ISERR(VLOOKUP(VALUE(BD$44),'SJ data'!$A$2:$R$99,15,0)="TRUE"),0,VLOOKUP(VALUE(BD$44),'SJ data'!$A$2:$R$99,15,0))</f>
        <v>0</v>
      </c>
      <c r="BE69" s="184">
        <f>IF(ISERR(VLOOKUP(VALUE(BE$44),'SJ data'!$A$2:$R$99,15,0)="TRUE"),0,VLOOKUP(VALUE(BE$44),'SJ data'!$A$2:$R$99,15,0))</f>
        <v>284255.77</v>
      </c>
      <c r="BF69" s="184">
        <f>IF(ISERR(VLOOKUP(VALUE(BF$44),'SJ data'!$A$2:$R$99,15,0)="TRUE"),0,VLOOKUP(VALUE(BF$44),'SJ data'!$A$2:$R$99,15,0))</f>
        <v>7252.67</v>
      </c>
      <c r="BG69" s="184">
        <f>IF(ISERR(VLOOKUP(VALUE(BG$44),'SJ data'!$A$2:$R$99,15,0)="TRUE"),0,VLOOKUP(VALUE(BG$44),'SJ data'!$A$2:$R$99,15,0))</f>
        <v>0</v>
      </c>
      <c r="BH69" s="184">
        <f>IF(ISERR(VLOOKUP(VALUE(BH$44),'SJ data'!$A$2:$R$99,15,0)="TRUE"),0,VLOOKUP(VALUE(BH$44),'SJ data'!$A$2:$R$99,15,0))</f>
        <v>0</v>
      </c>
      <c r="BI69" s="184">
        <f>IF(ISERR(VLOOKUP(VALUE(BI$44),'SJ data'!$A$2:$R$99,15,0)="TRUE"),0,VLOOKUP(VALUE(BI$44),'SJ data'!$A$2:$R$99,15,0))</f>
        <v>11124.66</v>
      </c>
      <c r="BJ69" s="184">
        <f>IF(ISERR(VLOOKUP(VALUE(BJ$44),'SJ data'!$A$2:$R$99,15,0)="TRUE"),0,VLOOKUP(VALUE(BJ$44),'SJ data'!$A$2:$R$99,15,0))</f>
        <v>0</v>
      </c>
      <c r="BK69" s="184">
        <f>IF(ISERR(VLOOKUP(VALUE(BK$44),'SJ data'!$A$2:$R$99,15,0)="TRUE"),0,VLOOKUP(VALUE(BK$44),'SJ data'!$A$2:$R$99,15,0))</f>
        <v>0</v>
      </c>
      <c r="BL69" s="184">
        <f>IF(ISERR(VLOOKUP(VALUE(BL$44),'SJ data'!$A$2:$R$99,15,0)="TRUE"),0,VLOOKUP(VALUE(BL$44),'SJ data'!$A$2:$R$99,15,0))</f>
        <v>3810.3399999999997</v>
      </c>
      <c r="BM69" s="184">
        <f>IF(ISERR(VLOOKUP(VALUE(BM$44),'SJ data'!$A$2:$R$99,15,0)="TRUE"),0,VLOOKUP(VALUE(BM$44),'SJ data'!$A$2:$R$99,15,0))</f>
        <v>0</v>
      </c>
      <c r="BN69" s="184">
        <f>IF(ISERR(VLOOKUP(VALUE(BN$44),'SJ data'!$A$2:$R$99,15,0)="TRUE"),0,VLOOKUP(VALUE(BN$44),'SJ data'!$A$2:$R$99,15,0))</f>
        <v>487125.25999999995</v>
      </c>
      <c r="BO69" s="184">
        <f>IF(ISERR(VLOOKUP(VALUE(BO$44),'SJ data'!$A$2:$R$99,15,0)="TRUE"),0,VLOOKUP(VALUE(BO$44),'SJ data'!$A$2:$R$99,15,0))</f>
        <v>0</v>
      </c>
      <c r="BP69" s="184">
        <f>IF(ISERR(VLOOKUP(VALUE(BP$44),'SJ data'!$A$2:$R$99,15,0)="TRUE"),0,VLOOKUP(VALUE(BP$44),'SJ data'!$A$2:$R$99,15,0))</f>
        <v>0</v>
      </c>
      <c r="BQ69" s="184">
        <f>IF(ISERR(VLOOKUP(VALUE(BQ$44),'SJ data'!$A$2:$R$99,15,0)="TRUE"),0,VLOOKUP(VALUE(BQ$44),'SJ data'!$A$2:$R$99,15,0))</f>
        <v>0</v>
      </c>
      <c r="BR69" s="184">
        <f>IF(ISERR(VLOOKUP(VALUE(BR$44),'SJ data'!$A$2:$R$99,15,0)="TRUE"),0,VLOOKUP(VALUE(BR$44),'SJ data'!$A$2:$R$99,15,0))</f>
        <v>1013416.5099999999</v>
      </c>
      <c r="BS69" s="184">
        <f>IF(ISERR(VLOOKUP(VALUE(BS$44),'SJ data'!$A$2:$R$99,15,0)="TRUE"),0,VLOOKUP(VALUE(BS$44),'SJ data'!$A$2:$R$99,15,0))</f>
        <v>0</v>
      </c>
      <c r="BT69" s="184">
        <f>IF(ISERR(VLOOKUP(VALUE(BT$44),'SJ data'!$A$2:$R$99,15,0)="TRUE"),0,VLOOKUP(VALUE(BT$44),'SJ data'!$A$2:$R$99,15,0))</f>
        <v>3566.7</v>
      </c>
      <c r="BU69" s="184">
        <f>IF(ISERR(VLOOKUP(VALUE(BU$44),'SJ data'!$A$2:$R$99,15,0)="TRUE"),0,VLOOKUP(VALUE(BU$44),'SJ data'!$A$2:$R$99,15,0))</f>
        <v>0</v>
      </c>
      <c r="BV69" s="184">
        <f>IF(ISERR(VLOOKUP(VALUE(BV$44),'SJ data'!$A$2:$R$99,15,0)="TRUE"),0,VLOOKUP(VALUE(BV$44),'SJ data'!$A$2:$R$99,15,0))</f>
        <v>0</v>
      </c>
      <c r="BW69" s="184">
        <f>IF(ISERR(VLOOKUP(VALUE(BW$44),'SJ data'!$A$2:$R$99,15,0)="TRUE"),0,VLOOKUP(VALUE(BW$44),'SJ data'!$A$2:$R$99,15,0))</f>
        <v>0</v>
      </c>
      <c r="BX69" s="184">
        <f>IF(ISERR(VLOOKUP(VALUE(BX$44),'SJ data'!$A$2:$R$99,15,0)="TRUE"),0,VLOOKUP(VALUE(BX$44),'SJ data'!$A$2:$R$99,15,0))</f>
        <v>0</v>
      </c>
      <c r="BY69" s="184">
        <f>IF(ISERR(VLOOKUP(VALUE(BY$44),'SJ data'!$A$2:$R$99,15,0)="TRUE"),0,VLOOKUP(VALUE(BY$44),'SJ data'!$A$2:$R$99,15,0))</f>
        <v>3592.66</v>
      </c>
      <c r="BZ69" s="184">
        <f>IF(ISERR(VLOOKUP(VALUE(BZ$44),'SJ data'!$A$2:$R$99,15,0)="TRUE"),0,VLOOKUP(VALUE(BZ$44),'SJ data'!$A$2:$R$99,15,0))</f>
        <v>625</v>
      </c>
      <c r="CA69" s="184">
        <f>IF(ISERR(VLOOKUP(VALUE(CA$44),'SJ data'!$A$2:$R$99,15,0)="TRUE"),0,VLOOKUP(VALUE(CA$44),'SJ data'!$A$2:$R$99,15,0))</f>
        <v>0</v>
      </c>
      <c r="CB69" s="184">
        <f>IF(ISERR(VLOOKUP(VALUE(CB$44),'SJ data'!$A$2:$R$99,15,0)="TRUE"),0,VLOOKUP(VALUE(CB$44),'SJ data'!$A$2:$R$99,15,0))</f>
        <v>0</v>
      </c>
      <c r="CC69" s="184">
        <f>IF(ISERR(VLOOKUP(VALUE(CC$44),'SJ data'!$A$2:$R$99,15,0)="TRUE"),0,VLOOKUP(VALUE(CC$44),'SJ data'!$A$2:$R$99,15,0))</f>
        <v>102189.28</v>
      </c>
      <c r="CD69" s="184">
        <f>IF(ISERR(VLOOKUP(VALUE(CD$44),'SJ data'!$A$2:$R$99,15,0)="TRUE"),0,VLOOKUP(VALUE(CD$44),'SJ data'!$A$2:$R$99,15,0))+30640892.64+5593251.12</f>
        <v>36234143.759999998</v>
      </c>
      <c r="CE69" s="195">
        <f t="shared" si="0"/>
        <v>45130530.859999992</v>
      </c>
      <c r="CF69" s="250"/>
    </row>
    <row r="70" spans="1:84" ht="12.6" customHeight="1" x14ac:dyDescent="0.2">
      <c r="A70" s="171" t="s">
        <v>242</v>
      </c>
      <c r="B70" s="175"/>
      <c r="C70" s="184">
        <f>IF(ISERR(VLOOKUP(VALUE(C$44),'SJ data'!$A$2:$R$99,18,0)="TRUE"),0,VLOOKUP(VALUE(C$44),'SJ data'!$A$2:$R$99,18,0))</f>
        <v>37500</v>
      </c>
      <c r="D70" s="184">
        <f>IF(ISERR(VLOOKUP(VALUE(D$44),'SJ data'!$A$2:$R$99,18,0)="TRUE"),0,VLOOKUP(VALUE(D$44),'SJ data'!$A$2:$R$99,18,0))</f>
        <v>0</v>
      </c>
      <c r="E70" s="184">
        <f>IF(ISERR(VLOOKUP(VALUE(E$44),'SJ data'!$A$2:$R$99,18,0)="TRUE"),0,VLOOKUP(VALUE(E$44),'SJ data'!$A$2:$R$99,18,0))</f>
        <v>45500</v>
      </c>
      <c r="F70" s="184">
        <f>IF(ISERR(VLOOKUP(VALUE(F$44),'SJ data'!$A$2:$R$99,18,0)="TRUE"),0,VLOOKUP(VALUE(F$44),'SJ data'!$A$2:$R$99,18,0))</f>
        <v>0</v>
      </c>
      <c r="G70" s="184">
        <f>IF(ISERR(VLOOKUP(VALUE(G$44),'SJ data'!$A$2:$R$99,18,0)="TRUE"),0,VLOOKUP(VALUE(G$44),'SJ data'!$A$2:$R$99,18,0))</f>
        <v>0</v>
      </c>
      <c r="H70" s="184">
        <f>IF(ISERR(VLOOKUP(VALUE(H$44),'SJ data'!$A$2:$R$99,18,0)="TRUE"),0,VLOOKUP(VALUE(H$44),'SJ data'!$A$2:$R$99,18,0))</f>
        <v>0</v>
      </c>
      <c r="I70" s="184">
        <f>IF(ISERR(VLOOKUP(VALUE(I$44),'SJ data'!$A$2:$R$99,18,0)="TRUE"),0,VLOOKUP(VALUE(I$44),'SJ data'!$A$2:$R$99,18,0))</f>
        <v>0</v>
      </c>
      <c r="J70" s="184">
        <f>IF(ISERR(VLOOKUP(VALUE(J$44),'SJ data'!$A$2:$R$99,18,0)="TRUE"),0,VLOOKUP(VALUE(J$44),'SJ data'!$A$2:$R$99,18,0))</f>
        <v>27350</v>
      </c>
      <c r="K70" s="184">
        <f>IF(ISERR(VLOOKUP(VALUE(K$44),'SJ data'!$A$2:$R$99,18,0)="TRUE"),0,VLOOKUP(VALUE(K$44),'SJ data'!$A$2:$R$99,18,0))</f>
        <v>0</v>
      </c>
      <c r="L70" s="184">
        <f>IF(ISERR(VLOOKUP(VALUE(L$44),'SJ data'!$A$2:$R$99,18,0)="TRUE"),0,VLOOKUP(VALUE(L$44),'SJ data'!$A$2:$R$99,18,0))</f>
        <v>0</v>
      </c>
      <c r="M70" s="184">
        <f>IF(ISERR(VLOOKUP(VALUE(M$44),'SJ data'!$A$2:$R$99,18,0)="TRUE"),0,VLOOKUP(VALUE(M$44),'SJ data'!$A$2:$R$99,18,0))</f>
        <v>0</v>
      </c>
      <c r="N70" s="184">
        <f>IF(ISERR(VLOOKUP(VALUE(N$44),'SJ data'!$A$2:$R$99,18,0)="TRUE"),0,VLOOKUP(VALUE(N$44),'SJ data'!$A$2:$R$99,18,0))</f>
        <v>0</v>
      </c>
      <c r="O70" s="184">
        <f>IF(ISERR(VLOOKUP(VALUE(O$44),'SJ data'!$A$2:$R$99,18,0)="TRUE"),0,VLOOKUP(VALUE(O$44),'SJ data'!$A$2:$R$99,18,0))</f>
        <v>36189.800000000003</v>
      </c>
      <c r="P70" s="184">
        <f>IF(ISERR(VLOOKUP(VALUE(P$44),'SJ data'!$A$2:$R$99,18,0)="TRUE"),0,VLOOKUP(VALUE(P$44),'SJ data'!$A$2:$R$99,18,0))</f>
        <v>17821.7</v>
      </c>
      <c r="Q70" s="184">
        <f>IF(ISERR(VLOOKUP(VALUE(Q$44),'SJ data'!$A$2:$R$99,18,0)="TRUE"),0,VLOOKUP(VALUE(Q$44),'SJ data'!$A$2:$R$99,18,0))</f>
        <v>0</v>
      </c>
      <c r="R70" s="184">
        <f>IF(ISERR(VLOOKUP(VALUE(R$44),'SJ data'!$A$2:$R$99,18,0)="TRUE"),0,VLOOKUP(VALUE(R$44),'SJ data'!$A$2:$R$99,18,0))</f>
        <v>0</v>
      </c>
      <c r="S70" s="184">
        <f>IF(ISERR(VLOOKUP(VALUE(S$44),'SJ data'!$A$2:$R$99,18,0)="TRUE"),0,VLOOKUP(VALUE(S$44),'SJ data'!$A$2:$R$99,18,0))</f>
        <v>0</v>
      </c>
      <c r="T70" s="184">
        <f>IF(ISERR(VLOOKUP(VALUE(T$44),'SJ data'!$A$2:$R$99,18,0)="TRUE"),0,VLOOKUP(VALUE(T$44),'SJ data'!$A$2:$R$99,18,0))</f>
        <v>0</v>
      </c>
      <c r="U70" s="184">
        <f>IF(ISERR(VLOOKUP(VALUE(U$44),'SJ data'!$A$2:$R$99,18,0)="TRUE"),0,VLOOKUP(VALUE(U$44),'SJ data'!$A$2:$R$99,18,0))</f>
        <v>1259208.9099999999</v>
      </c>
      <c r="V70" s="184">
        <f>IF(ISERR(VLOOKUP(VALUE(V$44),'SJ data'!$A$2:$R$99,18,0)="TRUE"),0,VLOOKUP(VALUE(V$44),'SJ data'!$A$2:$R$99,18,0))</f>
        <v>9336.84</v>
      </c>
      <c r="W70" s="184">
        <f>IF(ISERR(VLOOKUP(VALUE(W$44),'SJ data'!$A$2:$R$99,18,0)="TRUE"),0,VLOOKUP(VALUE(W$44),'SJ data'!$A$2:$R$99,18,0))</f>
        <v>0</v>
      </c>
      <c r="X70" s="184">
        <f>IF(ISERR(VLOOKUP(VALUE(X$44),'SJ data'!$A$2:$R$99,18,0)="TRUE"),0,VLOOKUP(VALUE(X$44),'SJ data'!$A$2:$R$99,18,0))</f>
        <v>0</v>
      </c>
      <c r="Y70" s="184">
        <f>IF(ISERR(VLOOKUP(VALUE(Y$44),'SJ data'!$A$2:$R$99,18,0)="TRUE"),0,VLOOKUP(VALUE(Y$44),'SJ data'!$A$2:$R$99,18,0))</f>
        <v>8967.5</v>
      </c>
      <c r="Z70" s="184">
        <f>IF(ISERR(VLOOKUP(VALUE(Z$44),'SJ data'!$A$2:$R$99,18,0)="TRUE"),0,VLOOKUP(VALUE(Z$44),'SJ data'!$A$2:$R$99,18,0))</f>
        <v>0</v>
      </c>
      <c r="AA70" s="184">
        <f>IF(ISERR(VLOOKUP(VALUE(AA$44),'SJ data'!$A$2:$R$99,18,0)="TRUE"),0,VLOOKUP(VALUE(AA$44),'SJ data'!$A$2:$R$99,18,0))</f>
        <v>0</v>
      </c>
      <c r="AB70" s="184">
        <f>IF(ISERR(VLOOKUP(VALUE(AB$44),'SJ data'!$A$2:$R$99,18,0)="TRUE"),0,VLOOKUP(VALUE(AB$44),'SJ data'!$A$2:$R$99,18,0))</f>
        <v>4907776.54</v>
      </c>
      <c r="AC70" s="184">
        <f>IF(ISERR(VLOOKUP(VALUE(AC$44),'SJ data'!$A$2:$R$99,18,0)="TRUE"),0,VLOOKUP(VALUE(AC$44),'SJ data'!$A$2:$R$99,18,0))</f>
        <v>0</v>
      </c>
      <c r="AD70" s="184">
        <f>IF(ISERR(VLOOKUP(VALUE(AD$44),'SJ data'!$A$2:$R$99,18,0)="TRUE"),0,VLOOKUP(VALUE(AD$44),'SJ data'!$A$2:$R$99,18,0))</f>
        <v>558378.37</v>
      </c>
      <c r="AE70" s="184">
        <f>IF(ISERR(VLOOKUP(VALUE(AE$44),'SJ data'!$A$2:$R$99,18,0)="TRUE"),0,VLOOKUP(VALUE(AE$44),'SJ data'!$A$2:$R$99,18,0))</f>
        <v>-2161.87</v>
      </c>
      <c r="AF70" s="184">
        <f>IF(ISERR(VLOOKUP(VALUE(AF$44),'SJ data'!$A$2:$R$99,18,0)="TRUE"),0,VLOOKUP(VALUE(AF$44),'SJ data'!$A$2:$R$99,18,0))</f>
        <v>0</v>
      </c>
      <c r="AG70" s="184">
        <f>IF(ISERR(VLOOKUP(VALUE(AG$44),'SJ data'!$A$2:$R$99,18,0)="TRUE"),0,VLOOKUP(VALUE(AG$44),'SJ data'!$A$2:$R$99,18,0))</f>
        <v>-4080427.98</v>
      </c>
      <c r="AH70" s="184">
        <f>IF(ISERR(VLOOKUP(VALUE(AH$44),'SJ data'!$A$2:$R$99,18,0)="TRUE"),0,VLOOKUP(VALUE(AH$44),'SJ data'!$A$2:$R$99,18,0))</f>
        <v>0</v>
      </c>
      <c r="AI70" s="184">
        <f>IF(ISERR(VLOOKUP(VALUE(AI$44),'SJ data'!$A$2:$R$99,18,0)="TRUE"),0,VLOOKUP(VALUE(AI$44),'SJ data'!$A$2:$R$99,18,0))</f>
        <v>0</v>
      </c>
      <c r="AJ70" s="184">
        <f>IF(ISERR(VLOOKUP(VALUE(AJ$44),'SJ data'!$A$2:$R$99,18,0)="TRUE"),0,VLOOKUP(VALUE(AJ$44),'SJ data'!$A$2:$R$99,18,0))</f>
        <v>8087502.6600000001</v>
      </c>
      <c r="AK70" s="184">
        <f>IF(ISERR(VLOOKUP(VALUE(AK$44),'SJ data'!$A$2:$R$99,18,0)="TRUE"),0,VLOOKUP(VALUE(AK$44),'SJ data'!$A$2:$R$99,18,0))</f>
        <v>640</v>
      </c>
      <c r="AL70" s="184">
        <f>IF(ISERR(VLOOKUP(VALUE(AL$44),'SJ data'!$A$2:$R$99,18,0)="TRUE"),0,VLOOKUP(VALUE(AL$44),'SJ data'!$A$2:$R$99,18,0))</f>
        <v>300</v>
      </c>
      <c r="AM70" s="184">
        <f>IF(ISERR(VLOOKUP(VALUE(AM$44),'SJ data'!$A$2:$R$99,18,0)="TRUE"),0,VLOOKUP(VALUE(AM$44),'SJ data'!$A$2:$R$99,18,0))</f>
        <v>0</v>
      </c>
      <c r="AN70" s="184">
        <f>IF(ISERR(VLOOKUP(VALUE(AN$44),'SJ data'!$A$2:$R$99,18,0)="TRUE"),0,VLOOKUP(VALUE(AN$44),'SJ data'!$A$2:$R$99,18,0))</f>
        <v>0</v>
      </c>
      <c r="AO70" s="184">
        <f>IF(ISERR(VLOOKUP(VALUE(AO$44),'SJ data'!$A$2:$R$99,18,0)="TRUE"),0,VLOOKUP(VALUE(AO$44),'SJ data'!$A$2:$R$99,18,0))</f>
        <v>0</v>
      </c>
      <c r="AP70" s="184">
        <f>IF(ISERR(VLOOKUP(VALUE(AP$44),'SJ data'!$A$2:$R$99,18,0)="TRUE"),0,VLOOKUP(VALUE(AP$44),'SJ data'!$A$2:$R$99,18,0))</f>
        <v>1450335.36</v>
      </c>
      <c r="AQ70" s="184">
        <f>IF(ISERR(VLOOKUP(VALUE(AQ$44),'SJ data'!$A$2:$R$99,18,0)="TRUE"),0,VLOOKUP(VALUE(AQ$44),'SJ data'!$A$2:$R$99,18,0))</f>
        <v>0</v>
      </c>
      <c r="AR70" s="184">
        <f>IF(ISERR(VLOOKUP(VALUE(AR$44),'SJ data'!$A$2:$R$99,18,0)="TRUE"),0,VLOOKUP(VALUE(AR$44),'SJ data'!$A$2:$R$99,18,0))</f>
        <v>337838.11000000004</v>
      </c>
      <c r="AS70" s="184">
        <f>IF(ISERR(VLOOKUP(VALUE(AS$44),'SJ data'!$A$2:$R$99,18,0)="TRUE"),0,VLOOKUP(VALUE(AS$44),'SJ data'!$A$2:$R$99,18,0))</f>
        <v>0</v>
      </c>
      <c r="AT70" s="184">
        <f>IF(ISERR(VLOOKUP(VALUE(AT$44),'SJ data'!$A$2:$R$99,18,0)="TRUE"),0,VLOOKUP(VALUE(AT$44),'SJ data'!$A$2:$R$99,18,0))</f>
        <v>0</v>
      </c>
      <c r="AU70" s="184">
        <f>IF(ISERR(VLOOKUP(VALUE(AU$44),'SJ data'!$A$2:$R$99,18,0)="TRUE"),0,VLOOKUP(VALUE(AU$44),'SJ data'!$A$2:$R$99,18,0))</f>
        <v>0</v>
      </c>
      <c r="AV70" s="184">
        <f>IF(ISERR(VLOOKUP(VALUE(AV$44),'SJ data'!$A$2:$R$99,18,0)="TRUE"),0,VLOOKUP(VALUE(AV$44),'SJ data'!$A$2:$R$99,18,0))+'SJ data'!R49</f>
        <v>17799710.370000001</v>
      </c>
      <c r="AW70" s="184">
        <f>IF(ISERR(VLOOKUP(VALUE(AW$44),'SJ data'!$A$2:$R$99,18,0)="TRUE"),0,VLOOKUP(VALUE(AW$44),'SJ data'!$A$2:$R$99,18,0))</f>
        <v>0</v>
      </c>
      <c r="AX70" s="184">
        <f>IF(ISERR(VLOOKUP(VALUE(AX$44),'SJ data'!$A$2:$R$99,18,0)="TRUE"),0,VLOOKUP(VALUE(AX$44),'SJ data'!$A$2:$R$99,18,0))</f>
        <v>0</v>
      </c>
      <c r="AY70" s="184">
        <f>IF(ISERR(VLOOKUP(VALUE(AY$44),'SJ data'!$A$2:$R$99,18,0)="TRUE"),0,VLOOKUP(VALUE(AY$44),'SJ data'!$A$2:$R$99,18,0))</f>
        <v>0</v>
      </c>
      <c r="AZ70" s="184">
        <f>IF(ISERR(VLOOKUP(VALUE(AZ$44),'SJ data'!$A$2:$R$99,18,0)="TRUE"),0,VLOOKUP(VALUE(AZ$44),'SJ data'!$A$2:$R$99,18,0))</f>
        <v>3279693.01</v>
      </c>
      <c r="BA70" s="184">
        <f>IF(ISERR(VLOOKUP(VALUE(BA$44),'SJ data'!$A$2:$R$99,18,0)="TRUE"),0,VLOOKUP(VALUE(BA$44),'SJ data'!$A$2:$R$99,18,0))</f>
        <v>0</v>
      </c>
      <c r="BB70" s="184">
        <f>IF(ISERR(VLOOKUP(VALUE(BB$44),'SJ data'!$A$2:$R$99,18,0)="TRUE"),0,VLOOKUP(VALUE(BB$44),'SJ data'!$A$2:$R$99,18,0))</f>
        <v>0</v>
      </c>
      <c r="BC70" s="184">
        <f>IF(ISERR(VLOOKUP(VALUE(BC$44),'SJ data'!$A$2:$R$99,18,0)="TRUE"),0,VLOOKUP(VALUE(BC$44),'SJ data'!$A$2:$R$99,18,0))</f>
        <v>2601</v>
      </c>
      <c r="BD70" s="184">
        <f>IF(ISERR(VLOOKUP(VALUE(BD$44),'SJ data'!$A$2:$R$99,18,0)="TRUE"),0,VLOOKUP(VALUE(BD$44),'SJ data'!$A$2:$R$99,18,0))</f>
        <v>0</v>
      </c>
      <c r="BE70" s="184">
        <f>IF(ISERR(VLOOKUP(VALUE(BE$44),'SJ data'!$A$2:$R$99,18,0)="TRUE"),0,VLOOKUP(VALUE(BE$44),'SJ data'!$A$2:$R$99,18,0))</f>
        <v>26.21</v>
      </c>
      <c r="BF70" s="184">
        <f>IF(ISERR(VLOOKUP(VALUE(BF$44),'SJ data'!$A$2:$R$99,18,0)="TRUE"),0,VLOOKUP(VALUE(BF$44),'SJ data'!$A$2:$R$99,18,0))</f>
        <v>0</v>
      </c>
      <c r="BG70" s="184">
        <f>IF(ISERR(VLOOKUP(VALUE(BG$44),'SJ data'!$A$2:$R$99,18,0)="TRUE"),0,VLOOKUP(VALUE(BG$44),'SJ data'!$A$2:$R$99,18,0))</f>
        <v>0</v>
      </c>
      <c r="BH70" s="184">
        <f>IF(ISERR(VLOOKUP(VALUE(BH$44),'SJ data'!$A$2:$R$99,18,0)="TRUE"),0,VLOOKUP(VALUE(BH$44),'SJ data'!$A$2:$R$99,18,0))</f>
        <v>0</v>
      </c>
      <c r="BI70" s="184">
        <f>IF(ISERR(VLOOKUP(VALUE(BI$44),'SJ data'!$A$2:$R$99,18,0)="TRUE"),0,VLOOKUP(VALUE(BI$44),'SJ data'!$A$2:$R$99,18,0))</f>
        <v>378654.76</v>
      </c>
      <c r="BJ70" s="184">
        <f>IF(ISERR(VLOOKUP(VALUE(BJ$44),'SJ data'!$A$2:$R$99,18,0)="TRUE"),0,VLOOKUP(VALUE(BJ$44),'SJ data'!$A$2:$R$99,18,0))</f>
        <v>0</v>
      </c>
      <c r="BK70" s="184">
        <f>IF(ISERR(VLOOKUP(VALUE(BK$44),'SJ data'!$A$2:$R$99,18,0)="TRUE"),0,VLOOKUP(VALUE(BK$44),'SJ data'!$A$2:$R$99,18,0))</f>
        <v>0</v>
      </c>
      <c r="BL70" s="184">
        <f>IF(ISERR(VLOOKUP(VALUE(BL$44),'SJ data'!$A$2:$R$99,18,0)="TRUE"),0,VLOOKUP(VALUE(BL$44),'SJ data'!$A$2:$R$99,18,0))</f>
        <v>0</v>
      </c>
      <c r="BM70" s="184">
        <f>IF(ISERR(VLOOKUP(VALUE(BM$44),'SJ data'!$A$2:$R$99,18,0)="TRUE"),0,VLOOKUP(VALUE(BM$44),'SJ data'!$A$2:$R$99,18,0))</f>
        <v>0</v>
      </c>
      <c r="BN70" s="184">
        <f>IF(ISERR(VLOOKUP(VALUE(BN$44),'SJ data'!$A$2:$R$99,18,0)="TRUE"),0,VLOOKUP(VALUE(BN$44),'SJ data'!$A$2:$R$99,18,0))</f>
        <v>13400</v>
      </c>
      <c r="BO70" s="184">
        <f>IF(ISERR(VLOOKUP(VALUE(BO$44),'SJ data'!$A$2:$R$99,18,0)="TRUE"),0,VLOOKUP(VALUE(BO$44),'SJ data'!$A$2:$R$99,18,0))</f>
        <v>0</v>
      </c>
      <c r="BP70" s="184">
        <f>IF(ISERR(VLOOKUP(VALUE(BP$44),'SJ data'!$A$2:$R$99,18,0)="TRUE"),0,VLOOKUP(VALUE(BP$44),'SJ data'!$A$2:$R$99,18,0))</f>
        <v>0</v>
      </c>
      <c r="BQ70" s="184">
        <f>IF(ISERR(VLOOKUP(VALUE(BQ$44),'SJ data'!$A$2:$R$99,18,0)="TRUE"),0,VLOOKUP(VALUE(BQ$44),'SJ data'!$A$2:$R$99,18,0))</f>
        <v>0</v>
      </c>
      <c r="BR70" s="184">
        <f>IF(ISERR(VLOOKUP(VALUE(BR$44),'SJ data'!$A$2:$R$99,18,0)="TRUE"),0,VLOOKUP(VALUE(BR$44),'SJ data'!$A$2:$R$99,18,0))</f>
        <v>0</v>
      </c>
      <c r="BS70" s="184">
        <f>IF(ISERR(VLOOKUP(VALUE(BS$44),'SJ data'!$A$2:$R$99,18,0)="TRUE"),0,VLOOKUP(VALUE(BS$44),'SJ data'!$A$2:$R$99,18,0))</f>
        <v>0</v>
      </c>
      <c r="BT70" s="184">
        <f>IF(ISERR(VLOOKUP(VALUE(BT$44),'SJ data'!$A$2:$R$99,18,0)="TRUE"),0,VLOOKUP(VALUE(BT$44),'SJ data'!$A$2:$R$99,18,0))</f>
        <v>11425</v>
      </c>
      <c r="BU70" s="184">
        <f>IF(ISERR(VLOOKUP(VALUE(BU$44),'SJ data'!$A$2:$R$99,18,0)="TRUE"),0,VLOOKUP(VALUE(BU$44),'SJ data'!$A$2:$R$99,18,0))</f>
        <v>0</v>
      </c>
      <c r="BV70" s="184">
        <f>IF(ISERR(VLOOKUP(VALUE(BV$44),'SJ data'!$A$2:$R$99,18,0)="TRUE"),0,VLOOKUP(VALUE(BV$44),'SJ data'!$A$2:$R$99,18,0))</f>
        <v>0</v>
      </c>
      <c r="BW70" s="184">
        <f>IF(ISERR(VLOOKUP(VALUE(BW$44),'SJ data'!$A$2:$R$99,18,0)="TRUE"),0,VLOOKUP(VALUE(BW$44),'SJ data'!$A$2:$R$99,18,0))</f>
        <v>0</v>
      </c>
      <c r="BX70" s="184">
        <f>IF(ISERR(VLOOKUP(VALUE(BX$44),'SJ data'!$A$2:$R$99,18,0)="TRUE"),0,VLOOKUP(VALUE(BX$44),'SJ data'!$A$2:$R$99,18,0))</f>
        <v>0</v>
      </c>
      <c r="BY70" s="184">
        <f>IF(ISERR(VLOOKUP(VALUE(BY$44),'SJ data'!$A$2:$R$99,18,0)="TRUE"),0,VLOOKUP(VALUE(BY$44),'SJ data'!$A$2:$R$99,18,0))</f>
        <v>0</v>
      </c>
      <c r="BZ70" s="184">
        <f>IF(ISERR(VLOOKUP(VALUE(BZ$44),'SJ data'!$A$2:$R$99,18,0)="TRUE"),0,VLOOKUP(VALUE(BZ$44),'SJ data'!$A$2:$R$99,18,0))</f>
        <v>0</v>
      </c>
      <c r="CA70" s="184">
        <f>IF(ISERR(VLOOKUP(VALUE(CA$44),'SJ data'!$A$2:$R$99,18,0)="TRUE"),0,VLOOKUP(VALUE(CA$44),'SJ data'!$A$2:$R$99,18,0))</f>
        <v>0</v>
      </c>
      <c r="CB70" s="184">
        <f>IF(ISERR(VLOOKUP(VALUE(CB$44),'SJ data'!$A$2:$R$99,18,0)="TRUE"),0,VLOOKUP(VALUE(CB$44),'SJ data'!$A$2:$R$99,18,0))</f>
        <v>0</v>
      </c>
      <c r="CC70" s="184">
        <f>IF(ISERR(VLOOKUP(VALUE(CC$44),'SJ data'!$A$2:$R$99,18,0)="TRUE"),0,VLOOKUP(VALUE(CC$44),'SJ data'!$A$2:$R$99,18,0))</f>
        <v>67000</v>
      </c>
      <c r="CD70" s="184">
        <f>IF(ISERR(VLOOKUP(VALUE(CD$44),'SJ data'!$A$2:$R$99,18,0)="TRUE"),0,VLOOKUP(VALUE(CD$44),'SJ data'!$A$2:$R$99,18,0))</f>
        <v>0</v>
      </c>
      <c r="CE70" s="195">
        <f t="shared" si="0"/>
        <v>34254566.289999999</v>
      </c>
      <c r="CF70" s="250"/>
    </row>
    <row r="71" spans="1:84" ht="12.6" customHeight="1" x14ac:dyDescent="0.2">
      <c r="A71" s="171" t="s">
        <v>243</v>
      </c>
      <c r="B71" s="175"/>
      <c r="C71" s="195">
        <f>SUM(C61:C68)+C69-C70</f>
        <v>32252890.559999995</v>
      </c>
      <c r="D71" s="195">
        <f t="shared" ref="D71:AI71" si="5">SUM(D61:D69)-D70</f>
        <v>0</v>
      </c>
      <c r="E71" s="195">
        <f t="shared" si="5"/>
        <v>70188789.079999998</v>
      </c>
      <c r="F71" s="195">
        <f t="shared" si="5"/>
        <v>0</v>
      </c>
      <c r="G71" s="195">
        <f t="shared" si="5"/>
        <v>0</v>
      </c>
      <c r="H71" s="195">
        <f t="shared" si="5"/>
        <v>187489.34999999998</v>
      </c>
      <c r="I71" s="195">
        <f t="shared" si="5"/>
        <v>0</v>
      </c>
      <c r="J71" s="195">
        <f t="shared" si="5"/>
        <v>9401169.5099999998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22071767.77</v>
      </c>
      <c r="P71" s="195">
        <f t="shared" si="5"/>
        <v>93283334.380000025</v>
      </c>
      <c r="Q71" s="195">
        <f t="shared" si="5"/>
        <v>2702044.4900000007</v>
      </c>
      <c r="R71" s="195">
        <f t="shared" si="5"/>
        <v>0</v>
      </c>
      <c r="S71" s="195">
        <f t="shared" si="5"/>
        <v>2125352.7375414986</v>
      </c>
      <c r="T71" s="195">
        <f t="shared" si="5"/>
        <v>4127615.48</v>
      </c>
      <c r="U71" s="195">
        <f t="shared" si="5"/>
        <v>20625073.280000001</v>
      </c>
      <c r="V71" s="195">
        <f t="shared" si="5"/>
        <v>17571788.129999999</v>
      </c>
      <c r="W71" s="195">
        <f t="shared" si="5"/>
        <v>1659013.23</v>
      </c>
      <c r="X71" s="195">
        <f t="shared" si="5"/>
        <v>2217540.14</v>
      </c>
      <c r="Y71" s="195">
        <f t="shared" si="5"/>
        <v>12725773.789999997</v>
      </c>
      <c r="Z71" s="195">
        <f t="shared" si="5"/>
        <v>0</v>
      </c>
      <c r="AA71" s="195">
        <f t="shared" si="5"/>
        <v>1684416.5299999998</v>
      </c>
      <c r="AB71" s="195">
        <f t="shared" si="5"/>
        <v>25347247.260000002</v>
      </c>
      <c r="AC71" s="195">
        <f t="shared" si="5"/>
        <v>4584056.5699999994</v>
      </c>
      <c r="AD71" s="195">
        <f t="shared" si="5"/>
        <v>2670902.1899999995</v>
      </c>
      <c r="AE71" s="195">
        <f t="shared" si="5"/>
        <v>6267242.0899999999</v>
      </c>
      <c r="AF71" s="195">
        <f t="shared" si="5"/>
        <v>0</v>
      </c>
      <c r="AG71" s="195">
        <f t="shared" si="5"/>
        <v>26777826.16591363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151559208.23000002</v>
      </c>
      <c r="AK71" s="195">
        <f t="shared" si="6"/>
        <v>2064825.1900000002</v>
      </c>
      <c r="AL71" s="195">
        <f t="shared" si="6"/>
        <v>668934.71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-1035961.3</v>
      </c>
      <c r="AQ71" s="195">
        <f t="shared" si="6"/>
        <v>0</v>
      </c>
      <c r="AR71" s="195">
        <f t="shared" si="6"/>
        <v>54627153.052900001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-5471426.0100000016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10162573.369999997</v>
      </c>
      <c r="BA71" s="195">
        <f t="shared" si="6"/>
        <v>364052.99</v>
      </c>
      <c r="BB71" s="195">
        <f t="shared" si="6"/>
        <v>0</v>
      </c>
      <c r="BC71" s="195">
        <f t="shared" si="6"/>
        <v>744090.86</v>
      </c>
      <c r="BD71" s="195">
        <f t="shared" si="6"/>
        <v>2311432.04</v>
      </c>
      <c r="BE71" s="195">
        <f t="shared" si="6"/>
        <v>22714261.73</v>
      </c>
      <c r="BF71" s="195">
        <f t="shared" si="6"/>
        <v>7397772.79</v>
      </c>
      <c r="BG71" s="195">
        <f t="shared" si="6"/>
        <v>0</v>
      </c>
      <c r="BH71" s="195">
        <f t="shared" si="6"/>
        <v>0</v>
      </c>
      <c r="BI71" s="195">
        <f t="shared" si="6"/>
        <v>-160296.71999999997</v>
      </c>
      <c r="BJ71" s="195">
        <f t="shared" si="6"/>
        <v>0</v>
      </c>
      <c r="BK71" s="195">
        <f t="shared" si="6"/>
        <v>7365007.1295641745</v>
      </c>
      <c r="BL71" s="195">
        <f t="shared" si="6"/>
        <v>19858125.548511621</v>
      </c>
      <c r="BM71" s="195">
        <f t="shared" si="6"/>
        <v>0</v>
      </c>
      <c r="BN71" s="195">
        <f t="shared" si="6"/>
        <v>6369862.7230191501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1015433.5099999999</v>
      </c>
      <c r="BS71" s="195">
        <f t="shared" si="7"/>
        <v>0</v>
      </c>
      <c r="BT71" s="195">
        <f t="shared" si="7"/>
        <v>225482.74000000002</v>
      </c>
      <c r="BU71" s="195">
        <f t="shared" si="7"/>
        <v>0</v>
      </c>
      <c r="BV71" s="195">
        <f t="shared" si="7"/>
        <v>3249338.0479523898</v>
      </c>
      <c r="BW71" s="195">
        <f t="shared" si="7"/>
        <v>344529.09580771497</v>
      </c>
      <c r="BX71" s="195">
        <f t="shared" si="7"/>
        <v>-463944.14201183501</v>
      </c>
      <c r="BY71" s="195">
        <f t="shared" si="7"/>
        <v>7380537.7583299996</v>
      </c>
      <c r="BZ71" s="195">
        <f t="shared" si="7"/>
        <v>1170866.97</v>
      </c>
      <c r="CA71" s="195">
        <f t="shared" si="7"/>
        <v>826587.07000000007</v>
      </c>
      <c r="CB71" s="195">
        <f t="shared" si="7"/>
        <v>0</v>
      </c>
      <c r="CC71" s="195">
        <f t="shared" si="7"/>
        <v>95689175.127601117</v>
      </c>
      <c r="CD71" s="243">
        <f>CD69-CD70</f>
        <v>36234143.759999998</v>
      </c>
      <c r="CE71" s="195">
        <f>SUM(CE61:CE69)-CE70</f>
        <v>783683099.00512969</v>
      </c>
      <c r="CF71" s="250"/>
    </row>
    <row r="72" spans="1:84" ht="12.6" customHeight="1" x14ac:dyDescent="0.2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</row>
    <row r="73" spans="1:84" ht="12.6" customHeight="1" x14ac:dyDescent="0.2">
      <c r="A73" s="171" t="s">
        <v>245</v>
      </c>
      <c r="B73" s="175"/>
      <c r="C73" s="184">
        <f>IF(ISERR(VLOOKUP(VALUE(C$44),'SJ data'!$A$2:$R$99,2,0)="TRUE"),0,VLOOKUP(VALUE(C$44),'SJ data'!$A$2:$R$99,2,0))</f>
        <v>119685099.56999999</v>
      </c>
      <c r="D73" s="184">
        <f>IF(ISERR(VLOOKUP(VALUE(D$44),'SJ data'!$A$2:$R$99,2,0)="TRUE"),0,VLOOKUP(VALUE(D$44),'SJ data'!$A$2:$R$99,2,0))</f>
        <v>0</v>
      </c>
      <c r="E73" s="184">
        <f>IF(ISERR(VLOOKUP(VALUE(E$44),'SJ data'!$A$2:$R$99,2,0)="TRUE"),0,VLOOKUP(VALUE(E$44),'SJ data'!$A$2:$R$99,2,0))</f>
        <v>282298886.99999994</v>
      </c>
      <c r="F73" s="184">
        <f>IF(ISERR(VLOOKUP(VALUE(F$44),'SJ data'!$A$2:$R$99,2,0)="TRUE"),0,VLOOKUP(VALUE(F$44),'SJ data'!$A$2:$R$99,2,0))</f>
        <v>0</v>
      </c>
      <c r="G73" s="184">
        <f>IF(ISERR(VLOOKUP(VALUE(G$44),'SJ data'!$A$2:$R$99,2,0)="TRUE"),0,VLOOKUP(VALUE(G$44),'SJ data'!$A$2:$R$99,2,0))</f>
        <v>0</v>
      </c>
      <c r="H73" s="184">
        <f>IF(ISERR(VLOOKUP(VALUE(H$44),'SJ data'!$A$2:$R$99,2,0)="TRUE"),0,VLOOKUP(VALUE(H$44),'SJ data'!$A$2:$R$99,2,0))</f>
        <v>0</v>
      </c>
      <c r="I73" s="184">
        <f>IF(ISERR(VLOOKUP(VALUE(I$44),'SJ data'!$A$2:$R$99,2,0)="TRUE"),0,VLOOKUP(VALUE(I$44),'SJ data'!$A$2:$R$99,2,0))</f>
        <v>0</v>
      </c>
      <c r="J73" s="184">
        <f>IF(ISERR(VLOOKUP(VALUE(J$44),'SJ data'!$A$2:$R$99,2,0)="TRUE"),0,VLOOKUP(VALUE(J$44),'SJ data'!$A$2:$R$99,2,0))</f>
        <v>54372390.479999997</v>
      </c>
      <c r="K73" s="184">
        <f>IF(ISERR(VLOOKUP(VALUE(K$44),'SJ data'!$A$2:$R$99,2,0)="TRUE"),0,VLOOKUP(VALUE(K$44),'SJ data'!$A$2:$R$99,2,0))</f>
        <v>0</v>
      </c>
      <c r="L73" s="184">
        <f>IF(ISERR(VLOOKUP(VALUE(L$44),'SJ data'!$A$2:$R$99,2,0)="TRUE"),0,VLOOKUP(VALUE(L$44),'SJ data'!$A$2:$R$99,2,0))</f>
        <v>0</v>
      </c>
      <c r="M73" s="184">
        <f>IF(ISERR(VLOOKUP(VALUE(M$44),'SJ data'!$A$2:$R$99,2,0)="TRUE"),0,VLOOKUP(VALUE(M$44),'SJ data'!$A$2:$R$99,2,0))</f>
        <v>0</v>
      </c>
      <c r="N73" s="184">
        <f>IF(ISERR(VLOOKUP(VALUE(N$44),'SJ data'!$A$2:$R$99,2,0)="TRUE"),0,VLOOKUP(VALUE(N$44),'SJ data'!$A$2:$R$99,2,0))</f>
        <v>0</v>
      </c>
      <c r="O73" s="184">
        <f>IF(ISERR(VLOOKUP(VALUE(O$44),'SJ data'!$A$2:$R$99,2,0)="TRUE"),0,VLOOKUP(VALUE(O$44),'SJ data'!$A$2:$R$99,2,0))</f>
        <v>139916023.98000005</v>
      </c>
      <c r="P73" s="184">
        <f>IF(ISERR(VLOOKUP(VALUE(P$44),'SJ data'!$A$2:$R$99,2,0)="TRUE"),0,VLOOKUP(VALUE(P$44),'SJ data'!$A$2:$R$99,2,0))</f>
        <v>508837305.32999986</v>
      </c>
      <c r="Q73" s="184">
        <f>IF(ISERR(VLOOKUP(VALUE(Q$44),'SJ data'!$A$2:$R$99,2,0)="TRUE"),0,VLOOKUP(VALUE(Q$44),'SJ data'!$A$2:$R$99,2,0))</f>
        <v>14481645.849999998</v>
      </c>
      <c r="R73" s="184">
        <f>IF(ISERR(VLOOKUP(VALUE(R$44),'SJ data'!$A$2:$R$99,2,0)="TRUE"),0,VLOOKUP(VALUE(R$44),'SJ data'!$A$2:$R$99,2,0))</f>
        <v>0</v>
      </c>
      <c r="S73" s="184">
        <f>IF(ISERR(VLOOKUP(VALUE(S$44),'SJ data'!$A$2:$R$99,2,0)="TRUE"),0,VLOOKUP(VALUE(S$44),'SJ data'!$A$2:$R$99,2,0))</f>
        <v>0</v>
      </c>
      <c r="T73" s="184">
        <f>IF(ISERR(VLOOKUP(VALUE(T$44),'SJ data'!$A$2:$R$99,2,0)="TRUE"),0,VLOOKUP(VALUE(T$44),'SJ data'!$A$2:$R$99,2,0))</f>
        <v>15096869.370000001</v>
      </c>
      <c r="U73" s="184">
        <f>IF(ISERR(VLOOKUP(VALUE(U$44),'SJ data'!$A$2:$R$99,2,0)="TRUE"),0,VLOOKUP(VALUE(U$44),'SJ data'!$A$2:$R$99,2,0))</f>
        <v>110385137.61</v>
      </c>
      <c r="V73" s="184">
        <f>IF(ISERR(VLOOKUP(VALUE(V$44),'SJ data'!$A$2:$R$99,2,0)="TRUE"),0,VLOOKUP(VALUE(V$44),'SJ data'!$A$2:$R$99,2,0))</f>
        <v>63469770.059999995</v>
      </c>
      <c r="W73" s="184">
        <f>IF(ISERR(VLOOKUP(VALUE(W$44),'SJ data'!$A$2:$R$99,2,0)="TRUE"),0,VLOOKUP(VALUE(W$44),'SJ data'!$A$2:$R$99,2,0))</f>
        <v>16638940.440000001</v>
      </c>
      <c r="X73" s="184">
        <f>IF(ISERR(VLOOKUP(VALUE(X$44),'SJ data'!$A$2:$R$99,2,0)="TRUE"),0,VLOOKUP(VALUE(X$44),'SJ data'!$A$2:$R$99,2,0))</f>
        <v>73769463.849999994</v>
      </c>
      <c r="Y73" s="184">
        <f>IF(ISERR(VLOOKUP(VALUE(Y$44),'SJ data'!$A$2:$R$99,2,0)="TRUE"),0,VLOOKUP(VALUE(Y$44),'SJ data'!$A$2:$R$99,2,0))</f>
        <v>58977875.639999993</v>
      </c>
      <c r="Z73" s="184">
        <f>IF(ISERR(VLOOKUP(VALUE(Z$44),'SJ data'!$A$2:$R$99,2,0)="TRUE"),0,VLOOKUP(VALUE(Z$44),'SJ data'!$A$2:$R$99,2,0))</f>
        <v>0</v>
      </c>
      <c r="AA73" s="184">
        <f>IF(ISERR(VLOOKUP(VALUE(AA$44),'SJ data'!$A$2:$R$99,2,0)="TRUE"),0,VLOOKUP(VALUE(AA$44),'SJ data'!$A$2:$R$99,2,0))</f>
        <v>3661644.86</v>
      </c>
      <c r="AB73" s="184">
        <f>IF(ISERR(VLOOKUP(VALUE(AB$44),'SJ data'!$A$2:$R$99,2,0)="TRUE"),0,VLOOKUP(VALUE(AB$44),'SJ data'!$A$2:$R$99,2,0))</f>
        <v>284044300.67000002</v>
      </c>
      <c r="AC73" s="184">
        <f>IF(ISERR(VLOOKUP(VALUE(AC$44),'SJ data'!$A$2:$R$99,2,0)="TRUE"),0,VLOOKUP(VALUE(AC$44),'SJ data'!$A$2:$R$99,2,0))</f>
        <v>61090155.020000003</v>
      </c>
      <c r="AD73" s="184">
        <f>IF(ISERR(VLOOKUP(VALUE(AD$44),'SJ data'!$A$2:$R$99,2,0)="TRUE"),0,VLOOKUP(VALUE(AD$44),'SJ data'!$A$2:$R$99,2,0))</f>
        <v>9478967.4100000001</v>
      </c>
      <c r="AE73" s="184">
        <f>IF(ISERR(VLOOKUP(VALUE(AE$44),'SJ data'!$A$2:$R$99,2,0)="TRUE"),0,VLOOKUP(VALUE(AE$44),'SJ data'!$A$2:$R$99,2,0))</f>
        <v>9476589.2399999984</v>
      </c>
      <c r="AF73" s="184">
        <f>IF(ISERR(VLOOKUP(VALUE(AF$44),'SJ data'!$A$2:$R$99,2,0)="TRUE"),0,VLOOKUP(VALUE(AF$44),'SJ data'!$A$2:$R$99,2,0))</f>
        <v>0</v>
      </c>
      <c r="AG73" s="184">
        <f>IF(ISERR(VLOOKUP(VALUE(AG$44),'SJ data'!$A$2:$R$99,2,0)="TRUE"),0,VLOOKUP(VALUE(AG$44),'SJ data'!$A$2:$R$99,2,0))</f>
        <v>57629252.359999999</v>
      </c>
      <c r="AH73" s="184">
        <f>IF(ISERR(VLOOKUP(VALUE(AH$44),'SJ data'!$A$2:$R$99,2,0)="TRUE"),0,VLOOKUP(VALUE(AH$44),'SJ data'!$A$2:$R$99,2,0))</f>
        <v>0</v>
      </c>
      <c r="AI73" s="184">
        <f>IF(ISERR(VLOOKUP(VALUE(AI$44),'SJ data'!$A$2:$R$99,2,0)="TRUE"),0,VLOOKUP(VALUE(AI$44),'SJ data'!$A$2:$R$99,2,0))</f>
        <v>0</v>
      </c>
      <c r="AJ73" s="184">
        <f>IF(ISERR(VLOOKUP(VALUE(AJ$44),'SJ data'!$A$2:$R$99,2,0)="TRUE"),0,VLOOKUP(VALUE(AJ$44),'SJ data'!$A$2:$R$99,2,0))</f>
        <v>84966.29</v>
      </c>
      <c r="AK73" s="184">
        <f>IF(ISERR(VLOOKUP(VALUE(AK$44),'SJ data'!$A$2:$R$99,2,0)="TRUE"),0,VLOOKUP(VALUE(AK$44),'SJ data'!$A$2:$R$99,2,0))</f>
        <v>8215351.5199999996</v>
      </c>
      <c r="AL73" s="184">
        <f>IF(ISERR(VLOOKUP(VALUE(AL$44),'SJ data'!$A$2:$R$99,2,0)="TRUE"),0,VLOOKUP(VALUE(AL$44),'SJ data'!$A$2:$R$99,2,0))</f>
        <v>2590914.66</v>
      </c>
      <c r="AM73" s="184">
        <f>IF(ISERR(VLOOKUP(VALUE(AM$44),'SJ data'!$A$2:$R$99,2,0)="TRUE"),0,VLOOKUP(VALUE(AM$44),'SJ data'!$A$2:$R$99,2,0))</f>
        <v>0</v>
      </c>
      <c r="AN73" s="184">
        <f>IF(ISERR(VLOOKUP(VALUE(AN$44),'SJ data'!$A$2:$R$99,2,0)="TRUE"),0,VLOOKUP(VALUE(AN$44),'SJ data'!$A$2:$R$99,2,0))</f>
        <v>0</v>
      </c>
      <c r="AO73" s="184">
        <f>IF(ISERR(VLOOKUP(VALUE(AO$44),'SJ data'!$A$2:$R$99,2,0)="TRUE"),0,VLOOKUP(VALUE(AO$44),'SJ data'!$A$2:$R$99,2,0))</f>
        <v>0</v>
      </c>
      <c r="AP73" s="184">
        <f>IF(ISERR(VLOOKUP(VALUE(AP$44),'SJ data'!$A$2:$R$99,2,0)="TRUE"),0,VLOOKUP(VALUE(AP$44),'SJ data'!$A$2:$R$99,2,0))</f>
        <v>0</v>
      </c>
      <c r="AQ73" s="184">
        <f>IF(ISERR(VLOOKUP(VALUE(AQ$44),'SJ data'!$A$2:$R$99,2,0)="TRUE"),0,VLOOKUP(VALUE(AQ$44),'SJ data'!$A$2:$R$99,2,0))</f>
        <v>0</v>
      </c>
      <c r="AR73" s="184">
        <f>IF(ISERR(VLOOKUP(VALUE(AR$44),'SJ data'!$A$2:$R$99,2,0)="TRUE"),0,VLOOKUP(VALUE(AR$44),'SJ data'!$A$2:$R$99,2,0))</f>
        <v>0</v>
      </c>
      <c r="AS73" s="184">
        <f>IF(ISERR(VLOOKUP(VALUE(AS$44),'SJ data'!$A$2:$R$99,2,0)="TRUE"),0,VLOOKUP(VALUE(AS$44),'SJ data'!$A$2:$R$99,2,0))</f>
        <v>0</v>
      </c>
      <c r="AT73" s="184">
        <f>IF(ISERR(VLOOKUP(VALUE(AT$44),'SJ data'!$A$2:$R$99,2,0)="TRUE"),0,VLOOKUP(VALUE(AT$44),'SJ data'!$A$2:$R$99,2,0))</f>
        <v>0</v>
      </c>
      <c r="AU73" s="184">
        <f>IF(ISERR(VLOOKUP(VALUE(AU$44),'SJ data'!$A$2:$R$99,2,0)="TRUE"),0,VLOOKUP(VALUE(AU$44),'SJ data'!$A$2:$R$99,2,0))</f>
        <v>0</v>
      </c>
      <c r="AV73" s="184">
        <f>IF(ISERR(VLOOKUP(VALUE(AV$44),'SJ data'!$A$2:$R$99,2,0)="TRUE"),0,VLOOKUP(VALUE(AV$44),'SJ data'!$A$2:$R$99,2,0))</f>
        <v>986755.41999999993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1895188306.6299996</v>
      </c>
      <c r="CF73" s="250"/>
    </row>
    <row r="74" spans="1:84" ht="12.6" customHeight="1" x14ac:dyDescent="0.2">
      <c r="A74" s="171" t="s">
        <v>246</v>
      </c>
      <c r="B74" s="175"/>
      <c r="C74" s="184">
        <f>IF(ISERR(VLOOKUP(VALUE(C$44),'SJ data'!$A$2:$R$99,3,0)="TRUE"),0,VLOOKUP(VALUE(C$44),'SJ data'!$A$2:$R$99,3,0))</f>
        <v>474875.44000000006</v>
      </c>
      <c r="D74" s="184">
        <f>IF(ISERR(VLOOKUP(VALUE(D$44),'SJ data'!$A$2:$R$99,3,0)="TRUE"),0,VLOOKUP(VALUE(D$44),'SJ data'!$A$2:$R$99,3,0))</f>
        <v>0</v>
      </c>
      <c r="E74" s="184">
        <f>IF(ISERR(VLOOKUP(VALUE(E$44),'SJ data'!$A$2:$R$99,3,0)="TRUE"),0,VLOOKUP(VALUE(E$44),'SJ data'!$A$2:$R$99,3,0))</f>
        <v>30547891.829999998</v>
      </c>
      <c r="F74" s="184">
        <f>IF(ISERR(VLOOKUP(VALUE(F$44),'SJ data'!$A$2:$R$99,3,0)="TRUE"),0,VLOOKUP(VALUE(F$44),'SJ data'!$A$2:$R$99,3,0))</f>
        <v>0</v>
      </c>
      <c r="G74" s="184">
        <f>IF(ISERR(VLOOKUP(VALUE(G$44),'SJ data'!$A$2:$R$99,3,0)="TRUE"),0,VLOOKUP(VALUE(G$44),'SJ data'!$A$2:$R$99,3,0))</f>
        <v>0</v>
      </c>
      <c r="H74" s="184">
        <f>IF(ISERR(VLOOKUP(VALUE(H$44),'SJ data'!$A$2:$R$99,3,0)="TRUE"),0,VLOOKUP(VALUE(H$44),'SJ data'!$A$2:$R$99,3,0))</f>
        <v>2500</v>
      </c>
      <c r="I74" s="184">
        <f>IF(ISERR(VLOOKUP(VALUE(I$44),'SJ data'!$A$2:$R$99,3,0)="TRUE"),0,VLOOKUP(VALUE(I$44),'SJ data'!$A$2:$R$99,3,0))</f>
        <v>0</v>
      </c>
      <c r="J74" s="184">
        <f>IF(ISERR(VLOOKUP(VALUE(J$44),'SJ data'!$A$2:$R$99,3,0)="TRUE"),0,VLOOKUP(VALUE(J$44),'SJ data'!$A$2:$R$99,3,0))</f>
        <v>162.94999999999999</v>
      </c>
      <c r="K74" s="184">
        <f>IF(ISERR(VLOOKUP(VALUE(K$44),'SJ data'!$A$2:$R$99,3,0)="TRUE"),0,VLOOKUP(VALUE(K$44),'SJ data'!$A$2:$R$99,3,0))</f>
        <v>0</v>
      </c>
      <c r="L74" s="184">
        <f>IF(ISERR(VLOOKUP(VALUE(L$44),'SJ data'!$A$2:$R$99,3,0)="TRUE"),0,VLOOKUP(VALUE(L$44),'SJ data'!$A$2:$R$99,3,0))</f>
        <v>0</v>
      </c>
      <c r="M74" s="184">
        <f>IF(ISERR(VLOOKUP(VALUE(M$44),'SJ data'!$A$2:$R$99,3,0)="TRUE"),0,VLOOKUP(VALUE(M$44),'SJ data'!$A$2:$R$99,3,0))</f>
        <v>0</v>
      </c>
      <c r="N74" s="184">
        <f>IF(ISERR(VLOOKUP(VALUE(N$44),'SJ data'!$A$2:$R$99,3,0)="TRUE"),0,VLOOKUP(VALUE(N$44),'SJ data'!$A$2:$R$99,3,0))</f>
        <v>0</v>
      </c>
      <c r="O74" s="184">
        <f>IF(ISERR(VLOOKUP(VALUE(O$44),'SJ data'!$A$2:$R$99,3,0)="TRUE"),0,VLOOKUP(VALUE(O$44),'SJ data'!$A$2:$R$99,3,0))</f>
        <v>11117689.470000001</v>
      </c>
      <c r="P74" s="184">
        <f>IF(ISERR(VLOOKUP(VALUE(P$44),'SJ data'!$A$2:$R$99,3,0)="TRUE"),0,VLOOKUP(VALUE(P$44),'SJ data'!$A$2:$R$99,3,0))</f>
        <v>427480466.15999991</v>
      </c>
      <c r="Q74" s="184">
        <f>IF(ISERR(VLOOKUP(VALUE(Q$44),'SJ data'!$A$2:$R$99,3,0)="TRUE"),0,VLOOKUP(VALUE(Q$44),'SJ data'!$A$2:$R$99,3,0))</f>
        <v>12600331.810000001</v>
      </c>
      <c r="R74" s="184">
        <f>IF(ISERR(VLOOKUP(VALUE(R$44),'SJ data'!$A$2:$R$99,3,0)="TRUE"),0,VLOOKUP(VALUE(R$44),'SJ data'!$A$2:$R$99,3,0))</f>
        <v>0</v>
      </c>
      <c r="S74" s="184">
        <f>IF(ISERR(VLOOKUP(VALUE(S$44),'SJ data'!$A$2:$R$99,3,0)="TRUE"),0,VLOOKUP(VALUE(S$44),'SJ data'!$A$2:$R$99,3,0))</f>
        <v>0</v>
      </c>
      <c r="T74" s="184">
        <f>IF(ISERR(VLOOKUP(VALUE(T$44),'SJ data'!$A$2:$R$99,3,0)="TRUE"),0,VLOOKUP(VALUE(T$44),'SJ data'!$A$2:$R$99,3,0))</f>
        <v>1055945.1200000001</v>
      </c>
      <c r="U74" s="184">
        <f>IF(ISERR(VLOOKUP(VALUE(U$44),'SJ data'!$A$2:$R$99,3,0)="TRUE"),0,VLOOKUP(VALUE(U$44),'SJ data'!$A$2:$R$99,3,0))</f>
        <v>39765352.859999999</v>
      </c>
      <c r="V74" s="184">
        <f>IF(ISERR(VLOOKUP(VALUE(V$44),'SJ data'!$A$2:$R$99,3,0)="TRUE"),0,VLOOKUP(VALUE(V$44),'SJ data'!$A$2:$R$99,3,0))</f>
        <v>101921137.84999999</v>
      </c>
      <c r="W74" s="184">
        <f>IF(ISERR(VLOOKUP(VALUE(W$44),'SJ data'!$A$2:$R$99,3,0)="TRUE"),0,VLOOKUP(VALUE(W$44),'SJ data'!$A$2:$R$99,3,0))</f>
        <v>25285966.109999999</v>
      </c>
      <c r="X74" s="184">
        <f>IF(ISERR(VLOOKUP(VALUE(X$44),'SJ data'!$A$2:$R$99,3,0)="TRUE"),0,VLOOKUP(VALUE(X$44),'SJ data'!$A$2:$R$99,3,0))</f>
        <v>76235782.590000004</v>
      </c>
      <c r="Y74" s="184">
        <f>IF(ISERR(VLOOKUP(VALUE(Y$44),'SJ data'!$A$2:$R$99,3,0)="TRUE"),0,VLOOKUP(VALUE(Y$44),'SJ data'!$A$2:$R$99,3,0))</f>
        <v>44158907.980000004</v>
      </c>
      <c r="Z74" s="184">
        <f>IF(ISERR(VLOOKUP(VALUE(Z$44),'SJ data'!$A$2:$R$99,3,0)="TRUE"),0,VLOOKUP(VALUE(Z$44),'SJ data'!$A$2:$R$99,3,0))</f>
        <v>0</v>
      </c>
      <c r="AA74" s="184">
        <f>IF(ISERR(VLOOKUP(VALUE(AA$44),'SJ data'!$A$2:$R$99,3,0)="TRUE"),0,VLOOKUP(VALUE(AA$44),'SJ data'!$A$2:$R$99,3,0))</f>
        <v>20132724.559999999</v>
      </c>
      <c r="AB74" s="184">
        <f>IF(ISERR(VLOOKUP(VALUE(AB$44),'SJ data'!$A$2:$R$99,3,0)="TRUE"),0,VLOOKUP(VALUE(AB$44),'SJ data'!$A$2:$R$99,3,0))</f>
        <v>115633865.75999999</v>
      </c>
      <c r="AC74" s="184">
        <f>IF(ISERR(VLOOKUP(VALUE(AC$44),'SJ data'!$A$2:$R$99,3,0)="TRUE"),0,VLOOKUP(VALUE(AC$44),'SJ data'!$A$2:$R$99,3,0))</f>
        <v>7612863.6500000004</v>
      </c>
      <c r="AD74" s="184">
        <f>IF(ISERR(VLOOKUP(VALUE(AD$44),'SJ data'!$A$2:$R$99,3,0)="TRUE"),0,VLOOKUP(VALUE(AD$44),'SJ data'!$A$2:$R$99,3,0))</f>
        <v>558610.55000000005</v>
      </c>
      <c r="AE74" s="184">
        <f>IF(ISERR(VLOOKUP(VALUE(AE$44),'SJ data'!$A$2:$R$99,3,0)="TRUE"),0,VLOOKUP(VALUE(AE$44),'SJ data'!$A$2:$R$99,3,0))</f>
        <v>15899091.610000005</v>
      </c>
      <c r="AF74" s="184">
        <f>IF(ISERR(VLOOKUP(VALUE(AF$44),'SJ data'!$A$2:$R$99,3,0)="TRUE"),0,VLOOKUP(VALUE(AF$44),'SJ data'!$A$2:$R$99,3,0))</f>
        <v>0</v>
      </c>
      <c r="AG74" s="184">
        <f>IF(ISERR(VLOOKUP(VALUE(AG$44),'SJ data'!$A$2:$R$99,3,0)="TRUE"),0,VLOOKUP(VALUE(AG$44),'SJ data'!$A$2:$R$99,3,0))</f>
        <v>114966426.55</v>
      </c>
      <c r="AH74" s="184">
        <f>IF(ISERR(VLOOKUP(VALUE(AH$44),'SJ data'!$A$2:$R$99,3,0)="TRUE"),0,VLOOKUP(VALUE(AH$44),'SJ data'!$A$2:$R$99,3,0))</f>
        <v>0</v>
      </c>
      <c r="AI74" s="184">
        <f>IF(ISERR(VLOOKUP(VALUE(AI$44),'SJ data'!$A$2:$R$99,3,0)="TRUE"),0,VLOOKUP(VALUE(AI$44),'SJ data'!$A$2:$R$99,3,0))</f>
        <v>0</v>
      </c>
      <c r="AJ74" s="184">
        <f>IF(ISERR(VLOOKUP(VALUE(AJ$44),'SJ data'!$A$2:$R$99,3,0)="TRUE"),0,VLOOKUP(VALUE(AJ$44),'SJ data'!$A$2:$R$99,3,0))</f>
        <v>243416609.19999999</v>
      </c>
      <c r="AK74" s="184">
        <f>IF(ISERR(VLOOKUP(VALUE(AK$44),'SJ data'!$A$2:$R$99,3,0)="TRUE"),0,VLOOKUP(VALUE(AK$44),'SJ data'!$A$2:$R$99,3,0))</f>
        <v>4198949.21</v>
      </c>
      <c r="AL74" s="184">
        <f>IF(ISERR(VLOOKUP(VALUE(AL$44),'SJ data'!$A$2:$R$99,3,0)="TRUE"),0,VLOOKUP(VALUE(AL$44),'SJ data'!$A$2:$R$99,3,0))</f>
        <v>660789.37000000011</v>
      </c>
      <c r="AM74" s="184">
        <f>IF(ISERR(VLOOKUP(VALUE(AM$44),'SJ data'!$A$2:$R$99,3,0)="TRUE"),0,VLOOKUP(VALUE(AM$44),'SJ data'!$A$2:$R$99,3,0))</f>
        <v>0</v>
      </c>
      <c r="AN74" s="184">
        <f>IF(ISERR(VLOOKUP(VALUE(AN$44),'SJ data'!$A$2:$R$99,3,0)="TRUE"),0,VLOOKUP(VALUE(AN$44),'SJ data'!$A$2:$R$99,3,0))</f>
        <v>0</v>
      </c>
      <c r="AO74" s="184">
        <f>IF(ISERR(VLOOKUP(VALUE(AO$44),'SJ data'!$A$2:$R$99,3,0)="TRUE"),0,VLOOKUP(VALUE(AO$44),'SJ data'!$A$2:$R$99,3,0))</f>
        <v>0</v>
      </c>
      <c r="AP74" s="184">
        <f>IF(ISERR(VLOOKUP(VALUE(AP$44),'SJ data'!$A$2:$R$99,3,0)="TRUE"),0,VLOOKUP(VALUE(AP$44),'SJ data'!$A$2:$R$99,3,0))</f>
        <v>153419.63999999998</v>
      </c>
      <c r="AQ74" s="184">
        <f>IF(ISERR(VLOOKUP(VALUE(AQ$44),'SJ data'!$A$2:$R$99,3,0)="TRUE"),0,VLOOKUP(VALUE(AQ$44),'SJ data'!$A$2:$R$99,3,0))</f>
        <v>0</v>
      </c>
      <c r="AR74" s="184">
        <f>IF(ISERR(VLOOKUP(VALUE(AR$44),'SJ data'!$A$2:$R$99,3,0)="TRUE"),0,VLOOKUP(VALUE(AR$44),'SJ data'!$A$2:$R$99,3,0))</f>
        <v>66533631.49000001</v>
      </c>
      <c r="AS74" s="184">
        <f>IF(ISERR(VLOOKUP(VALUE(AS$44),'SJ data'!$A$2:$R$99,3,0)="TRUE"),0,VLOOKUP(VALUE(AS$44),'SJ data'!$A$2:$R$99,3,0))</f>
        <v>0</v>
      </c>
      <c r="AT74" s="184">
        <f>IF(ISERR(VLOOKUP(VALUE(AT$44),'SJ data'!$A$2:$R$99,3,0)="TRUE"),0,VLOOKUP(VALUE(AT$44),'SJ data'!$A$2:$R$99,3,0))</f>
        <v>0</v>
      </c>
      <c r="AU74" s="184">
        <f>IF(ISERR(VLOOKUP(VALUE(AU$44),'SJ data'!$A$2:$R$99,3,0)="TRUE"),0,VLOOKUP(VALUE(AU$44),'SJ data'!$A$2:$R$99,3,0))</f>
        <v>0</v>
      </c>
      <c r="AV74" s="184">
        <f>IF(ISERR(VLOOKUP(VALUE(AV$44),'SJ data'!$A$2:$R$99,3,0)="TRUE"),0,VLOOKUP(VALUE(AV$44),'SJ data'!$A$2:$R$99,3,0))+'SJ data'!C30</f>
        <v>1199505.24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1361613496.9999998</v>
      </c>
      <c r="CF74" s="250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120159975.00999999</v>
      </c>
      <c r="D75" s="195">
        <f t="shared" si="9"/>
        <v>0</v>
      </c>
      <c r="E75" s="195">
        <f t="shared" si="9"/>
        <v>312846778.82999992</v>
      </c>
      <c r="F75" s="195">
        <f t="shared" si="9"/>
        <v>0</v>
      </c>
      <c r="G75" s="195">
        <f t="shared" si="9"/>
        <v>0</v>
      </c>
      <c r="H75" s="195">
        <f t="shared" si="9"/>
        <v>2500</v>
      </c>
      <c r="I75" s="195">
        <f t="shared" si="9"/>
        <v>0</v>
      </c>
      <c r="J75" s="195">
        <f t="shared" si="9"/>
        <v>54372553.43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151033713.45000005</v>
      </c>
      <c r="P75" s="195">
        <f t="shared" si="9"/>
        <v>936317771.48999977</v>
      </c>
      <c r="Q75" s="195">
        <f t="shared" si="9"/>
        <v>27081977.659999996</v>
      </c>
      <c r="R75" s="195">
        <f t="shared" si="9"/>
        <v>0</v>
      </c>
      <c r="S75" s="195">
        <f t="shared" si="9"/>
        <v>0</v>
      </c>
      <c r="T75" s="195">
        <f t="shared" si="9"/>
        <v>16152814.490000002</v>
      </c>
      <c r="U75" s="195">
        <f t="shared" si="9"/>
        <v>150150490.47</v>
      </c>
      <c r="V75" s="195">
        <f t="shared" si="9"/>
        <v>165390907.91</v>
      </c>
      <c r="W75" s="195">
        <f t="shared" si="9"/>
        <v>41924906.549999997</v>
      </c>
      <c r="X75" s="195">
        <f t="shared" si="9"/>
        <v>150005246.44</v>
      </c>
      <c r="Y75" s="195">
        <f t="shared" si="9"/>
        <v>103136783.62</v>
      </c>
      <c r="Z75" s="195">
        <f t="shared" si="9"/>
        <v>0</v>
      </c>
      <c r="AA75" s="195">
        <f t="shared" si="9"/>
        <v>23794369.419999998</v>
      </c>
      <c r="AB75" s="195">
        <f t="shared" si="9"/>
        <v>399678166.43000001</v>
      </c>
      <c r="AC75" s="195">
        <f t="shared" si="9"/>
        <v>68703018.670000002</v>
      </c>
      <c r="AD75" s="195">
        <f t="shared" si="9"/>
        <v>10037577.960000001</v>
      </c>
      <c r="AE75" s="195">
        <f t="shared" si="9"/>
        <v>25375680.850000001</v>
      </c>
      <c r="AF75" s="195">
        <f t="shared" si="9"/>
        <v>0</v>
      </c>
      <c r="AG75" s="195">
        <f t="shared" si="9"/>
        <v>172595678.91</v>
      </c>
      <c r="AH75" s="195">
        <f t="shared" si="9"/>
        <v>0</v>
      </c>
      <c r="AI75" s="195">
        <f t="shared" si="9"/>
        <v>0</v>
      </c>
      <c r="AJ75" s="195">
        <f t="shared" si="9"/>
        <v>243501575.48999998</v>
      </c>
      <c r="AK75" s="195">
        <f t="shared" si="9"/>
        <v>12414300.73</v>
      </c>
      <c r="AL75" s="195">
        <f t="shared" si="9"/>
        <v>3251704.0300000003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153419.63999999998</v>
      </c>
      <c r="AQ75" s="195">
        <f t="shared" si="9"/>
        <v>0</v>
      </c>
      <c r="AR75" s="195">
        <f t="shared" si="9"/>
        <v>66533631.49000001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2186260.66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3256801803.6299992</v>
      </c>
      <c r="CF75" s="250"/>
    </row>
    <row r="76" spans="1:84" ht="12.6" customHeight="1" x14ac:dyDescent="0.2">
      <c r="A76" s="171" t="s">
        <v>248</v>
      </c>
      <c r="B76" s="175"/>
      <c r="C76" s="184">
        <v>20827</v>
      </c>
      <c r="D76" s="184">
        <v>0</v>
      </c>
      <c r="E76" s="184">
        <v>104971.58749999999</v>
      </c>
      <c r="F76" s="184">
        <v>0</v>
      </c>
      <c r="G76" s="184">
        <v>0</v>
      </c>
      <c r="H76" s="184">
        <v>2001</v>
      </c>
      <c r="I76" s="184">
        <v>0</v>
      </c>
      <c r="J76" s="184">
        <v>2522</v>
      </c>
      <c r="K76" s="184">
        <v>0</v>
      </c>
      <c r="L76" s="184">
        <v>0</v>
      </c>
      <c r="M76" s="184">
        <v>0</v>
      </c>
      <c r="N76" s="184">
        <v>0</v>
      </c>
      <c r="O76" s="184">
        <v>17618.916666666668</v>
      </c>
      <c r="P76" s="184">
        <v>89564</v>
      </c>
      <c r="Q76" s="184">
        <v>2369</v>
      </c>
      <c r="R76" s="184">
        <v>0</v>
      </c>
      <c r="S76" s="184">
        <v>17441</v>
      </c>
      <c r="T76" s="184">
        <v>0</v>
      </c>
      <c r="U76" s="184">
        <v>16657</v>
      </c>
      <c r="V76" s="184">
        <v>3310</v>
      </c>
      <c r="W76" s="184">
        <v>0</v>
      </c>
      <c r="X76" s="184">
        <v>0</v>
      </c>
      <c r="Y76" s="184">
        <v>46104</v>
      </c>
      <c r="Z76" s="184">
        <v>0</v>
      </c>
      <c r="AA76" s="184">
        <v>0</v>
      </c>
      <c r="AB76" s="184">
        <v>16636</v>
      </c>
      <c r="AC76" s="184">
        <v>981</v>
      </c>
      <c r="AD76" s="184">
        <v>16507</v>
      </c>
      <c r="AE76" s="184">
        <v>11376</v>
      </c>
      <c r="AF76" s="184">
        <v>0</v>
      </c>
      <c r="AG76" s="184">
        <v>20182</v>
      </c>
      <c r="AH76" s="184">
        <v>0</v>
      </c>
      <c r="AI76" s="184">
        <v>0</v>
      </c>
      <c r="AJ76" s="184">
        <v>22003</v>
      </c>
      <c r="AK76" s="184">
        <v>5815</v>
      </c>
      <c r="AL76" s="184">
        <v>4171</v>
      </c>
      <c r="AM76" s="184"/>
      <c r="AN76" s="184">
        <v>0</v>
      </c>
      <c r="AO76" s="184">
        <v>0</v>
      </c>
      <c r="AP76" s="184">
        <v>1797</v>
      </c>
      <c r="AQ76" s="184">
        <v>0</v>
      </c>
      <c r="AR76" s="184">
        <v>44604</v>
      </c>
      <c r="AS76" s="184">
        <v>0</v>
      </c>
      <c r="AT76" s="184">
        <v>0</v>
      </c>
      <c r="AU76" s="184">
        <v>0</v>
      </c>
      <c r="AV76" s="184">
        <v>1394</v>
      </c>
      <c r="AW76" s="184">
        <v>0</v>
      </c>
      <c r="AX76" s="184">
        <v>0</v>
      </c>
      <c r="AY76" s="184">
        <v>0</v>
      </c>
      <c r="AZ76" s="184">
        <f>3497.41+15541</f>
        <v>19038.41</v>
      </c>
      <c r="BA76" s="184">
        <v>4244</v>
      </c>
      <c r="BB76" s="184">
        <v>0</v>
      </c>
      <c r="BC76" s="184">
        <v>0</v>
      </c>
      <c r="BD76" s="184">
        <v>0</v>
      </c>
      <c r="BE76" s="184">
        <v>174493</v>
      </c>
      <c r="BF76" s="184">
        <v>2066</v>
      </c>
      <c r="BG76" s="184">
        <v>0</v>
      </c>
      <c r="BH76" s="184">
        <v>0</v>
      </c>
      <c r="BI76" s="184">
        <v>1333</v>
      </c>
      <c r="BJ76" s="184">
        <v>0</v>
      </c>
      <c r="BK76" s="184">
        <v>0</v>
      </c>
      <c r="BL76" s="184">
        <v>0</v>
      </c>
      <c r="BM76" s="184">
        <v>0</v>
      </c>
      <c r="BN76" s="184">
        <f>126525.96+487+2177+38964</f>
        <v>168153.96000000002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1535</v>
      </c>
      <c r="BU76" s="184">
        <v>0</v>
      </c>
      <c r="BV76" s="184">
        <v>9455</v>
      </c>
      <c r="BW76" s="184">
        <v>0</v>
      </c>
      <c r="BX76" s="184">
        <v>0</v>
      </c>
      <c r="BY76" s="184">
        <v>978</v>
      </c>
      <c r="BZ76" s="184">
        <v>0</v>
      </c>
      <c r="CA76" s="184">
        <v>0</v>
      </c>
      <c r="CB76" s="184">
        <v>0</v>
      </c>
      <c r="CC76" s="184">
        <v>0</v>
      </c>
      <c r="CD76" s="247" t="s">
        <v>221</v>
      </c>
      <c r="CE76" s="195">
        <f t="shared" si="8"/>
        <v>850147.87416666653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71410</v>
      </c>
      <c r="D77" s="184"/>
      <c r="E77" s="184">
        <f>170681+48069</f>
        <v>218750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2249</v>
      </c>
      <c r="Q77" s="184"/>
      <c r="R77" s="184"/>
      <c r="S77" s="184"/>
      <c r="T77" s="184">
        <v>22502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7046</v>
      </c>
      <c r="AH77" s="184">
        <v>0</v>
      </c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>
        <v>21495</v>
      </c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343452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8692.8921721879487</v>
      </c>
      <c r="D78" s="184">
        <v>0</v>
      </c>
      <c r="E78" s="184">
        <v>43813.640528203403</v>
      </c>
      <c r="F78" s="184">
        <v>0</v>
      </c>
      <c r="G78" s="184">
        <v>0</v>
      </c>
      <c r="H78" s="184">
        <v>835.1888047509525</v>
      </c>
      <c r="I78" s="184">
        <v>0</v>
      </c>
      <c r="J78" s="184">
        <v>1052.6467594112455</v>
      </c>
      <c r="K78" s="184">
        <v>0</v>
      </c>
      <c r="L78" s="184">
        <v>0</v>
      </c>
      <c r="M78" s="184">
        <v>0</v>
      </c>
      <c r="N78" s="184">
        <v>0</v>
      </c>
      <c r="O78" s="184">
        <v>7353.8840339030321</v>
      </c>
      <c r="P78" s="184">
        <v>37382.733687513399</v>
      </c>
      <c r="Q78" s="184">
        <v>988.78674585457588</v>
      </c>
      <c r="R78" s="184">
        <v>0</v>
      </c>
      <c r="S78" s="184">
        <v>7279.6241597508051</v>
      </c>
      <c r="T78" s="184">
        <v>0</v>
      </c>
      <c r="U78" s="184">
        <v>6952.3937634865633</v>
      </c>
      <c r="V78" s="184">
        <v>1381.5466985135695</v>
      </c>
      <c r="W78" s="184">
        <v>0</v>
      </c>
      <c r="X78" s="184">
        <v>0</v>
      </c>
      <c r="Y78" s="184">
        <v>19243.150751743084</v>
      </c>
      <c r="Z78" s="184">
        <v>0</v>
      </c>
      <c r="AA78" s="184">
        <v>0</v>
      </c>
      <c r="AB78" s="184">
        <v>6943.628663586629</v>
      </c>
      <c r="AC78" s="184">
        <v>409.45538103982227</v>
      </c>
      <c r="AD78" s="184">
        <v>6889.7859070584564</v>
      </c>
      <c r="AE78" s="184">
        <v>4748.1798315076639</v>
      </c>
      <c r="AF78" s="184">
        <v>0</v>
      </c>
      <c r="AG78" s="184">
        <v>8423.6783895470871</v>
      </c>
      <c r="AH78" s="184">
        <v>0</v>
      </c>
      <c r="AI78" s="184">
        <v>0</v>
      </c>
      <c r="AJ78" s="184">
        <v>9183.7377665843105</v>
      </c>
      <c r="AK78" s="184">
        <v>2427.0979008629624</v>
      </c>
      <c r="AL78" s="184">
        <v>1740.9157944109058</v>
      </c>
      <c r="AM78" s="184">
        <v>0</v>
      </c>
      <c r="AN78" s="184">
        <v>0</v>
      </c>
      <c r="AO78" s="184">
        <v>0</v>
      </c>
      <c r="AP78" s="184">
        <v>750.04212000872633</v>
      </c>
      <c r="AQ78" s="184">
        <v>0</v>
      </c>
      <c r="AR78" s="184">
        <v>18617.07218746201</v>
      </c>
      <c r="AS78" s="184">
        <v>0</v>
      </c>
      <c r="AT78" s="184">
        <v>0</v>
      </c>
      <c r="AU78" s="184">
        <v>0</v>
      </c>
      <c r="AV78" s="184">
        <v>581.83567907187785</v>
      </c>
      <c r="AW78" s="184">
        <v>0</v>
      </c>
      <c r="AX78" s="247" t="s">
        <v>221</v>
      </c>
      <c r="AY78" s="247" t="s">
        <v>221</v>
      </c>
      <c r="AZ78" s="247" t="s">
        <v>221</v>
      </c>
      <c r="BA78" s="184">
        <v>1771.3849512059182</v>
      </c>
      <c r="BB78" s="184">
        <v>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0</v>
      </c>
      <c r="BI78" s="184">
        <v>556.37515079111427</v>
      </c>
      <c r="BJ78" s="247" t="s">
        <v>221</v>
      </c>
      <c r="BK78" s="184">
        <v>0</v>
      </c>
      <c r="BL78" s="184">
        <v>0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0</v>
      </c>
      <c r="BT78" s="184">
        <v>640.68706411429889</v>
      </c>
      <c r="BU78" s="184">
        <v>0</v>
      </c>
      <c r="BV78" s="184">
        <v>3946.3818835183683</v>
      </c>
      <c r="BW78" s="184">
        <v>0</v>
      </c>
      <c r="BX78" s="184">
        <v>0</v>
      </c>
      <c r="BY78" s="184">
        <v>408.20322391126012</v>
      </c>
      <c r="BZ78" s="184">
        <v>0</v>
      </c>
      <c r="CA78" s="184">
        <v>0</v>
      </c>
      <c r="CB78" s="184">
        <v>0</v>
      </c>
      <c r="CC78" s="247" t="s">
        <v>221</v>
      </c>
      <c r="CD78" s="247" t="s">
        <v>221</v>
      </c>
      <c r="CE78" s="195">
        <f t="shared" si="8"/>
        <v>203014.94999999998</v>
      </c>
      <c r="CF78" s="195"/>
    </row>
    <row r="79" spans="1:84" ht="12.6" customHeight="1" x14ac:dyDescent="0.2">
      <c r="A79" s="171" t="s">
        <v>251</v>
      </c>
      <c r="B79" s="175"/>
      <c r="C79" s="223">
        <v>345707.79000000004</v>
      </c>
      <c r="D79" s="223"/>
      <c r="E79" s="184">
        <f>9160.82+714994.82</f>
        <v>724155.6399999999</v>
      </c>
      <c r="F79" s="184"/>
      <c r="G79" s="184"/>
      <c r="H79" s="184">
        <v>1055.27</v>
      </c>
      <c r="I79" s="184"/>
      <c r="J79" s="184"/>
      <c r="K79" s="184"/>
      <c r="L79" s="184"/>
      <c r="M79" s="184"/>
      <c r="N79" s="184"/>
      <c r="O79" s="184">
        <v>290596.8</v>
      </c>
      <c r="P79" s="184">
        <v>656624.01000000013</v>
      </c>
      <c r="Q79" s="184">
        <v>55426.79</v>
      </c>
      <c r="R79" s="184"/>
      <c r="S79" s="184">
        <v>13732.35</v>
      </c>
      <c r="T79" s="184"/>
      <c r="U79" s="184">
        <v>6961.1100000000006</v>
      </c>
      <c r="V79" s="184"/>
      <c r="W79" s="184"/>
      <c r="X79" s="184"/>
      <c r="Y79" s="184">
        <v>105883.28</v>
      </c>
      <c r="Z79" s="184"/>
      <c r="AA79" s="184">
        <v>11443.61</v>
      </c>
      <c r="AB79" s="184"/>
      <c r="AC79" s="184"/>
      <c r="AD79" s="184">
        <v>18301.559999999998</v>
      </c>
      <c r="AE79" s="184"/>
      <c r="AF79" s="184"/>
      <c r="AG79" s="184">
        <v>232849.2</v>
      </c>
      <c r="AH79" s="184"/>
      <c r="AI79" s="184"/>
      <c r="AJ79" s="184">
        <v>21130.79</v>
      </c>
      <c r="AK79" s="184">
        <v>21994.06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11069.55</v>
      </c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2516931.8100000005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127.74430555555557</v>
      </c>
      <c r="D80" s="187">
        <v>0</v>
      </c>
      <c r="E80" s="187">
        <v>325.9204310344827</v>
      </c>
      <c r="F80" s="187">
        <v>0</v>
      </c>
      <c r="G80" s="187">
        <v>0</v>
      </c>
      <c r="H80" s="187">
        <v>0</v>
      </c>
      <c r="I80" s="187">
        <v>0</v>
      </c>
      <c r="J80" s="187">
        <v>34.008108237547887</v>
      </c>
      <c r="K80" s="187">
        <v>0</v>
      </c>
      <c r="L80" s="187">
        <v>0</v>
      </c>
      <c r="M80" s="187">
        <v>0</v>
      </c>
      <c r="N80" s="187">
        <v>0</v>
      </c>
      <c r="O80" s="187">
        <v>85.407466475095788</v>
      </c>
      <c r="P80" s="187">
        <v>92.592643678160925</v>
      </c>
      <c r="Q80" s="187">
        <v>13.131843869731801</v>
      </c>
      <c r="R80" s="187">
        <v>0</v>
      </c>
      <c r="S80" s="187">
        <v>0</v>
      </c>
      <c r="T80" s="187">
        <v>11.417318007662836</v>
      </c>
      <c r="U80" s="187">
        <v>4.7244204980842914</v>
      </c>
      <c r="V80" s="187">
        <v>6.0359003831417626</v>
      </c>
      <c r="W80" s="187">
        <v>3.5919540229885057E-3</v>
      </c>
      <c r="X80" s="187">
        <v>0</v>
      </c>
      <c r="Y80" s="187">
        <v>5.4059099616858246</v>
      </c>
      <c r="Z80" s="187">
        <v>0</v>
      </c>
      <c r="AA80" s="187">
        <v>0</v>
      </c>
      <c r="AB80" s="187">
        <v>2.4217193486590038</v>
      </c>
      <c r="AC80" s="187">
        <v>0</v>
      </c>
      <c r="AD80" s="187">
        <v>1.1973180076628352E-4</v>
      </c>
      <c r="AE80" s="187">
        <v>0</v>
      </c>
      <c r="AF80" s="187">
        <v>0</v>
      </c>
      <c r="AG80" s="187">
        <v>47.694329501915711</v>
      </c>
      <c r="AH80" s="187">
        <v>0</v>
      </c>
      <c r="AI80" s="187">
        <v>0</v>
      </c>
      <c r="AJ80" s="187">
        <v>154.62977444370759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99.757179118773948</v>
      </c>
      <c r="AS80" s="187">
        <v>0</v>
      </c>
      <c r="AT80" s="187">
        <v>0</v>
      </c>
      <c r="AU80" s="187">
        <v>0</v>
      </c>
      <c r="AV80" s="187">
        <v>14.027231800766284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1024.9222936007957</v>
      </c>
      <c r="CF80" s="253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0" t="s">
        <v>1265</v>
      </c>
      <c r="D82" s="254"/>
      <c r="E82" s="175"/>
    </row>
    <row r="83" spans="1:5" ht="12.6" customHeight="1" x14ac:dyDescent="0.2">
      <c r="A83" s="173" t="s">
        <v>255</v>
      </c>
      <c r="B83" s="172" t="s">
        <v>256</v>
      </c>
      <c r="C83" s="225" t="s">
        <v>1269</v>
      </c>
      <c r="D83" s="254"/>
      <c r="E83" s="175"/>
    </row>
    <row r="84" spans="1:5" ht="12.6" customHeight="1" x14ac:dyDescent="0.2">
      <c r="A84" s="173" t="s">
        <v>257</v>
      </c>
      <c r="B84" s="172" t="s">
        <v>256</v>
      </c>
      <c r="C84" s="228" t="s">
        <v>1270</v>
      </c>
      <c r="D84" s="205"/>
      <c r="E84" s="204"/>
    </row>
    <row r="85" spans="1:5" ht="12.6" customHeight="1" x14ac:dyDescent="0.2">
      <c r="A85" s="173" t="s">
        <v>1251</v>
      </c>
      <c r="B85" s="172"/>
      <c r="C85" s="269" t="s">
        <v>1271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29" t="s">
        <v>1271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8" t="s">
        <v>1272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8" t="s">
        <v>1273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8" t="s">
        <v>1274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8" t="s">
        <v>1275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8" t="s">
        <v>1306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4" t="s">
        <v>1277</v>
      </c>
      <c r="D92" s="254"/>
      <c r="E92" s="175"/>
    </row>
    <row r="93" spans="1:5" ht="12.6" customHeight="1" x14ac:dyDescent="0.2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5" t="s">
        <v>266</v>
      </c>
      <c r="B96" s="255"/>
      <c r="C96" s="255"/>
      <c r="D96" s="255"/>
      <c r="E96" s="255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5" t="s">
        <v>269</v>
      </c>
      <c r="B100" s="255"/>
      <c r="C100" s="255"/>
      <c r="D100" s="255"/>
      <c r="E100" s="255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1"/>
      <c r="D102" s="175"/>
      <c r="E102" s="175"/>
    </row>
    <row r="103" spans="1:5" ht="12.6" customHeight="1" x14ac:dyDescent="0.2">
      <c r="A103" s="255" t="s">
        <v>271</v>
      </c>
      <c r="B103" s="255"/>
      <c r="C103" s="255"/>
      <c r="D103" s="255"/>
      <c r="E103" s="255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18347</v>
      </c>
      <c r="D111" s="174">
        <v>98273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3510</v>
      </c>
      <c r="D114" s="174">
        <v>5196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48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214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23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351</v>
      </c>
    </row>
    <row r="128" spans="1:5" ht="12.6" customHeight="1" x14ac:dyDescent="0.2">
      <c r="A128" s="173" t="s">
        <v>292</v>
      </c>
      <c r="B128" s="172" t="s">
        <v>256</v>
      </c>
      <c r="C128" s="189">
        <v>374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35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7859</v>
      </c>
      <c r="C138" s="189">
        <v>4275</v>
      </c>
      <c r="D138" s="174">
        <v>6213</v>
      </c>
      <c r="E138" s="175">
        <f>SUM(B138:D138)</f>
        <v>18347</v>
      </c>
    </row>
    <row r="139" spans="1:6" ht="12.6" customHeight="1" x14ac:dyDescent="0.2">
      <c r="A139" s="173" t="s">
        <v>215</v>
      </c>
      <c r="B139" s="174">
        <v>51735</v>
      </c>
      <c r="C139" s="189">
        <v>24082</v>
      </c>
      <c r="D139" s="174">
        <v>22456</v>
      </c>
      <c r="E139" s="175">
        <f>SUM(B139:D139)</f>
        <v>98273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957059045.5</v>
      </c>
      <c r="C141" s="174">
        <v>380415012.08999997</v>
      </c>
      <c r="D141" s="174">
        <v>557714249.03999996</v>
      </c>
      <c r="E141" s="175">
        <f>SUM(B141:D141)</f>
        <v>1895188306.6299999</v>
      </c>
      <c r="F141" s="199"/>
    </row>
    <row r="142" spans="1:6" ht="12.6" customHeight="1" x14ac:dyDescent="0.2">
      <c r="A142" s="173" t="s">
        <v>246</v>
      </c>
      <c r="B142" s="174">
        <v>558580824.14999998</v>
      </c>
      <c r="C142" s="174">
        <v>254900419.60000002</v>
      </c>
      <c r="D142" s="174">
        <v>548132253.24999988</v>
      </c>
      <c r="E142" s="175">
        <f>SUM(B142:D142)</f>
        <v>1361613497</v>
      </c>
      <c r="F142" s="199"/>
    </row>
    <row r="143" spans="1:6" ht="12.6" customHeight="1" x14ac:dyDescent="0.2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5" t="s">
        <v>306</v>
      </c>
      <c r="B164" s="255"/>
      <c r="C164" s="255"/>
      <c r="D164" s="255"/>
      <c r="E164" s="255"/>
    </row>
    <row r="165" spans="1:5" ht="11.45" customHeight="1" x14ac:dyDescent="0.2">
      <c r="A165" s="173" t="s">
        <v>307</v>
      </c>
      <c r="B165" s="172" t="s">
        <v>256</v>
      </c>
      <c r="C165" s="189">
        <v>19752195.449999999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f>1782626.48+405437.96</f>
        <v>2188064.44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f>3088869.78+154576.38</f>
        <v>3243446.1599999997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f>28729125.96+6979369.6</f>
        <v>35708495.560000002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f>159713.09+416744.44</f>
        <v>576457.53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f>10282038.17+3658517.18</f>
        <v>13940555.35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1629514.62+159010.14+894763.32</f>
        <v>2683288.08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78092502.569999993</v>
      </c>
      <c r="E173" s="175"/>
    </row>
    <row r="174" spans="1:5" ht="11.45" customHeight="1" x14ac:dyDescent="0.2">
      <c r="A174" s="255" t="s">
        <v>314</v>
      </c>
      <c r="B174" s="255"/>
      <c r="C174" s="255"/>
      <c r="D174" s="255"/>
      <c r="E174" s="255"/>
    </row>
    <row r="175" spans="1:5" ht="11.45" customHeight="1" x14ac:dyDescent="0.2">
      <c r="A175" s="173" t="s">
        <v>315</v>
      </c>
      <c r="B175" s="172" t="s">
        <v>256</v>
      </c>
      <c r="C175" s="189">
        <v>12667597.07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5211580.9099999992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17879177.98</v>
      </c>
      <c r="E177" s="175"/>
    </row>
    <row r="178" spans="1:5" ht="11.45" customHeight="1" x14ac:dyDescent="0.2">
      <c r="A178" s="255" t="s">
        <v>317</v>
      </c>
      <c r="B178" s="255"/>
      <c r="C178" s="255"/>
      <c r="D178" s="255"/>
      <c r="E178" s="255"/>
    </row>
    <row r="179" spans="1:5" ht="11.45" customHeight="1" x14ac:dyDescent="0.2">
      <c r="A179" s="173" t="s">
        <v>318</v>
      </c>
      <c r="B179" s="172" t="s">
        <v>256</v>
      </c>
      <c r="C179" s="189">
        <v>6219464.3099999996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779575.24-588104.38</f>
        <v>191470.86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6410935.1699999999</v>
      </c>
      <c r="E181" s="175"/>
    </row>
    <row r="182" spans="1:5" ht="11.45" customHeight="1" x14ac:dyDescent="0.2">
      <c r="A182" s="255" t="s">
        <v>320</v>
      </c>
      <c r="B182" s="255"/>
      <c r="C182" s="255"/>
      <c r="D182" s="255"/>
      <c r="E182" s="255"/>
    </row>
    <row r="183" spans="1:5" ht="11.45" customHeight="1" x14ac:dyDescent="0.2">
      <c r="A183" s="173" t="s">
        <v>321</v>
      </c>
      <c r="B183" s="172" t="s">
        <v>256</v>
      </c>
      <c r="C183" s="189">
        <v>458531.68999999994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29277008.789999999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29735540.48</v>
      </c>
      <c r="E186" s="175"/>
    </row>
    <row r="187" spans="1:5" ht="11.45" customHeight="1" x14ac:dyDescent="0.2">
      <c r="A187" s="255" t="s">
        <v>323</v>
      </c>
      <c r="B187" s="255"/>
      <c r="C187" s="255"/>
      <c r="D187" s="255"/>
      <c r="E187" s="255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87668.11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87668.11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7877314.96</v>
      </c>
      <c r="C195" s="189"/>
      <c r="D195" s="174"/>
      <c r="E195" s="175">
        <f t="shared" ref="E195:E203" si="10">SUM(B195:C195)-D195</f>
        <v>7877314.96</v>
      </c>
    </row>
    <row r="196" spans="1:8" ht="12.6" customHeight="1" x14ac:dyDescent="0.2">
      <c r="A196" s="173" t="s">
        <v>333</v>
      </c>
      <c r="B196" s="174">
        <v>4412190.25</v>
      </c>
      <c r="C196" s="189"/>
      <c r="D196" s="174"/>
      <c r="E196" s="175">
        <f t="shared" si="10"/>
        <v>4412190.25</v>
      </c>
    </row>
    <row r="197" spans="1:8" ht="12.6" customHeight="1" x14ac:dyDescent="0.2">
      <c r="A197" s="173" t="s">
        <v>334</v>
      </c>
      <c r="B197" s="174">
        <f>122860258.49+59267641.75+777747.84</f>
        <v>182905648.08000001</v>
      </c>
      <c r="C197" s="189">
        <f>3920428.76+74531.3201025884</f>
        <v>3994960.0801025881</v>
      </c>
      <c r="D197" s="174"/>
      <c r="E197" s="175">
        <f t="shared" si="10"/>
        <v>186900608.16010261</v>
      </c>
    </row>
    <row r="198" spans="1:8" ht="12.6" customHeight="1" x14ac:dyDescent="0.2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f>81929504.53+555199.05</f>
        <v>82484703.579999998</v>
      </c>
      <c r="C199" s="189">
        <f>161584.46-69548.59+53204.54</f>
        <v>145240.41</v>
      </c>
      <c r="D199" s="174"/>
      <c r="E199" s="175">
        <f t="shared" si="10"/>
        <v>82629943.989999995</v>
      </c>
    </row>
    <row r="200" spans="1:8" ht="12.6" customHeight="1" x14ac:dyDescent="0.2">
      <c r="A200" s="173" t="s">
        <v>337</v>
      </c>
      <c r="B200" s="174">
        <f>262409103.47+26652654.2</f>
        <v>289061757.67000002</v>
      </c>
      <c r="C200" s="189">
        <f>593657.59+2554114.87+2371953.78-27396.4</f>
        <v>5492329.8399999999</v>
      </c>
      <c r="D200" s="174">
        <f>912104.57+1048465.03-8559912.93+6185672.3-2055006.49</f>
        <v>-2468677.5200000005</v>
      </c>
      <c r="E200" s="175">
        <f t="shared" si="10"/>
        <v>297022765.02999997</v>
      </c>
    </row>
    <row r="201" spans="1:8" ht="12.6" customHeight="1" x14ac:dyDescent="0.2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36075938.41+14409482.17</f>
        <v>50485420.579999998</v>
      </c>
      <c r="C202" s="189">
        <f>335382.68+2313912.73+1380855.83</f>
        <v>4030151.24</v>
      </c>
      <c r="D202" s="174">
        <v>925280.96</v>
      </c>
      <c r="E202" s="175">
        <f t="shared" si="10"/>
        <v>53590290.859999999</v>
      </c>
    </row>
    <row r="203" spans="1:8" ht="12.6" customHeight="1" x14ac:dyDescent="0.2">
      <c r="A203" s="173" t="s">
        <v>340</v>
      </c>
      <c r="B203" s="174">
        <f>6277654.16+388493.56+155122.68+58518.58</f>
        <v>6879788.9799999995</v>
      </c>
      <c r="C203" s="189">
        <f>2436699.84+768071.73+985328.83-56773.22+14865.36+5607.81</f>
        <v>4153800.3499999996</v>
      </c>
      <c r="D203" s="174"/>
      <c r="E203" s="175">
        <f t="shared" si="10"/>
        <v>11033589.329999998</v>
      </c>
    </row>
    <row r="204" spans="1:8" ht="12.6" customHeight="1" x14ac:dyDescent="0.2">
      <c r="A204" s="173" t="s">
        <v>203</v>
      </c>
      <c r="B204" s="175">
        <f>SUM(B195:B203)</f>
        <v>624106824.10000002</v>
      </c>
      <c r="C204" s="191">
        <f>SUM(C195:C203)</f>
        <v>17816481.920102589</v>
      </c>
      <c r="D204" s="175">
        <f>SUM(D195:D203)</f>
        <v>-1543396.5600000005</v>
      </c>
      <c r="E204" s="175">
        <f>SUM(E195:E203)</f>
        <v>643466702.58010268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">
      <c r="A209" s="173" t="s">
        <v>333</v>
      </c>
      <c r="B209" s="174">
        <v>3506388</v>
      </c>
      <c r="C209" s="189">
        <v>143722.04999999999</v>
      </c>
      <c r="D209" s="174"/>
      <c r="E209" s="175">
        <f t="shared" ref="E209:E216" si="11">SUM(B209:C209)-D209</f>
        <v>3650110.05</v>
      </c>
      <c r="H209" s="257"/>
    </row>
    <row r="210" spans="1:8" ht="12.6" customHeight="1" x14ac:dyDescent="0.2">
      <c r="A210" s="173" t="s">
        <v>334</v>
      </c>
      <c r="B210" s="174">
        <f>74018657.19+19150355.89+94375.75</f>
        <v>93263388.829999998</v>
      </c>
      <c r="C210" s="189">
        <f>2385252.32+4133254.91+85935.11</f>
        <v>6604442.3400000008</v>
      </c>
      <c r="D210" s="174">
        <f>-1784.55-9044</f>
        <v>-10828.55</v>
      </c>
      <c r="E210" s="175">
        <f t="shared" si="11"/>
        <v>99878659.719999999</v>
      </c>
      <c r="H210" s="257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7"/>
    </row>
    <row r="212" spans="1:8" ht="12.6" customHeight="1" x14ac:dyDescent="0.2">
      <c r="A212" s="173" t="s">
        <v>336</v>
      </c>
      <c r="B212" s="174">
        <f>64733615.93+343780.37</f>
        <v>65077396.299999997</v>
      </c>
      <c r="C212" s="189">
        <f>1948402.76-13517.05</f>
        <v>1934885.71</v>
      </c>
      <c r="D212" s="174">
        <f>-32944.36</f>
        <v>-32944.36</v>
      </c>
      <c r="E212" s="175">
        <f t="shared" si="11"/>
        <v>67045226.369999997</v>
      </c>
      <c r="H212" s="257"/>
    </row>
    <row r="213" spans="1:8" ht="12.6" customHeight="1" x14ac:dyDescent="0.2">
      <c r="A213" s="173" t="s">
        <v>337</v>
      </c>
      <c r="B213" s="174">
        <f>206954470.72+17125185.66</f>
        <v>224079656.38</v>
      </c>
      <c r="C213" s="189">
        <f>15740648.79+264000+2614596.53+1448300.06+265703.02-40489.07-4</f>
        <v>20292755.329999998</v>
      </c>
      <c r="D213" s="174">
        <f>577728.5+5628163.11+469791.47+7593.84-1641100.81-1318828.87-40489.07+4</f>
        <v>3682862.1699999995</v>
      </c>
      <c r="E213" s="175">
        <f t="shared" si="11"/>
        <v>240689549.53999999</v>
      </c>
      <c r="H213" s="257"/>
    </row>
    <row r="214" spans="1:8" ht="12.6" customHeight="1" x14ac:dyDescent="0.2">
      <c r="A214" s="173" t="s">
        <v>338</v>
      </c>
      <c r="B214" s="174"/>
      <c r="C214" s="189"/>
      <c r="D214" s="174"/>
      <c r="E214" s="175">
        <f t="shared" si="11"/>
        <v>0</v>
      </c>
      <c r="H214" s="257"/>
    </row>
    <row r="215" spans="1:8" ht="12.6" customHeight="1" x14ac:dyDescent="0.2">
      <c r="A215" s="173" t="s">
        <v>339</v>
      </c>
      <c r="B215" s="174">
        <f>13893715.57+7822025.29</f>
        <v>21715740.859999999</v>
      </c>
      <c r="C215" s="189">
        <f>2509536.38+1632530.19</f>
        <v>4142066.57</v>
      </c>
      <c r="D215" s="174">
        <f>-65019.56+408446.04-749582.07-8</f>
        <v>-406163.58999999997</v>
      </c>
      <c r="E215" s="175">
        <f t="shared" si="11"/>
        <v>26263971.02</v>
      </c>
      <c r="H215" s="257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7"/>
    </row>
    <row r="217" spans="1:8" ht="12.6" customHeight="1" x14ac:dyDescent="0.2">
      <c r="A217" s="173" t="s">
        <v>203</v>
      </c>
      <c r="B217" s="175">
        <f>SUM(B208:B216)</f>
        <v>407642570.37</v>
      </c>
      <c r="C217" s="191">
        <f>SUM(C208:C216)</f>
        <v>33117872</v>
      </c>
      <c r="D217" s="175">
        <f>SUM(D208:D216)</f>
        <v>3232925.6699999995</v>
      </c>
      <c r="E217" s="175">
        <f>SUM(E208:E216)</f>
        <v>437527516.69999993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344" t="s">
        <v>1255</v>
      </c>
      <c r="C220" s="344"/>
      <c r="D220" s="208"/>
      <c r="E220" s="208"/>
    </row>
    <row r="221" spans="1:8" ht="12.6" customHeight="1" x14ac:dyDescent="0.2">
      <c r="A221" s="270" t="s">
        <v>1255</v>
      </c>
      <c r="B221" s="208"/>
      <c r="C221" s="189">
        <v>-14546739.529999999</v>
      </c>
      <c r="D221" s="172">
        <f>C221</f>
        <v>-14546739.529999999</v>
      </c>
      <c r="E221" s="208"/>
    </row>
    <row r="222" spans="1:8" ht="12.6" customHeight="1" x14ac:dyDescent="0.2">
      <c r="A222" s="255" t="s">
        <v>343</v>
      </c>
      <c r="B222" s="255"/>
      <c r="C222" s="255"/>
      <c r="D222" s="255"/>
      <c r="E222" s="255"/>
    </row>
    <row r="223" spans="1:8" ht="12.6" customHeight="1" x14ac:dyDescent="0.2">
      <c r="A223" s="173" t="s">
        <v>344</v>
      </c>
      <c r="B223" s="172" t="s">
        <v>256</v>
      </c>
      <c r="C223" s="189">
        <f>806085482.62+382053440.48+617275+44002720.03+3804612.24+511384.11</f>
        <v>1237074914.4799998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f>326098693.84+191601518.04+3877622.66+28209264.92+1335838.96+537320.23</f>
        <v>551660258.6500001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f>59802745.61-426247.12+43948394.54+442824.09+6988320.99-390.58</f>
        <v>110755647.53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f>2456873272.38-C223-C224-C225-C226-C228-C238</f>
        <v>509529987.64000028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24626588.260000002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2433647396.5600004</v>
      </c>
      <c r="E229" s="175"/>
    </row>
    <row r="230" spans="1:5" ht="12.6" customHeight="1" x14ac:dyDescent="0.2">
      <c r="A230" s="255" t="s">
        <v>351</v>
      </c>
      <c r="B230" s="255"/>
      <c r="C230" s="255"/>
      <c r="D230" s="255"/>
      <c r="E230" s="255"/>
    </row>
    <row r="231" spans="1:5" ht="12.6" customHeight="1" x14ac:dyDescent="0.2">
      <c r="A231" s="171" t="s">
        <v>352</v>
      </c>
      <c r="B231" s="172" t="s">
        <v>256</v>
      </c>
      <c r="C231" s="189">
        <f>12453+2010+3675</f>
        <v>18138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26224729.02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39236666.799999997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65461395.819999993</v>
      </c>
      <c r="E236" s="175"/>
    </row>
    <row r="237" spans="1:5" ht="12.6" customHeight="1" x14ac:dyDescent="0.2">
      <c r="A237" s="255" t="s">
        <v>356</v>
      </c>
      <c r="B237" s="255"/>
      <c r="C237" s="255"/>
      <c r="D237" s="255"/>
      <c r="E237" s="255"/>
    </row>
    <row r="238" spans="1:5" ht="12.6" customHeight="1" x14ac:dyDescent="0.2">
      <c r="A238" s="173" t="s">
        <v>357</v>
      </c>
      <c r="B238" s="172" t="s">
        <v>256</v>
      </c>
      <c r="C238" s="189">
        <v>23225875.820000004</v>
      </c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23225875.820000004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2507787928.6700006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5" t="s">
        <v>361</v>
      </c>
      <c r="B249" s="255"/>
      <c r="C249" s="255"/>
      <c r="D249" s="255"/>
      <c r="E249" s="255"/>
    </row>
    <row r="250" spans="1:5" ht="12.4" customHeight="1" x14ac:dyDescent="0.2">
      <c r="A250" s="173" t="s">
        <v>362</v>
      </c>
      <c r="B250" s="172" t="s">
        <v>256</v>
      </c>
      <c r="C250" s="189">
        <v>138358032.7101922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466756593.0302428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358472834.37949997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42453121.167764612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17434088.546528045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1558283.0055777184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308087284.08080542</v>
      </c>
      <c r="E260" s="175"/>
    </row>
    <row r="261" spans="1:5" ht="11.25" customHeight="1" x14ac:dyDescent="0.2">
      <c r="A261" s="255" t="s">
        <v>372</v>
      </c>
      <c r="B261" s="255"/>
      <c r="C261" s="255"/>
      <c r="D261" s="255"/>
      <c r="E261" s="255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5" t="s">
        <v>375</v>
      </c>
      <c r="B266" s="255"/>
      <c r="C266" s="255"/>
      <c r="D266" s="255"/>
      <c r="E266" s="255"/>
    </row>
    <row r="267" spans="1:5" ht="12.4" customHeight="1" x14ac:dyDescent="0.2">
      <c r="A267" s="173" t="s">
        <v>332</v>
      </c>
      <c r="B267" s="172" t="s">
        <v>256</v>
      </c>
      <c r="C267" s="189">
        <f t="shared" ref="C267:C272" si="12">E195</f>
        <v>7877314.96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f t="shared" si="12"/>
        <v>4412190.25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 t="shared" si="12"/>
        <v>186900608.16010261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>
        <f t="shared" si="12"/>
        <v>0</v>
      </c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f t="shared" si="12"/>
        <v>82629943.989999995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f t="shared" si="12"/>
        <v>297022765.02999997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f>E202</f>
        <v>53590290.859999999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f>E203</f>
        <v>11033589.329999998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643466702.58010268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E217</f>
        <v>437527516.69999993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205939185.88010275</v>
      </c>
      <c r="E277" s="175"/>
    </row>
    <row r="278" spans="1:5" ht="12.6" customHeight="1" x14ac:dyDescent="0.2">
      <c r="A278" s="255" t="s">
        <v>382</v>
      </c>
      <c r="B278" s="255"/>
      <c r="C278" s="255"/>
      <c r="D278" s="255"/>
      <c r="E278" s="255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f>12012692.03+7445867.01</f>
        <v>19458559.039999999</v>
      </c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f>55117144.01+1235692.74</f>
        <v>56352836.75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75811395.789999992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5" t="s">
        <v>387</v>
      </c>
      <c r="B285" s="255"/>
      <c r="C285" s="255"/>
      <c r="D285" s="255"/>
      <c r="E285" s="255"/>
    </row>
    <row r="286" spans="1:5" ht="12.6" customHeight="1" x14ac:dyDescent="0.2">
      <c r="A286" s="173" t="s">
        <v>388</v>
      </c>
      <c r="B286" s="172" t="s">
        <v>256</v>
      </c>
      <c r="C286" s="189">
        <v>4345844.33946242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312148.37760945695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4657992.7170718769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594495858.46798003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5" t="s">
        <v>395</v>
      </c>
      <c r="B303" s="255"/>
      <c r="C303" s="255"/>
      <c r="D303" s="255"/>
      <c r="E303" s="255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9734980.8475426603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36255427.904639177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v>111178787.93052243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61457469.460000001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491247.44+1329124.77</f>
        <v>1820372.21</v>
      </c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220447038.35270429</v>
      </c>
      <c r="E314" s="175"/>
    </row>
    <row r="315" spans="1:5" ht="12.6" customHeight="1" x14ac:dyDescent="0.2">
      <c r="A315" s="255" t="s">
        <v>406</v>
      </c>
      <c r="B315" s="255"/>
      <c r="C315" s="255"/>
      <c r="D315" s="255"/>
      <c r="E315" s="255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57061894.30566965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57061894.30566965</v>
      </c>
      <c r="E319" s="175"/>
    </row>
    <row r="320" spans="1:5" ht="12.6" customHeight="1" x14ac:dyDescent="0.2">
      <c r="A320" s="255" t="s">
        <v>411</v>
      </c>
      <c r="B320" s="255"/>
      <c r="C320" s="255"/>
      <c r="D320" s="255"/>
      <c r="E320" s="255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f>491247.44+491247.44</f>
        <v>982494.88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f>1329124.77+2586983.57</f>
        <v>3916108.34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1306929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6205532.2199999997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1820372.21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4385160.01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1">
        <v>312601765.5422501</v>
      </c>
      <c r="D332" s="175"/>
      <c r="E332" s="175"/>
    </row>
    <row r="333" spans="1:5" ht="12.6" customHeight="1" x14ac:dyDescent="0.2">
      <c r="A333" s="173"/>
      <c r="B333" s="172"/>
      <c r="C333" s="230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1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1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1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594495858.21062398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594495858.46798003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5" t="s">
        <v>427</v>
      </c>
      <c r="B358" s="255"/>
      <c r="C358" s="255"/>
      <c r="D358" s="255"/>
      <c r="E358" s="255"/>
    </row>
    <row r="359" spans="1:5" ht="12.6" customHeight="1" x14ac:dyDescent="0.2">
      <c r="A359" s="173" t="s">
        <v>428</v>
      </c>
      <c r="B359" s="172" t="s">
        <v>256</v>
      </c>
      <c r="C359" s="189">
        <v>1895188306.6299999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1361613497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3256801803.6300001</v>
      </c>
      <c r="E361" s="175"/>
    </row>
    <row r="362" spans="1:5" ht="12.6" customHeight="1" x14ac:dyDescent="0.2">
      <c r="A362" s="255" t="s">
        <v>431</v>
      </c>
      <c r="B362" s="255"/>
      <c r="C362" s="255"/>
      <c r="D362" s="255"/>
      <c r="E362" s="255"/>
    </row>
    <row r="363" spans="1:5" ht="12.6" customHeight="1" x14ac:dyDescent="0.2">
      <c r="A363" s="173" t="s">
        <v>1255</v>
      </c>
      <c r="B363" s="255"/>
      <c r="C363" s="189">
        <v>-14546739.529999999</v>
      </c>
      <c r="D363" s="175"/>
      <c r="E363" s="255"/>
    </row>
    <row r="364" spans="1:5" ht="12.6" customHeight="1" x14ac:dyDescent="0.2">
      <c r="A364" s="173" t="s">
        <v>432</v>
      </c>
      <c r="B364" s="172" t="s">
        <v>256</v>
      </c>
      <c r="C364" s="189">
        <v>2433647396.5600004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65461395.819999993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v>23225875.820000004</v>
      </c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2507787928.6700006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749013874.95999956</v>
      </c>
      <c r="E368" s="175"/>
    </row>
    <row r="369" spans="1:5" ht="12.6" customHeight="1" x14ac:dyDescent="0.2">
      <c r="A369" s="255" t="s">
        <v>436</v>
      </c>
      <c r="B369" s="255"/>
      <c r="C369" s="255"/>
      <c r="D369" s="255"/>
      <c r="E369" s="255"/>
    </row>
    <row r="370" spans="1:5" ht="12.6" customHeight="1" x14ac:dyDescent="0.2">
      <c r="A370" s="173" t="s">
        <v>437</v>
      </c>
      <c r="B370" s="172" t="s">
        <v>256</v>
      </c>
      <c r="C370" s="189">
        <v>34254566.289999999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34254566.289999999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783268441.24999952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5" t="s">
        <v>441</v>
      </c>
      <c r="B377" s="255"/>
      <c r="C377" s="255"/>
      <c r="D377" s="255"/>
      <c r="E377" s="255"/>
    </row>
    <row r="378" spans="1:5" ht="12.6" customHeight="1" x14ac:dyDescent="0.2">
      <c r="A378" s="173" t="s">
        <v>442</v>
      </c>
      <c r="B378" s="172" t="s">
        <v>256</v>
      </c>
      <c r="C378" s="189">
        <v>312834201.53000003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78092502.579999998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29499968.82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108763560.14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4511629.8899999997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188108217.96000004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33117872.43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17879177.98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6410935.1699999999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29735540.48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87668.11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8896387.1000000238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817937662.19000006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-34669220.940000534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1087835.78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-33581385.160000533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-33581385.160000533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8"/>
    </row>
    <row r="412" spans="1:5" ht="12.6" customHeight="1" x14ac:dyDescent="0.2">
      <c r="A412" s="179" t="str">
        <f>C84&amp;"   "&amp;"H-"&amp;FIXED(C83,0,TRUE)&amp;"     FYE "&amp;C82</f>
        <v>St.Joseph Medical Center   H-0     FYE 06/30/2020</v>
      </c>
      <c r="B412" s="179"/>
      <c r="C412" s="179"/>
      <c r="D412" s="179"/>
      <c r="E412" s="258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18347</v>
      </c>
      <c r="C414" s="194">
        <f>E138</f>
        <v>18347</v>
      </c>
      <c r="D414" s="179"/>
    </row>
    <row r="415" spans="1:5" ht="12.6" customHeight="1" x14ac:dyDescent="0.2">
      <c r="A415" s="179" t="s">
        <v>464</v>
      </c>
      <c r="B415" s="179">
        <f>D111</f>
        <v>98273</v>
      </c>
      <c r="C415" s="179">
        <f>E139</f>
        <v>98273</v>
      </c>
      <c r="D415" s="194">
        <f>SUM(C59:H59)+N59</f>
        <v>98273.43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3510</v>
      </c>
    </row>
    <row r="424" spans="1:7" ht="12.6" customHeight="1" x14ac:dyDescent="0.2">
      <c r="A424" s="179" t="s">
        <v>1244</v>
      </c>
      <c r="B424" s="179">
        <f>D114</f>
        <v>5196</v>
      </c>
      <c r="D424" s="179">
        <f>J59</f>
        <v>5196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3">C378</f>
        <v>312834201.53000003</v>
      </c>
      <c r="C427" s="179">
        <f t="shared" ref="C427:C434" si="14">CE61</f>
        <v>312834201.53000009</v>
      </c>
      <c r="D427" s="179"/>
    </row>
    <row r="428" spans="1:7" ht="12.6" customHeight="1" x14ac:dyDescent="0.2">
      <c r="A428" s="179" t="s">
        <v>3</v>
      </c>
      <c r="B428" s="179">
        <f t="shared" si="13"/>
        <v>78092502.579999998</v>
      </c>
      <c r="C428" s="179">
        <f t="shared" si="14"/>
        <v>78092502</v>
      </c>
      <c r="D428" s="179">
        <f>D173</f>
        <v>78092502.569999993</v>
      </c>
    </row>
    <row r="429" spans="1:7" ht="12.6" customHeight="1" x14ac:dyDescent="0.2">
      <c r="A429" s="179" t="s">
        <v>236</v>
      </c>
      <c r="B429" s="179">
        <f t="shared" si="13"/>
        <v>29499968.82</v>
      </c>
      <c r="C429" s="179">
        <f t="shared" si="14"/>
        <v>29499968.819999997</v>
      </c>
      <c r="D429" s="179"/>
    </row>
    <row r="430" spans="1:7" ht="12.6" customHeight="1" x14ac:dyDescent="0.2">
      <c r="A430" s="179" t="s">
        <v>237</v>
      </c>
      <c r="B430" s="179">
        <f t="shared" si="13"/>
        <v>108763560.14</v>
      </c>
      <c r="C430" s="179">
        <f t="shared" si="14"/>
        <v>108763560.14000003</v>
      </c>
      <c r="D430" s="179"/>
    </row>
    <row r="431" spans="1:7" ht="12.6" customHeight="1" x14ac:dyDescent="0.2">
      <c r="A431" s="179" t="s">
        <v>444</v>
      </c>
      <c r="B431" s="179">
        <f t="shared" si="13"/>
        <v>4511629.8899999997</v>
      </c>
      <c r="C431" s="179">
        <f t="shared" si="14"/>
        <v>4511629.8899999987</v>
      </c>
      <c r="D431" s="179"/>
    </row>
    <row r="432" spans="1:7" ht="12.6" customHeight="1" x14ac:dyDescent="0.2">
      <c r="A432" s="179" t="s">
        <v>445</v>
      </c>
      <c r="B432" s="179">
        <f t="shared" si="13"/>
        <v>188108217.96000004</v>
      </c>
      <c r="C432" s="179">
        <f t="shared" si="14"/>
        <v>188108218.07512945</v>
      </c>
      <c r="D432" s="179"/>
    </row>
    <row r="433" spans="1:7" ht="12.6" customHeight="1" x14ac:dyDescent="0.2">
      <c r="A433" s="179" t="s">
        <v>6</v>
      </c>
      <c r="B433" s="179">
        <f t="shared" si="13"/>
        <v>33117872.43</v>
      </c>
      <c r="C433" s="179">
        <f t="shared" si="14"/>
        <v>33117876</v>
      </c>
      <c r="D433" s="179">
        <f>C217</f>
        <v>33117872</v>
      </c>
    </row>
    <row r="434" spans="1:7" ht="12.6" customHeight="1" x14ac:dyDescent="0.2">
      <c r="A434" s="179" t="s">
        <v>474</v>
      </c>
      <c r="B434" s="179">
        <f t="shared" si="13"/>
        <v>17879177.98</v>
      </c>
      <c r="C434" s="179">
        <f t="shared" si="14"/>
        <v>17879177.98</v>
      </c>
      <c r="D434" s="179">
        <f>D177</f>
        <v>17879177.98</v>
      </c>
    </row>
    <row r="435" spans="1:7" ht="12.6" customHeight="1" x14ac:dyDescent="0.2">
      <c r="A435" s="179" t="s">
        <v>447</v>
      </c>
      <c r="B435" s="179">
        <f t="shared" si="13"/>
        <v>6410935.1699999999</v>
      </c>
      <c r="C435" s="179"/>
      <c r="D435" s="179">
        <f>D181</f>
        <v>6410935.1699999999</v>
      </c>
    </row>
    <row r="436" spans="1:7" ht="12.6" customHeight="1" x14ac:dyDescent="0.2">
      <c r="A436" s="179" t="s">
        <v>475</v>
      </c>
      <c r="B436" s="179">
        <f t="shared" si="13"/>
        <v>29735540.48</v>
      </c>
      <c r="C436" s="179"/>
      <c r="D436" s="179">
        <f>D186</f>
        <v>29735540.48</v>
      </c>
    </row>
    <row r="437" spans="1:7" ht="12.6" customHeight="1" x14ac:dyDescent="0.2">
      <c r="A437" s="194" t="s">
        <v>449</v>
      </c>
      <c r="B437" s="194">
        <f t="shared" si="13"/>
        <v>87668.11</v>
      </c>
      <c r="C437" s="194"/>
      <c r="D437" s="194">
        <f>D190</f>
        <v>87668.11</v>
      </c>
    </row>
    <row r="438" spans="1:7" ht="12.6" customHeight="1" x14ac:dyDescent="0.2">
      <c r="A438" s="194" t="s">
        <v>476</v>
      </c>
      <c r="B438" s="194">
        <f>C386+C387+C388</f>
        <v>36234143.759999998</v>
      </c>
      <c r="C438" s="194">
        <f>CD69</f>
        <v>36234143.759999998</v>
      </c>
      <c r="D438" s="194">
        <f>D181+D186+D190</f>
        <v>36234143.759999998</v>
      </c>
    </row>
    <row r="439" spans="1:7" ht="12.6" customHeight="1" x14ac:dyDescent="0.2">
      <c r="A439" s="179" t="s">
        <v>451</v>
      </c>
      <c r="B439" s="194">
        <f>C389</f>
        <v>8896387.1000000238</v>
      </c>
      <c r="C439" s="194">
        <f>SUM(C69:CC69)</f>
        <v>8896387.0999999959</v>
      </c>
      <c r="D439" s="179"/>
    </row>
    <row r="440" spans="1:7" ht="12.6" customHeight="1" x14ac:dyDescent="0.2">
      <c r="A440" s="179" t="s">
        <v>477</v>
      </c>
      <c r="B440" s="194">
        <f>B438+B439</f>
        <v>45130530.860000022</v>
      </c>
      <c r="C440" s="194">
        <f>CE69</f>
        <v>45130530.859999992</v>
      </c>
      <c r="D440" s="179"/>
    </row>
    <row r="441" spans="1:7" ht="12.6" customHeight="1" x14ac:dyDescent="0.2">
      <c r="A441" s="179" t="s">
        <v>478</v>
      </c>
      <c r="B441" s="179">
        <f>D390</f>
        <v>817937662.19000006</v>
      </c>
      <c r="C441" s="179">
        <f>SUM(C427:C437)+C440</f>
        <v>817937665.29512966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-14546739.529999999</v>
      </c>
      <c r="C444" s="179">
        <f>C363</f>
        <v>-14546739.529999999</v>
      </c>
      <c r="D444" s="179"/>
    </row>
    <row r="445" spans="1:7" ht="12.6" customHeight="1" x14ac:dyDescent="0.2">
      <c r="A445" s="179" t="s">
        <v>343</v>
      </c>
      <c r="B445" s="179">
        <f>D229</f>
        <v>2433647396.5600004</v>
      </c>
      <c r="C445" s="179">
        <f>C364</f>
        <v>2433647396.5600004</v>
      </c>
      <c r="D445" s="179"/>
    </row>
    <row r="446" spans="1:7" ht="12.6" customHeight="1" x14ac:dyDescent="0.2">
      <c r="A446" s="179" t="s">
        <v>351</v>
      </c>
      <c r="B446" s="179">
        <f>D236</f>
        <v>65461395.819999993</v>
      </c>
      <c r="C446" s="179">
        <f>C365</f>
        <v>65461395.819999993</v>
      </c>
      <c r="D446" s="179"/>
    </row>
    <row r="447" spans="1:7" ht="12.6" customHeight="1" x14ac:dyDescent="0.2">
      <c r="A447" s="179" t="s">
        <v>356</v>
      </c>
      <c r="B447" s="179">
        <f>D240</f>
        <v>23225875.820000004</v>
      </c>
      <c r="C447" s="179">
        <f>C366</f>
        <v>23225875.820000004</v>
      </c>
      <c r="D447" s="179"/>
    </row>
    <row r="448" spans="1:7" ht="12.6" customHeight="1" x14ac:dyDescent="0.2">
      <c r="A448" s="179" t="s">
        <v>358</v>
      </c>
      <c r="B448" s="179">
        <f>D242</f>
        <v>2507787928.6700006</v>
      </c>
      <c r="C448" s="179">
        <f>D367</f>
        <v>2507787928.6700006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18138</v>
      </c>
    </row>
    <row r="454" spans="1:7" ht="12.6" customHeight="1" x14ac:dyDescent="0.2">
      <c r="A454" s="179" t="s">
        <v>168</v>
      </c>
      <c r="B454" s="179">
        <f>C233</f>
        <v>26224729.02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39236666.799999997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34254566.289999999</v>
      </c>
      <c r="C458" s="194">
        <f>CE70</f>
        <v>34254566.289999999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1895188306.6299999</v>
      </c>
      <c r="C463" s="194">
        <f>CE73</f>
        <v>1895188306.6299996</v>
      </c>
      <c r="D463" s="194">
        <f>E141+E147+E153</f>
        <v>1895188306.6299999</v>
      </c>
    </row>
    <row r="464" spans="1:7" ht="12.6" customHeight="1" x14ac:dyDescent="0.2">
      <c r="A464" s="179" t="s">
        <v>246</v>
      </c>
      <c r="B464" s="194">
        <f>C360</f>
        <v>1361613497</v>
      </c>
      <c r="C464" s="194">
        <f>CE74</f>
        <v>1361613496.9999998</v>
      </c>
      <c r="D464" s="194">
        <f>E142+E148+E154</f>
        <v>1361613497</v>
      </c>
    </row>
    <row r="465" spans="1:7" ht="12.6" customHeight="1" x14ac:dyDescent="0.2">
      <c r="A465" s="179" t="s">
        <v>247</v>
      </c>
      <c r="B465" s="194">
        <f>D361</f>
        <v>3256801803.6300001</v>
      </c>
      <c r="C465" s="194">
        <f>CE75</f>
        <v>3256801803.6299992</v>
      </c>
      <c r="D465" s="194">
        <f>D463+D464</f>
        <v>3256801803.6300001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5">C267</f>
        <v>7877314.96</v>
      </c>
      <c r="C468" s="179">
        <f>E195</f>
        <v>7877314.96</v>
      </c>
      <c r="D468" s="179"/>
    </row>
    <row r="469" spans="1:7" ht="12.6" customHeight="1" x14ac:dyDescent="0.2">
      <c r="A469" s="179" t="s">
        <v>333</v>
      </c>
      <c r="B469" s="179">
        <f t="shared" si="15"/>
        <v>4412190.25</v>
      </c>
      <c r="C469" s="179">
        <f>E196</f>
        <v>4412190.25</v>
      </c>
      <c r="D469" s="179"/>
    </row>
    <row r="470" spans="1:7" ht="12.6" customHeight="1" x14ac:dyDescent="0.2">
      <c r="A470" s="179" t="s">
        <v>334</v>
      </c>
      <c r="B470" s="179">
        <f t="shared" si="15"/>
        <v>186900608.16010261</v>
      </c>
      <c r="C470" s="179">
        <f>E197</f>
        <v>186900608.16010261</v>
      </c>
      <c r="D470" s="179"/>
    </row>
    <row r="471" spans="1:7" ht="12.6" customHeight="1" x14ac:dyDescent="0.2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5"/>
        <v>82629943.989999995</v>
      </c>
      <c r="C472" s="179">
        <f>E199</f>
        <v>82629943.989999995</v>
      </c>
      <c r="D472" s="179"/>
    </row>
    <row r="473" spans="1:7" ht="12.6" customHeight="1" x14ac:dyDescent="0.2">
      <c r="A473" s="179" t="s">
        <v>495</v>
      </c>
      <c r="B473" s="179">
        <f t="shared" si="15"/>
        <v>297022765.02999997</v>
      </c>
      <c r="C473" s="179">
        <f>SUM(E200:E201)</f>
        <v>297022765.02999997</v>
      </c>
      <c r="D473" s="179"/>
    </row>
    <row r="474" spans="1:7" ht="12.6" customHeight="1" x14ac:dyDescent="0.2">
      <c r="A474" s="179" t="s">
        <v>339</v>
      </c>
      <c r="B474" s="179">
        <f t="shared" si="15"/>
        <v>53590290.859999999</v>
      </c>
      <c r="C474" s="179">
        <f>E202</f>
        <v>53590290.859999999</v>
      </c>
      <c r="D474" s="179"/>
    </row>
    <row r="475" spans="1:7" ht="12.6" customHeight="1" x14ac:dyDescent="0.2">
      <c r="A475" s="179" t="s">
        <v>340</v>
      </c>
      <c r="B475" s="179">
        <f t="shared" si="15"/>
        <v>11033589.329999998</v>
      </c>
      <c r="C475" s="179">
        <f>E203</f>
        <v>11033589.329999998</v>
      </c>
      <c r="D475" s="179"/>
    </row>
    <row r="476" spans="1:7" ht="12.6" customHeight="1" x14ac:dyDescent="0.2">
      <c r="A476" s="179" t="s">
        <v>203</v>
      </c>
      <c r="B476" s="179">
        <f>D275</f>
        <v>643466702.58010268</v>
      </c>
      <c r="C476" s="179">
        <f>E204</f>
        <v>643466702.58010268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437527516.69999993</v>
      </c>
      <c r="C478" s="179">
        <f>E217</f>
        <v>437527516.69999993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594495858.46798003</v>
      </c>
    </row>
    <row r="482" spans="1:12" ht="12.6" customHeight="1" x14ac:dyDescent="0.2">
      <c r="A482" s="180" t="s">
        <v>499</v>
      </c>
      <c r="C482" s="180">
        <f>D339</f>
        <v>594495858.21062398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032</v>
      </c>
      <c r="B493" s="259" t="str">
        <f>RIGHT('Prior Year'!C82,4)</f>
        <v>2019</v>
      </c>
      <c r="C493" s="259" t="str">
        <f>RIGHT(C82,4)</f>
        <v>2020</v>
      </c>
      <c r="D493" s="259" t="str">
        <f>RIGHT('Prior Year'!C82,4)</f>
        <v>2019</v>
      </c>
      <c r="E493" s="259" t="str">
        <f>RIGHT(C82,4)</f>
        <v>2020</v>
      </c>
      <c r="F493" s="259" t="str">
        <f>RIGHT('Prior Year'!C82,4)</f>
        <v>2019</v>
      </c>
      <c r="G493" s="259" t="str">
        <f>RIGHT(C82,4)</f>
        <v>2020</v>
      </c>
      <c r="H493" s="259"/>
      <c r="K493" s="259"/>
      <c r="L493" s="259"/>
    </row>
    <row r="494" spans="1:12" ht="12.6" customHeight="1" x14ac:dyDescent="0.2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">
      <c r="A496" s="180" t="s">
        <v>512</v>
      </c>
      <c r="B496" s="238">
        <f>'Prior Year'!C71</f>
        <v>27564346.390000001</v>
      </c>
      <c r="C496" s="238">
        <f>C71</f>
        <v>32252890.559999995</v>
      </c>
      <c r="D496" s="238">
        <f>'Prior Year'!C59</f>
        <v>25242</v>
      </c>
      <c r="E496" s="180">
        <f>C59</f>
        <v>19380</v>
      </c>
      <c r="F496" s="261">
        <f t="shared" ref="F496:G511" si="16">IF(B496=0,"",IF(D496=0,"",B496/D496))</f>
        <v>1092.0032640044371</v>
      </c>
      <c r="G496" s="262">
        <f t="shared" si="16"/>
        <v>1664.2358390092877</v>
      </c>
      <c r="H496" s="263">
        <f>IF(B496=0,"",IF(C496=0,"",IF(D496=0,"",IF(E496=0,"",IF(G496/F496-1&lt;-0.25,G496/F496-1,IF(G496/F496-1&gt;0.25,G496/F496-1,""))))))</f>
        <v>0.52402093827672425</v>
      </c>
      <c r="I496" s="265" t="s">
        <v>1302</v>
      </c>
      <c r="K496" s="259"/>
      <c r="L496" s="259"/>
    </row>
    <row r="497" spans="1:12" ht="12.6" customHeight="1" x14ac:dyDescent="0.2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1" t="str">
        <f t="shared" si="16"/>
        <v/>
      </c>
      <c r="G497" s="261" t="str">
        <f t="shared" si="16"/>
        <v/>
      </c>
      <c r="H497" s="263" t="str">
        <f t="shared" ref="H497:H550" si="17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">
      <c r="A498" s="180" t="s">
        <v>514</v>
      </c>
      <c r="B498" s="238">
        <f>'Prior Year'!E71</f>
        <v>52160928.861550003</v>
      </c>
      <c r="C498" s="238">
        <f>E71</f>
        <v>70188789.079999998</v>
      </c>
      <c r="D498" s="238">
        <f>'Prior Year'!E59</f>
        <v>75484</v>
      </c>
      <c r="E498" s="180">
        <f>E59</f>
        <v>78893.429999999993</v>
      </c>
      <c r="F498" s="261">
        <f t="shared" si="16"/>
        <v>691.01967120913048</v>
      </c>
      <c r="G498" s="261">
        <f t="shared" si="16"/>
        <v>889.66583250341637</v>
      </c>
      <c r="H498" s="263">
        <f t="shared" si="17"/>
        <v>0.2874681714150038</v>
      </c>
      <c r="I498" s="265" t="s">
        <v>1305</v>
      </c>
      <c r="K498" s="259"/>
      <c r="L498" s="259"/>
    </row>
    <row r="499" spans="1:12" ht="12.6" customHeight="1" x14ac:dyDescent="0.2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1" t="str">
        <f t="shared" si="16"/>
        <v/>
      </c>
      <c r="G499" s="261" t="str">
        <f t="shared" si="16"/>
        <v/>
      </c>
      <c r="H499" s="263" t="str">
        <f t="shared" si="17"/>
        <v/>
      </c>
      <c r="I499" s="265"/>
      <c r="K499" s="259"/>
      <c r="L499" s="259"/>
    </row>
    <row r="500" spans="1:12" ht="12.6" customHeight="1" x14ac:dyDescent="0.2">
      <c r="A500" s="180" t="s">
        <v>516</v>
      </c>
      <c r="B500" s="238">
        <f>'Prior Year'!G71</f>
        <v>170094.19945000001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6"/>
        <v/>
      </c>
      <c r="G500" s="261" t="str">
        <f t="shared" si="16"/>
        <v/>
      </c>
      <c r="H500" s="263" t="str">
        <f t="shared" si="17"/>
        <v/>
      </c>
      <c r="I500" s="265"/>
      <c r="K500" s="259"/>
      <c r="L500" s="259"/>
    </row>
    <row r="501" spans="1:12" ht="12.6" customHeight="1" x14ac:dyDescent="0.2">
      <c r="A501" s="180" t="s">
        <v>517</v>
      </c>
      <c r="B501" s="238">
        <f>'Prior Year'!H71</f>
        <v>5266565.74</v>
      </c>
      <c r="C501" s="238">
        <f>H71</f>
        <v>187489.34999999998</v>
      </c>
      <c r="D501" s="238">
        <f>'Prior Year'!H59</f>
        <v>6214.29</v>
      </c>
      <c r="E501" s="180">
        <f>H59</f>
        <v>0</v>
      </c>
      <c r="F501" s="261">
        <f t="shared" si="16"/>
        <v>847.4927529935037</v>
      </c>
      <c r="G501" s="261" t="str">
        <f t="shared" si="16"/>
        <v/>
      </c>
      <c r="H501" s="263" t="str">
        <f t="shared" si="17"/>
        <v/>
      </c>
      <c r="I501" s="265"/>
      <c r="K501" s="259"/>
      <c r="L501" s="259"/>
    </row>
    <row r="502" spans="1:12" ht="12.6" customHeight="1" x14ac:dyDescent="0.2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6"/>
        <v/>
      </c>
      <c r="G502" s="261" t="str">
        <f t="shared" si="16"/>
        <v/>
      </c>
      <c r="H502" s="263" t="str">
        <f t="shared" si="17"/>
        <v/>
      </c>
      <c r="I502" s="265"/>
      <c r="K502" s="259"/>
      <c r="L502" s="259"/>
    </row>
    <row r="503" spans="1:12" ht="12.6" customHeight="1" x14ac:dyDescent="0.2">
      <c r="A503" s="180" t="s">
        <v>519</v>
      </c>
      <c r="B503" s="238">
        <f>'Prior Year'!J71</f>
        <v>8539303.3199999984</v>
      </c>
      <c r="C503" s="238">
        <f>J71</f>
        <v>9401169.5099999998</v>
      </c>
      <c r="D503" s="238">
        <f>'Prior Year'!J59</f>
        <v>10866</v>
      </c>
      <c r="E503" s="180">
        <f>J59</f>
        <v>5196</v>
      </c>
      <c r="F503" s="261">
        <f t="shared" si="16"/>
        <v>785.87367200441736</v>
      </c>
      <c r="G503" s="261">
        <f t="shared" si="16"/>
        <v>1809.3089896073902</v>
      </c>
      <c r="H503" s="263">
        <f t="shared" si="17"/>
        <v>1.3022898642127054</v>
      </c>
      <c r="I503" s="265" t="s">
        <v>1301</v>
      </c>
      <c r="K503" s="259"/>
      <c r="L503" s="259"/>
    </row>
    <row r="504" spans="1:12" ht="12.6" customHeight="1" x14ac:dyDescent="0.2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6"/>
        <v/>
      </c>
      <c r="G504" s="261" t="str">
        <f t="shared" si="16"/>
        <v/>
      </c>
      <c r="H504" s="263" t="str">
        <f t="shared" si="17"/>
        <v/>
      </c>
      <c r="I504" s="265"/>
      <c r="K504" s="259"/>
      <c r="L504" s="259"/>
    </row>
    <row r="505" spans="1:12" ht="12.6" customHeight="1" x14ac:dyDescent="0.2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0</v>
      </c>
      <c r="E505" s="180">
        <f>L59</f>
        <v>0</v>
      </c>
      <c r="F505" s="261" t="str">
        <f t="shared" si="16"/>
        <v/>
      </c>
      <c r="G505" s="261" t="str">
        <f t="shared" si="16"/>
        <v/>
      </c>
      <c r="H505" s="263" t="str">
        <f t="shared" si="17"/>
        <v/>
      </c>
      <c r="I505" s="265"/>
      <c r="K505" s="259"/>
      <c r="L505" s="259"/>
    </row>
    <row r="506" spans="1:12" ht="12.6" customHeight="1" x14ac:dyDescent="0.2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6"/>
        <v/>
      </c>
      <c r="G506" s="261" t="str">
        <f t="shared" si="16"/>
        <v/>
      </c>
      <c r="H506" s="263" t="str">
        <f t="shared" si="17"/>
        <v/>
      </c>
      <c r="I506" s="265"/>
      <c r="K506" s="259"/>
      <c r="L506" s="259"/>
    </row>
    <row r="507" spans="1:12" ht="12.6" customHeight="1" x14ac:dyDescent="0.2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6"/>
        <v/>
      </c>
      <c r="G507" s="261" t="str">
        <f t="shared" si="16"/>
        <v/>
      </c>
      <c r="H507" s="263" t="str">
        <f t="shared" si="17"/>
        <v/>
      </c>
      <c r="I507" s="265"/>
      <c r="K507" s="259"/>
      <c r="L507" s="259"/>
    </row>
    <row r="508" spans="1:12" ht="12.6" customHeight="1" x14ac:dyDescent="0.2">
      <c r="A508" s="180" t="s">
        <v>524</v>
      </c>
      <c r="B508" s="238">
        <f>'Prior Year'!O71</f>
        <v>20741144.960000005</v>
      </c>
      <c r="C508" s="238">
        <f>O71</f>
        <v>22071767.77</v>
      </c>
      <c r="D508" s="238">
        <f>'Prior Year'!O59</f>
        <v>19875</v>
      </c>
      <c r="E508" s="180">
        <f>O59</f>
        <v>19036</v>
      </c>
      <c r="F508" s="261">
        <f t="shared" si="16"/>
        <v>1043.579620628931</v>
      </c>
      <c r="G508" s="261">
        <f t="shared" si="16"/>
        <v>1159.4750877285144</v>
      </c>
      <c r="H508" s="263" t="str">
        <f t="shared" si="17"/>
        <v/>
      </c>
      <c r="I508" s="265"/>
      <c r="K508" s="259"/>
      <c r="L508" s="259"/>
    </row>
    <row r="509" spans="1:12" ht="12.6" customHeight="1" x14ac:dyDescent="0.2">
      <c r="A509" s="180" t="s">
        <v>525</v>
      </c>
      <c r="B509" s="238">
        <f>'Prior Year'!P71</f>
        <v>91747162.649300203</v>
      </c>
      <c r="C509" s="238">
        <f>P71</f>
        <v>93283334.380000025</v>
      </c>
      <c r="D509" s="238">
        <f>'Prior Year'!P59</f>
        <v>1757258</v>
      </c>
      <c r="E509" s="180">
        <f>P59</f>
        <v>1620184</v>
      </c>
      <c r="F509" s="261">
        <f t="shared" si="16"/>
        <v>52.210411134449352</v>
      </c>
      <c r="G509" s="261">
        <f t="shared" si="16"/>
        <v>57.575765703154715</v>
      </c>
      <c r="H509" s="263" t="str">
        <f t="shared" si="17"/>
        <v/>
      </c>
      <c r="I509" s="265"/>
      <c r="K509" s="259"/>
      <c r="L509" s="259"/>
    </row>
    <row r="510" spans="1:12" ht="12.6" customHeight="1" x14ac:dyDescent="0.2">
      <c r="A510" s="180" t="s">
        <v>526</v>
      </c>
      <c r="B510" s="238">
        <f>'Prior Year'!Q71</f>
        <v>2586207.71</v>
      </c>
      <c r="C510" s="238">
        <f>Q71</f>
        <v>2702044.4900000007</v>
      </c>
      <c r="D510" s="238">
        <f>'Prior Year'!Q59</f>
        <v>1201215</v>
      </c>
      <c r="E510" s="180">
        <f>Q59</f>
        <v>637605</v>
      </c>
      <c r="F510" s="261">
        <f t="shared" si="16"/>
        <v>2.1529931860657752</v>
      </c>
      <c r="G510" s="261">
        <f t="shared" si="16"/>
        <v>4.2378031696740157</v>
      </c>
      <c r="H510" s="263">
        <f t="shared" si="17"/>
        <v>0.96833097155215442</v>
      </c>
      <c r="I510" s="265" t="s">
        <v>1303</v>
      </c>
      <c r="K510" s="259"/>
      <c r="L510" s="259"/>
    </row>
    <row r="511" spans="1:12" ht="12.6" customHeight="1" x14ac:dyDescent="0.2">
      <c r="A511" s="180" t="s">
        <v>527</v>
      </c>
      <c r="B511" s="238">
        <f>'Prior Year'!R71</f>
        <v>0</v>
      </c>
      <c r="C511" s="238">
        <f>R71</f>
        <v>0</v>
      </c>
      <c r="D511" s="238">
        <f>'Prior Year'!R59</f>
        <v>0</v>
      </c>
      <c r="E511" s="180">
        <f>R59</f>
        <v>0</v>
      </c>
      <c r="F511" s="261" t="str">
        <f t="shared" si="16"/>
        <v/>
      </c>
      <c r="G511" s="261" t="str">
        <f t="shared" si="16"/>
        <v/>
      </c>
      <c r="H511" s="263" t="str">
        <f t="shared" si="17"/>
        <v/>
      </c>
      <c r="I511" s="265"/>
      <c r="K511" s="259"/>
      <c r="L511" s="259"/>
    </row>
    <row r="512" spans="1:12" ht="12.6" customHeight="1" x14ac:dyDescent="0.2">
      <c r="A512" s="180" t="s">
        <v>528</v>
      </c>
      <c r="B512" s="238">
        <f>'Prior Year'!S71</f>
        <v>5104517.4126225486</v>
      </c>
      <c r="C512" s="238">
        <f>S71</f>
        <v>2125352.7375414986</v>
      </c>
      <c r="D512" s="181" t="s">
        <v>529</v>
      </c>
      <c r="E512" s="181" t="s">
        <v>529</v>
      </c>
      <c r="F512" s="261" t="str">
        <f t="shared" ref="F512:G527" si="18">IF(B512=0,"",IF(D512=0,"",B512/D512))</f>
        <v/>
      </c>
      <c r="G512" s="261" t="str">
        <f t="shared" si="18"/>
        <v/>
      </c>
      <c r="H512" s="263" t="str">
        <f t="shared" si="17"/>
        <v/>
      </c>
      <c r="I512" s="265"/>
      <c r="K512" s="259"/>
      <c r="L512" s="259"/>
    </row>
    <row r="513" spans="1:12" ht="12.6" customHeight="1" x14ac:dyDescent="0.2">
      <c r="A513" s="180" t="s">
        <v>1246</v>
      </c>
      <c r="B513" s="238">
        <f>'Prior Year'!T71</f>
        <v>2400977.1987000005</v>
      </c>
      <c r="C513" s="238">
        <f>T71</f>
        <v>4127615.48</v>
      </c>
      <c r="D513" s="181" t="s">
        <v>529</v>
      </c>
      <c r="E513" s="181" t="s">
        <v>529</v>
      </c>
      <c r="F513" s="261" t="str">
        <f t="shared" si="18"/>
        <v/>
      </c>
      <c r="G513" s="261" t="str">
        <f t="shared" si="18"/>
        <v/>
      </c>
      <c r="H513" s="263" t="str">
        <f t="shared" si="17"/>
        <v/>
      </c>
      <c r="I513" s="265"/>
      <c r="K513" s="259"/>
      <c r="L513" s="259"/>
    </row>
    <row r="514" spans="1:12" ht="12.6" customHeight="1" x14ac:dyDescent="0.2">
      <c r="A514" s="180" t="s">
        <v>530</v>
      </c>
      <c r="B514" s="238">
        <f>'Prior Year'!U71</f>
        <v>21200214.919999994</v>
      </c>
      <c r="C514" s="238">
        <f>U71</f>
        <v>20625073.280000001</v>
      </c>
      <c r="D514" s="238">
        <f>'Prior Year'!U59</f>
        <v>1372424</v>
      </c>
      <c r="E514" s="180">
        <f>U59</f>
        <v>1389157</v>
      </c>
      <c r="F514" s="261">
        <f t="shared" si="18"/>
        <v>15.447277896626694</v>
      </c>
      <c r="G514" s="261">
        <f t="shared" si="18"/>
        <v>14.847186660687022</v>
      </c>
      <c r="H514" s="263" t="str">
        <f t="shared" si="17"/>
        <v/>
      </c>
      <c r="I514" s="265"/>
      <c r="K514" s="259"/>
      <c r="L514" s="259"/>
    </row>
    <row r="515" spans="1:12" ht="12.6" customHeight="1" x14ac:dyDescent="0.2">
      <c r="A515" s="180" t="s">
        <v>531</v>
      </c>
      <c r="B515" s="238">
        <f>'Prior Year'!V71</f>
        <v>14006000.57</v>
      </c>
      <c r="C515" s="238">
        <f>V71</f>
        <v>17571788.129999999</v>
      </c>
      <c r="D515" s="238">
        <f>'Prior Year'!V59</f>
        <v>0</v>
      </c>
      <c r="E515" s="180">
        <f>V59</f>
        <v>0</v>
      </c>
      <c r="F515" s="261" t="str">
        <f t="shared" si="18"/>
        <v/>
      </c>
      <c r="G515" s="261" t="str">
        <f t="shared" si="18"/>
        <v/>
      </c>
      <c r="H515" s="263" t="str">
        <f t="shared" si="17"/>
        <v/>
      </c>
      <c r="I515" s="265"/>
      <c r="K515" s="259"/>
      <c r="L515" s="259"/>
    </row>
    <row r="516" spans="1:12" ht="12.6" customHeight="1" x14ac:dyDescent="0.2">
      <c r="A516" s="180" t="s">
        <v>532</v>
      </c>
      <c r="B516" s="238">
        <f>'Prior Year'!W71</f>
        <v>0</v>
      </c>
      <c r="C516" s="238">
        <f>W71</f>
        <v>1659013.23</v>
      </c>
      <c r="D516" s="238">
        <f>'Prior Year'!W59</f>
        <v>7418</v>
      </c>
      <c r="E516" s="180">
        <f>W59</f>
        <v>7629</v>
      </c>
      <c r="F516" s="261" t="str">
        <f t="shared" si="18"/>
        <v/>
      </c>
      <c r="G516" s="261">
        <f t="shared" si="18"/>
        <v>217.46142744789617</v>
      </c>
      <c r="H516" s="263" t="str">
        <f t="shared" si="17"/>
        <v/>
      </c>
      <c r="I516" s="265"/>
      <c r="K516" s="259"/>
      <c r="L516" s="259"/>
    </row>
    <row r="517" spans="1:12" ht="12.6" customHeight="1" x14ac:dyDescent="0.2">
      <c r="A517" s="180" t="s">
        <v>533</v>
      </c>
      <c r="B517" s="238">
        <f>'Prior Year'!X71</f>
        <v>1848614.98</v>
      </c>
      <c r="C517" s="238">
        <f>X71</f>
        <v>2217540.14</v>
      </c>
      <c r="D517" s="238">
        <f>'Prior Year'!X59</f>
        <v>30284</v>
      </c>
      <c r="E517" s="180">
        <f>X59</f>
        <v>29436</v>
      </c>
      <c r="F517" s="261">
        <f t="shared" si="18"/>
        <v>61.042629111081759</v>
      </c>
      <c r="G517" s="261">
        <f t="shared" si="18"/>
        <v>75.334289305612174</v>
      </c>
      <c r="H517" s="263" t="str">
        <f t="shared" si="17"/>
        <v/>
      </c>
      <c r="I517" s="265"/>
      <c r="K517" s="259"/>
      <c r="L517" s="259"/>
    </row>
    <row r="518" spans="1:12" ht="12.6" customHeight="1" x14ac:dyDescent="0.2">
      <c r="A518" s="180" t="s">
        <v>534</v>
      </c>
      <c r="B518" s="238">
        <f>'Prior Year'!Y71</f>
        <v>14684452.969999999</v>
      </c>
      <c r="C518" s="238">
        <f>Y71</f>
        <v>12725773.789999997</v>
      </c>
      <c r="D518" s="238">
        <f>'Prior Year'!Y59</f>
        <v>200111</v>
      </c>
      <c r="E518" s="180">
        <f>Y59</f>
        <v>193418</v>
      </c>
      <c r="F518" s="261">
        <f t="shared" si="18"/>
        <v>73.381538096356522</v>
      </c>
      <c r="G518" s="261">
        <f t="shared" si="18"/>
        <v>65.794154577133455</v>
      </c>
      <c r="H518" s="263" t="str">
        <f t="shared" si="17"/>
        <v/>
      </c>
      <c r="I518" s="265"/>
      <c r="K518" s="259"/>
      <c r="L518" s="259"/>
    </row>
    <row r="519" spans="1:12" ht="12.6" customHeight="1" x14ac:dyDescent="0.2">
      <c r="A519" s="180" t="s">
        <v>535</v>
      </c>
      <c r="B519" s="238">
        <f>'Prior Year'!Z71</f>
        <v>0</v>
      </c>
      <c r="C519" s="238">
        <f>Z71</f>
        <v>0</v>
      </c>
      <c r="D519" s="238">
        <f>'Prior Year'!Z59</f>
        <v>0</v>
      </c>
      <c r="E519" s="180">
        <f>Z59</f>
        <v>0</v>
      </c>
      <c r="F519" s="261" t="str">
        <f t="shared" si="18"/>
        <v/>
      </c>
      <c r="G519" s="261" t="str">
        <f t="shared" si="18"/>
        <v/>
      </c>
      <c r="H519" s="263" t="str">
        <f t="shared" si="17"/>
        <v/>
      </c>
      <c r="I519" s="265"/>
      <c r="K519" s="259"/>
      <c r="L519" s="259"/>
    </row>
    <row r="520" spans="1:12" ht="12.6" customHeight="1" x14ac:dyDescent="0.2">
      <c r="A520" s="180" t="s">
        <v>536</v>
      </c>
      <c r="B520" s="238">
        <f>'Prior Year'!AA71</f>
        <v>1696094.2</v>
      </c>
      <c r="C520" s="238">
        <f>AA71</f>
        <v>1684416.5299999998</v>
      </c>
      <c r="D520" s="238">
        <f>'Prior Year'!AA59</f>
        <v>6052</v>
      </c>
      <c r="E520" s="180">
        <f>AA59</f>
        <v>5412</v>
      </c>
      <c r="F520" s="261">
        <f t="shared" si="18"/>
        <v>280.25350297422341</v>
      </c>
      <c r="G520" s="261">
        <f t="shared" si="18"/>
        <v>311.23734848484844</v>
      </c>
      <c r="H520" s="263" t="str">
        <f t="shared" si="17"/>
        <v/>
      </c>
      <c r="I520" s="265"/>
      <c r="K520" s="259"/>
      <c r="L520" s="259"/>
    </row>
    <row r="521" spans="1:12" ht="12.6" customHeight="1" x14ac:dyDescent="0.2">
      <c r="A521" s="180" t="s">
        <v>537</v>
      </c>
      <c r="B521" s="238">
        <f>'Prior Year'!AB71</f>
        <v>29155082.859999999</v>
      </c>
      <c r="C521" s="238">
        <f>AB71</f>
        <v>25347247.260000002</v>
      </c>
      <c r="D521" s="181" t="s">
        <v>529</v>
      </c>
      <c r="E521" s="181" t="s">
        <v>529</v>
      </c>
      <c r="F521" s="261" t="str">
        <f t="shared" si="18"/>
        <v/>
      </c>
      <c r="G521" s="261" t="str">
        <f t="shared" si="18"/>
        <v/>
      </c>
      <c r="H521" s="263" t="str">
        <f t="shared" si="17"/>
        <v/>
      </c>
      <c r="I521" s="265"/>
      <c r="K521" s="259"/>
      <c r="L521" s="259"/>
    </row>
    <row r="522" spans="1:12" ht="12.6" customHeight="1" x14ac:dyDescent="0.2">
      <c r="A522" s="180" t="s">
        <v>538</v>
      </c>
      <c r="B522" s="238">
        <f>'Prior Year'!AC71</f>
        <v>4473415.92</v>
      </c>
      <c r="C522" s="238">
        <f>AC71</f>
        <v>4584056.5699999994</v>
      </c>
      <c r="D522" s="238">
        <f>'Prior Year'!AC59</f>
        <v>63420</v>
      </c>
      <c r="E522" s="180">
        <f>AC59</f>
        <v>63642</v>
      </c>
      <c r="F522" s="261">
        <f t="shared" si="18"/>
        <v>70.536359508041627</v>
      </c>
      <c r="G522" s="261">
        <f t="shared" si="18"/>
        <v>72.02879497815907</v>
      </c>
      <c r="H522" s="263" t="str">
        <f t="shared" si="17"/>
        <v/>
      </c>
      <c r="I522" s="265"/>
      <c r="K522" s="259"/>
      <c r="L522" s="259"/>
    </row>
    <row r="523" spans="1:12" ht="12.6" customHeight="1" x14ac:dyDescent="0.2">
      <c r="A523" s="180" t="s">
        <v>539</v>
      </c>
      <c r="B523" s="238">
        <f>'Prior Year'!AD71</f>
        <v>2321837.2499999995</v>
      </c>
      <c r="C523" s="238">
        <f>AD71</f>
        <v>2670902.1899999995</v>
      </c>
      <c r="D523" s="238">
        <f>'Prior Year'!AD59</f>
        <v>0</v>
      </c>
      <c r="E523" s="180">
        <f>AD59</f>
        <v>0</v>
      </c>
      <c r="F523" s="261" t="str">
        <f t="shared" si="18"/>
        <v/>
      </c>
      <c r="G523" s="261" t="str">
        <f t="shared" si="18"/>
        <v/>
      </c>
      <c r="H523" s="263" t="str">
        <f t="shared" si="17"/>
        <v/>
      </c>
      <c r="I523" s="265"/>
      <c r="K523" s="259"/>
      <c r="L523" s="259"/>
    </row>
    <row r="524" spans="1:12" ht="12.6" customHeight="1" x14ac:dyDescent="0.2">
      <c r="A524" s="180" t="s">
        <v>540</v>
      </c>
      <c r="B524" s="238">
        <f>'Prior Year'!AE71</f>
        <v>4691192.8900000006</v>
      </c>
      <c r="C524" s="238">
        <f>AE71</f>
        <v>6267242.0899999999</v>
      </c>
      <c r="D524" s="238">
        <f>'Prior Year'!AE59</f>
        <v>143127</v>
      </c>
      <c r="E524" s="180">
        <f>AE59</f>
        <v>131582</v>
      </c>
      <c r="F524" s="261">
        <f t="shared" si="18"/>
        <v>32.776435543258785</v>
      </c>
      <c r="G524" s="261">
        <f t="shared" si="18"/>
        <v>47.629934869511025</v>
      </c>
      <c r="H524" s="263">
        <f t="shared" si="17"/>
        <v>0.4531761639135039</v>
      </c>
      <c r="I524" s="265" t="s">
        <v>1304</v>
      </c>
      <c r="K524" s="259"/>
      <c r="L524" s="259"/>
    </row>
    <row r="525" spans="1:12" ht="12.6" customHeight="1" x14ac:dyDescent="0.2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8"/>
        <v/>
      </c>
      <c r="G525" s="261" t="str">
        <f t="shared" si="18"/>
        <v/>
      </c>
      <c r="H525" s="263" t="str">
        <f t="shared" si="17"/>
        <v/>
      </c>
      <c r="I525" s="265"/>
      <c r="K525" s="259"/>
      <c r="L525" s="259"/>
    </row>
    <row r="526" spans="1:12" ht="12.6" customHeight="1" x14ac:dyDescent="0.2">
      <c r="A526" s="180" t="s">
        <v>542</v>
      </c>
      <c r="B526" s="238">
        <f>'Prior Year'!AG71</f>
        <v>21230375.7234</v>
      </c>
      <c r="C526" s="238">
        <f>AG71</f>
        <v>26777826.16591363</v>
      </c>
      <c r="D526" s="238">
        <f>'Prior Year'!AG59</f>
        <v>49565</v>
      </c>
      <c r="E526" s="180">
        <f>AG59</f>
        <v>46805.35</v>
      </c>
      <c r="F526" s="261">
        <f t="shared" si="18"/>
        <v>428.33402044587916</v>
      </c>
      <c r="G526" s="261">
        <f t="shared" si="18"/>
        <v>572.11037126981489</v>
      </c>
      <c r="H526" s="263">
        <f t="shared" si="17"/>
        <v>0.33566409381694706</v>
      </c>
      <c r="I526" s="265" t="s">
        <v>1300</v>
      </c>
      <c r="K526" s="259"/>
      <c r="L526" s="259"/>
    </row>
    <row r="527" spans="1:12" ht="12.6" customHeight="1" x14ac:dyDescent="0.2">
      <c r="A527" s="180" t="s">
        <v>543</v>
      </c>
      <c r="B527" s="238">
        <f>'Prior Year'!AH71</f>
        <v>0</v>
      </c>
      <c r="C527" s="238">
        <f>AH71</f>
        <v>0</v>
      </c>
      <c r="D527" s="238">
        <f>'Prior Year'!AH59</f>
        <v>0</v>
      </c>
      <c r="E527" s="180">
        <f>AH59</f>
        <v>0</v>
      </c>
      <c r="F527" s="261" t="str">
        <f t="shared" si="18"/>
        <v/>
      </c>
      <c r="G527" s="261" t="str">
        <f t="shared" si="18"/>
        <v/>
      </c>
      <c r="H527" s="263" t="str">
        <f t="shared" si="17"/>
        <v/>
      </c>
      <c r="I527" s="265"/>
      <c r="K527" s="259"/>
      <c r="L527" s="259"/>
    </row>
    <row r="528" spans="1:12" ht="12.6" customHeight="1" x14ac:dyDescent="0.2">
      <c r="A528" s="180" t="s">
        <v>544</v>
      </c>
      <c r="B528" s="238">
        <f>'Prior Year'!AI71</f>
        <v>14803782.939999998</v>
      </c>
      <c r="C528" s="238">
        <f>AI71</f>
        <v>0</v>
      </c>
      <c r="D528" s="238">
        <f>'Prior Year'!AI59</f>
        <v>14617</v>
      </c>
      <c r="E528" s="180">
        <f>AI59</f>
        <v>0</v>
      </c>
      <c r="F528" s="261">
        <f t="shared" ref="F528:G540" si="19">IF(B528=0,"",IF(D528=0,"",B528/D528))</f>
        <v>1012.7784730108776</v>
      </c>
      <c r="G528" s="261" t="str">
        <f t="shared" si="19"/>
        <v/>
      </c>
      <c r="H528" s="263" t="str">
        <f t="shared" si="17"/>
        <v/>
      </c>
      <c r="I528" s="265"/>
      <c r="K528" s="259"/>
      <c r="L528" s="259"/>
    </row>
    <row r="529" spans="1:12" ht="12.6" customHeight="1" x14ac:dyDescent="0.2">
      <c r="A529" s="180" t="s">
        <v>545</v>
      </c>
      <c r="B529" s="238">
        <f>'Prior Year'!AJ71</f>
        <v>140945366.35000002</v>
      </c>
      <c r="C529" s="238">
        <f>AJ71</f>
        <v>151559208.23000002</v>
      </c>
      <c r="D529" s="238">
        <f>'Prior Year'!AJ59</f>
        <v>36043</v>
      </c>
      <c r="E529" s="180">
        <f>AJ59</f>
        <v>546930.81000000006</v>
      </c>
      <c r="F529" s="261">
        <f t="shared" si="19"/>
        <v>3910.478216297201</v>
      </c>
      <c r="G529" s="261">
        <f t="shared" si="19"/>
        <v>277.10855826534987</v>
      </c>
      <c r="H529" s="263">
        <f t="shared" si="17"/>
        <v>-0.92913691294571599</v>
      </c>
      <c r="I529" s="265"/>
      <c r="K529" s="259"/>
      <c r="L529" s="259"/>
    </row>
    <row r="530" spans="1:12" ht="12.6" customHeight="1" x14ac:dyDescent="0.2">
      <c r="A530" s="180" t="s">
        <v>546</v>
      </c>
      <c r="B530" s="238">
        <f>'Prior Year'!AK71</f>
        <v>1823776.4700000002</v>
      </c>
      <c r="C530" s="238">
        <f>AK71</f>
        <v>2064825.1900000002</v>
      </c>
      <c r="D530" s="238">
        <f>'Prior Year'!AK59</f>
        <v>52005</v>
      </c>
      <c r="E530" s="180">
        <f>AK59</f>
        <v>58316</v>
      </c>
      <c r="F530" s="261">
        <f t="shared" si="19"/>
        <v>35.069252379578892</v>
      </c>
      <c r="G530" s="261">
        <f t="shared" si="19"/>
        <v>35.407524350092601</v>
      </c>
      <c r="H530" s="263" t="str">
        <f t="shared" si="17"/>
        <v/>
      </c>
      <c r="I530" s="265"/>
      <c r="K530" s="259"/>
      <c r="L530" s="259"/>
    </row>
    <row r="531" spans="1:12" ht="12.6" customHeight="1" x14ac:dyDescent="0.2">
      <c r="A531" s="180" t="s">
        <v>547</v>
      </c>
      <c r="B531" s="238">
        <f>'Prior Year'!AL71</f>
        <v>591806.84999999986</v>
      </c>
      <c r="C531" s="238">
        <f>AL71</f>
        <v>668934.71</v>
      </c>
      <c r="D531" s="238">
        <f>'Prior Year'!AL59</f>
        <v>6844</v>
      </c>
      <c r="E531" s="180">
        <f>AL59</f>
        <v>6502</v>
      </c>
      <c r="F531" s="261">
        <f t="shared" si="19"/>
        <v>86.470901519579172</v>
      </c>
      <c r="G531" s="261">
        <f t="shared" si="19"/>
        <v>102.8813764995386</v>
      </c>
      <c r="H531" s="263" t="str">
        <f t="shared" si="17"/>
        <v/>
      </c>
      <c r="I531" s="265"/>
      <c r="K531" s="259"/>
      <c r="L531" s="259"/>
    </row>
    <row r="532" spans="1:12" ht="12.6" customHeight="1" x14ac:dyDescent="0.2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9"/>
        <v/>
      </c>
      <c r="G532" s="261" t="str">
        <f t="shared" si="19"/>
        <v/>
      </c>
      <c r="H532" s="263" t="str">
        <f t="shared" si="17"/>
        <v/>
      </c>
      <c r="I532" s="265"/>
      <c r="K532" s="259"/>
      <c r="L532" s="259"/>
    </row>
    <row r="533" spans="1:12" ht="12.6" customHeight="1" x14ac:dyDescent="0.2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9"/>
        <v/>
      </c>
      <c r="G533" s="261" t="str">
        <f t="shared" si="19"/>
        <v/>
      </c>
      <c r="H533" s="263" t="str">
        <f t="shared" si="17"/>
        <v/>
      </c>
      <c r="I533" s="265"/>
      <c r="K533" s="259"/>
      <c r="L533" s="259"/>
    </row>
    <row r="534" spans="1:12" ht="12.6" customHeight="1" x14ac:dyDescent="0.2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9"/>
        <v/>
      </c>
      <c r="G534" s="261" t="str">
        <f t="shared" si="19"/>
        <v/>
      </c>
      <c r="H534" s="263" t="str">
        <f t="shared" si="17"/>
        <v/>
      </c>
      <c r="I534" s="265"/>
      <c r="K534" s="259"/>
      <c r="L534" s="259"/>
    </row>
    <row r="535" spans="1:12" ht="12.6" customHeight="1" x14ac:dyDescent="0.2">
      <c r="A535" s="180" t="s">
        <v>550</v>
      </c>
      <c r="B535" s="238">
        <f>'Prior Year'!AP71</f>
        <v>513959.37</v>
      </c>
      <c r="C535" s="238">
        <f>AP71</f>
        <v>-1035961.3</v>
      </c>
      <c r="D535" s="238">
        <f>'Prior Year'!AP59</f>
        <v>1085</v>
      </c>
      <c r="E535" s="180">
        <f>AP59</f>
        <v>1165</v>
      </c>
      <c r="F535" s="261">
        <f t="shared" si="19"/>
        <v>473.69527188940094</v>
      </c>
      <c r="G535" s="261">
        <f t="shared" si="19"/>
        <v>-889.23716738197425</v>
      </c>
      <c r="H535" s="263">
        <f t="shared" si="17"/>
        <v>-2.87723462772834</v>
      </c>
      <c r="I535" s="265" t="s">
        <v>1299</v>
      </c>
      <c r="K535" s="259"/>
      <c r="L535" s="259"/>
    </row>
    <row r="536" spans="1:12" ht="12.6" customHeight="1" x14ac:dyDescent="0.2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9"/>
        <v/>
      </c>
      <c r="G536" s="261" t="str">
        <f t="shared" si="19"/>
        <v/>
      </c>
      <c r="H536" s="263" t="str">
        <f t="shared" si="17"/>
        <v/>
      </c>
      <c r="I536" s="265"/>
      <c r="K536" s="259"/>
      <c r="L536" s="259"/>
    </row>
    <row r="537" spans="1:12" ht="12.6" customHeight="1" x14ac:dyDescent="0.2">
      <c r="A537" s="180" t="s">
        <v>552</v>
      </c>
      <c r="B537" s="238">
        <f>'Prior Year'!AR71</f>
        <v>55385424.979999997</v>
      </c>
      <c r="C537" s="238">
        <f>AR71</f>
        <v>54627153.052900001</v>
      </c>
      <c r="D537" s="238">
        <f>'Prior Year'!AR59</f>
        <v>386436</v>
      </c>
      <c r="E537" s="180">
        <f>AR59</f>
        <v>387138.61</v>
      </c>
      <c r="F537" s="261">
        <f t="shared" si="19"/>
        <v>143.323668032999</v>
      </c>
      <c r="G537" s="261">
        <f t="shared" si="19"/>
        <v>141.10489535750517</v>
      </c>
      <c r="H537" s="263" t="str">
        <f t="shared" si="17"/>
        <v/>
      </c>
      <c r="I537" s="265"/>
      <c r="K537" s="259"/>
      <c r="L537" s="259"/>
    </row>
    <row r="538" spans="1:12" ht="12.6" customHeight="1" x14ac:dyDescent="0.2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9"/>
        <v/>
      </c>
      <c r="G538" s="261" t="str">
        <f t="shared" si="19"/>
        <v/>
      </c>
      <c r="H538" s="263" t="str">
        <f t="shared" si="17"/>
        <v/>
      </c>
      <c r="I538" s="265"/>
      <c r="K538" s="259"/>
      <c r="L538" s="259"/>
    </row>
    <row r="539" spans="1:12" ht="12.6" customHeight="1" x14ac:dyDescent="0.2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9"/>
        <v/>
      </c>
      <c r="G539" s="261" t="str">
        <f t="shared" si="19"/>
        <v/>
      </c>
      <c r="H539" s="263" t="str">
        <f t="shared" si="17"/>
        <v/>
      </c>
      <c r="I539" s="265"/>
      <c r="K539" s="259"/>
      <c r="L539" s="259"/>
    </row>
    <row r="540" spans="1:12" ht="12.6" customHeight="1" x14ac:dyDescent="0.2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9"/>
        <v/>
      </c>
      <c r="G540" s="261" t="str">
        <f t="shared" si="19"/>
        <v/>
      </c>
      <c r="H540" s="263" t="str">
        <f t="shared" si="17"/>
        <v/>
      </c>
      <c r="I540" s="265"/>
      <c r="K540" s="259"/>
      <c r="L540" s="259"/>
    </row>
    <row r="541" spans="1:12" ht="12.6" customHeight="1" x14ac:dyDescent="0.2">
      <c r="A541" s="180" t="s">
        <v>556</v>
      </c>
      <c r="B541" s="238">
        <f>'Prior Year'!AV71</f>
        <v>11892882.373459999</v>
      </c>
      <c r="C541" s="238">
        <f>AV71</f>
        <v>-5471426.0100000016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">
      <c r="A543" s="180" t="s">
        <v>557</v>
      </c>
      <c r="B543" s="238">
        <f>'Prior Year'!AX71</f>
        <v>276736.07519999996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">
      <c r="A544" s="180" t="s">
        <v>558</v>
      </c>
      <c r="B544" s="238">
        <f>'Prior Year'!AY71</f>
        <v>0</v>
      </c>
      <c r="C544" s="238">
        <f>AY71</f>
        <v>0</v>
      </c>
      <c r="D544" s="238">
        <f>'Prior Year'!AY59</f>
        <v>416105</v>
      </c>
      <c r="E544" s="180">
        <f>AY59</f>
        <v>343452</v>
      </c>
      <c r="F544" s="261" t="str">
        <f t="shared" ref="F544:G550" si="20">IF(B544=0,"",IF(D544=0,"",B544/D544))</f>
        <v/>
      </c>
      <c r="G544" s="261" t="str">
        <f t="shared" si="20"/>
        <v/>
      </c>
      <c r="H544" s="263" t="str">
        <f t="shared" si="17"/>
        <v/>
      </c>
      <c r="I544" s="265"/>
      <c r="K544" s="259"/>
      <c r="L544" s="259"/>
    </row>
    <row r="545" spans="1:13" ht="12.6" customHeight="1" x14ac:dyDescent="0.2">
      <c r="A545" s="180" t="s">
        <v>559</v>
      </c>
      <c r="B545" s="238">
        <f>'Prior Year'!AZ71</f>
        <v>9308161.3900000025</v>
      </c>
      <c r="C545" s="238">
        <f>AZ71</f>
        <v>10162573.369999997</v>
      </c>
      <c r="D545" s="238">
        <f>'Prior Year'!AZ59</f>
        <v>930126</v>
      </c>
      <c r="E545" s="180">
        <f>AZ59</f>
        <v>584456</v>
      </c>
      <c r="F545" s="261">
        <f t="shared" si="20"/>
        <v>10.007419844193155</v>
      </c>
      <c r="G545" s="261">
        <f t="shared" si="20"/>
        <v>17.388089727883703</v>
      </c>
      <c r="H545" s="263">
        <f t="shared" si="17"/>
        <v>0.73751976019805054</v>
      </c>
      <c r="I545" s="265" t="s">
        <v>1300</v>
      </c>
      <c r="K545" s="259"/>
      <c r="L545" s="259"/>
    </row>
    <row r="546" spans="1:13" ht="12.6" customHeight="1" x14ac:dyDescent="0.2">
      <c r="A546" s="180" t="s">
        <v>560</v>
      </c>
      <c r="B546" s="238">
        <f>'Prior Year'!BA71</f>
        <v>408574.01000000007</v>
      </c>
      <c r="C546" s="238">
        <f>BA71</f>
        <v>364052.99</v>
      </c>
      <c r="D546" s="238">
        <f>'Prior Year'!BA59</f>
        <v>0</v>
      </c>
      <c r="E546" s="180">
        <f>BA59</f>
        <v>0</v>
      </c>
      <c r="F546" s="261" t="str">
        <f t="shared" si="20"/>
        <v/>
      </c>
      <c r="G546" s="261" t="str">
        <f t="shared" si="20"/>
        <v/>
      </c>
      <c r="H546" s="263" t="str">
        <f t="shared" si="17"/>
        <v/>
      </c>
      <c r="I546" s="265"/>
      <c r="K546" s="259"/>
      <c r="L546" s="259"/>
    </row>
    <row r="547" spans="1:13" ht="12.6" customHeight="1" x14ac:dyDescent="0.2">
      <c r="A547" s="180" t="s">
        <v>561</v>
      </c>
      <c r="B547" s="238">
        <f>'Prior Year'!BB71</f>
        <v>0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">
      <c r="A548" s="180" t="s">
        <v>562</v>
      </c>
      <c r="B548" s="238">
        <f>'Prior Year'!BC71</f>
        <v>664600.69000000006</v>
      </c>
      <c r="C548" s="238">
        <f>BC71</f>
        <v>744090.86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">
      <c r="A549" s="180" t="s">
        <v>563</v>
      </c>
      <c r="B549" s="238">
        <f>'Prior Year'!BD71</f>
        <v>0</v>
      </c>
      <c r="C549" s="238">
        <f>BD71</f>
        <v>2311432.04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">
      <c r="A550" s="180" t="s">
        <v>564</v>
      </c>
      <c r="B550" s="238">
        <f>'Prior Year'!BE71</f>
        <v>28700266.812399995</v>
      </c>
      <c r="C550" s="238">
        <f>BE71</f>
        <v>22714261.73</v>
      </c>
      <c r="D550" s="238">
        <f>'Prior Year'!BE59</f>
        <v>850148</v>
      </c>
      <c r="E550" s="180">
        <f>BE59</f>
        <v>850147.87416666653</v>
      </c>
      <c r="F550" s="261">
        <f t="shared" si="20"/>
        <v>33.759141716971627</v>
      </c>
      <c r="G550" s="261">
        <f t="shared" si="20"/>
        <v>26.718012736625397</v>
      </c>
      <c r="H550" s="263" t="str">
        <f t="shared" si="17"/>
        <v/>
      </c>
      <c r="I550" s="265"/>
      <c r="K550" s="259"/>
      <c r="L550" s="259"/>
    </row>
    <row r="551" spans="1:13" ht="12.6" customHeight="1" x14ac:dyDescent="0.2">
      <c r="A551" s="180" t="s">
        <v>565</v>
      </c>
      <c r="B551" s="238">
        <f>'Prior Year'!BF71</f>
        <v>6825132.8600000003</v>
      </c>
      <c r="C551" s="238">
        <f>BF71</f>
        <v>7397772.79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">
      <c r="A552" s="180" t="s">
        <v>566</v>
      </c>
      <c r="B552" s="238">
        <f>'Prior Year'!BG71</f>
        <v>1191320.3351499999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">
      <c r="A553" s="180" t="s">
        <v>567</v>
      </c>
      <c r="B553" s="238">
        <f>'Prior Year'!BH71</f>
        <v>5189987.8909999998</v>
      </c>
      <c r="C553" s="238">
        <f>BH71</f>
        <v>0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">
      <c r="A554" s="180" t="s">
        <v>568</v>
      </c>
      <c r="B554" s="238">
        <f>'Prior Year'!BI71</f>
        <v>-193721.75000000006</v>
      </c>
      <c r="C554" s="238">
        <f>BI71</f>
        <v>-160296.71999999997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">
      <c r="A555" s="180" t="s">
        <v>569</v>
      </c>
      <c r="B555" s="238">
        <f>'Prior Year'!BJ71</f>
        <v>1239152.4813499996</v>
      </c>
      <c r="C555" s="238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">
      <c r="A556" s="180" t="s">
        <v>570</v>
      </c>
      <c r="B556" s="238">
        <f>'Prior Year'!BK71</f>
        <v>8085774.038851345</v>
      </c>
      <c r="C556" s="238">
        <f>BK71</f>
        <v>7365007.1295641745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">
      <c r="A557" s="180" t="s">
        <v>571</v>
      </c>
      <c r="B557" s="238">
        <f>'Prior Year'!BL71</f>
        <v>7802620.0387800001</v>
      </c>
      <c r="C557" s="238">
        <f>BL71</f>
        <v>19858125.548511621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">
      <c r="A558" s="180" t="s">
        <v>572</v>
      </c>
      <c r="B558" s="238">
        <f>'Prior Year'!BM71</f>
        <v>0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">
      <c r="A559" s="180" t="s">
        <v>573</v>
      </c>
      <c r="B559" s="238">
        <f>'Prior Year'!BN71</f>
        <v>23548762.266933471</v>
      </c>
      <c r="C559" s="238">
        <f>BN71</f>
        <v>6369862.7230191501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">
      <c r="A560" s="180" t="s">
        <v>574</v>
      </c>
      <c r="B560" s="238">
        <f>'Prior Year'!BO71</f>
        <v>903228.29629999993</v>
      </c>
      <c r="C560" s="238">
        <f>BO71</f>
        <v>0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">
      <c r="A561" s="180" t="s">
        <v>575</v>
      </c>
      <c r="B561" s="238">
        <f>'Prior Year'!BP71</f>
        <v>4759957.9238999989</v>
      </c>
      <c r="C561" s="238">
        <f>BP71</f>
        <v>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">
      <c r="A563" s="180" t="s">
        <v>577</v>
      </c>
      <c r="B563" s="238">
        <f>'Prior Year'!BR71</f>
        <v>3041936.1810500063</v>
      </c>
      <c r="C563" s="238">
        <f>BR71</f>
        <v>1015433.5099999999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">
      <c r="A564" s="180" t="s">
        <v>1249</v>
      </c>
      <c r="B564" s="238">
        <f>'Prior Year'!BS71</f>
        <v>249573.94244999991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">
      <c r="A565" s="180" t="s">
        <v>578</v>
      </c>
      <c r="B565" s="238">
        <f>'Prior Year'!BT71</f>
        <v>725438.13594999991</v>
      </c>
      <c r="C565" s="238">
        <f>BT71</f>
        <v>225482.74000000002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">
      <c r="A566" s="180" t="s">
        <v>579</v>
      </c>
      <c r="B566" s="238">
        <f>'Prior Year'!BU71</f>
        <v>148855.08905000004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">
      <c r="A567" s="180" t="s">
        <v>580</v>
      </c>
      <c r="B567" s="238">
        <f>'Prior Year'!BV71</f>
        <v>11279047.736275665</v>
      </c>
      <c r="C567" s="238">
        <f>BV71</f>
        <v>3249338.0479523898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">
      <c r="A568" s="180" t="s">
        <v>581</v>
      </c>
      <c r="B568" s="238">
        <f>'Prior Year'!BW71</f>
        <v>2193227.9204805247</v>
      </c>
      <c r="C568" s="238">
        <f>BW71</f>
        <v>344529.09580771497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">
      <c r="A569" s="180" t="s">
        <v>582</v>
      </c>
      <c r="B569" s="238">
        <f>'Prior Year'!BX71</f>
        <v>11463193.24275312</v>
      </c>
      <c r="C569" s="238">
        <f>BX71</f>
        <v>-463944.14201183501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">
      <c r="A570" s="180" t="s">
        <v>583</v>
      </c>
      <c r="B570" s="238">
        <f>'Prior Year'!BY71</f>
        <v>5797849.101449999</v>
      </c>
      <c r="C570" s="238">
        <f>BY71</f>
        <v>7380537.7583299996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">
      <c r="A571" s="180" t="s">
        <v>584</v>
      </c>
      <c r="B571" s="238">
        <f>'Prior Year'!BZ71</f>
        <v>0</v>
      </c>
      <c r="C571" s="238">
        <f>BZ71</f>
        <v>1170866.97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">
      <c r="A572" s="180" t="s">
        <v>585</v>
      </c>
      <c r="B572" s="238">
        <f>'Prior Year'!CA71</f>
        <v>2111521.1044000005</v>
      </c>
      <c r="C572" s="238">
        <f>CA71</f>
        <v>826587.07000000007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">
      <c r="A573" s="180" t="s">
        <v>586</v>
      </c>
      <c r="B573" s="238">
        <f>'Prior Year'!CB71</f>
        <v>149799.47584999999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">
      <c r="A574" s="180" t="s">
        <v>587</v>
      </c>
      <c r="B574" s="238">
        <f>'Prior Year'!CC71</f>
        <v>42714031.482459575</v>
      </c>
      <c r="C574" s="238">
        <f>CC71</f>
        <v>95689175.127601117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">
      <c r="A575" s="180" t="s">
        <v>588</v>
      </c>
      <c r="B575" s="238">
        <f>'Prior Year'!CD71</f>
        <v>35935524.939999998</v>
      </c>
      <c r="C575" s="238">
        <f>CD71</f>
        <v>36234143.759999998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">
      <c r="M576" s="263"/>
    </row>
    <row r="577" spans="13:13" ht="12.6" customHeight="1" x14ac:dyDescent="0.2">
      <c r="M577" s="263"/>
    </row>
    <row r="578" spans="13:13" ht="12.6" customHeight="1" x14ac:dyDescent="0.2">
      <c r="M578" s="263"/>
    </row>
    <row r="612" spans="1:14" ht="12.6" customHeight="1" x14ac:dyDescent="0.2">
      <c r="A612" s="196"/>
      <c r="C612" s="181" t="s">
        <v>589</v>
      </c>
      <c r="D612" s="180">
        <f>CE76-(BE76+CD76)</f>
        <v>675654.87416666653</v>
      </c>
      <c r="E612" s="180">
        <f>SUM(C624:D647)+SUM(C668:D713)</f>
        <v>666953245.92350101</v>
      </c>
      <c r="F612" s="180">
        <f>CE64-(AX64+BD64+BE64+BG64+BJ64+BN64+BP64+BQ64+CB64+CC64+CD64)</f>
        <v>109395153.34000003</v>
      </c>
      <c r="G612" s="180">
        <f>CE77-(AX77+AY77+BD77+BE77+BG77+BJ77+BN77+BP77+BQ77+CB77+CC77+CD77)</f>
        <v>343452</v>
      </c>
      <c r="H612" s="197">
        <f>CE60-(AX60+AY60+AZ60+BD60+BE60+BG60+BJ60+BN60+BO60+BP60+BQ60+BR60+CB60+CC60+CD60)</f>
        <v>3100.4948544061294</v>
      </c>
      <c r="I612" s="180">
        <f>CE78-(AX78+AY78+AZ78+BD78+BE78+BF78+BG78+BJ78+BN78+BO78+BP78+BQ78+BR78+CB78+CC78+CD78)</f>
        <v>203014.94999999998</v>
      </c>
      <c r="J612" s="180">
        <f>CE79-(AX79+AY79+AZ79+BA79+BD79+BE79+BF79+BG79+BJ79+BN79+BO79+BP79+BQ79+BR79+CB79+CC79+CD79)</f>
        <v>2516931.8100000005</v>
      </c>
      <c r="K612" s="180">
        <f>CE75-(AW75+AX75+AY75+AZ75+BA75+BB75+BC75+BD75+BE75+BF75+BG75+BH75+BI75+BJ75+BK75+BL75+BM75+BN75+BO75+BP75+BQ75+BR75+BS75+BT75+BU75+BV75+BW75+BX75+CB75+CC75+CD75)</f>
        <v>3256801803.6299992</v>
      </c>
      <c r="L612" s="197">
        <f>CE80-(AW80+AX80+AY80+AZ80+BA80+BB80+BC80+BD80+BE80+BF80+BG80+BH80+BI80+BJ80+BK80+BL80+BM80+BN80+BO80+BP80+BQ80+BR80+BS80+BT80+BU80+BV80+BW80+BX80+BY80+BZ80+CA80+CB80+CC80+CD80)</f>
        <v>1024.9222936007957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22714261.73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1">
        <f>CD69-CD70</f>
        <v>36234143.759999998</v>
      </c>
      <c r="D615" s="264">
        <f>SUM(C614:C615)</f>
        <v>58948405.489999995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6369862.7230191501</v>
      </c>
      <c r="D619" s="180">
        <f>(D615/D612)*BN76</f>
        <v>14670815.23100817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95689175.127601117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116729853.08162844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2311432.04</v>
      </c>
      <c r="D624" s="180">
        <f>(D615/D612)*BD76</f>
        <v>0</v>
      </c>
      <c r="E624" s="180">
        <f>(E623/E612)*SUM(C624:D624)</f>
        <v>404545.7820117065</v>
      </c>
      <c r="F624" s="180">
        <f>SUM(C624:E624)</f>
        <v>2715977.8220117064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1015433.5099999999</v>
      </c>
      <c r="D626" s="180">
        <f>(D615/D612)*BR76</f>
        <v>0</v>
      </c>
      <c r="E626" s="180">
        <f>(E623/E612)*SUM(C626:D626)</f>
        <v>177720.71005117759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10162573.369999997</v>
      </c>
      <c r="D628" s="180">
        <f>(D615/D612)*AZ76</f>
        <v>1661031.3274940313</v>
      </c>
      <c r="E628" s="180">
        <f>(E623/E612)*SUM(C628:D628)</f>
        <v>2069361.9045555014</v>
      </c>
      <c r="F628" s="180">
        <f>(F624/F612)*AZ64</f>
        <v>84526.950957992769</v>
      </c>
      <c r="G628" s="180">
        <f>(G625/G612)*AZ77</f>
        <v>0</v>
      </c>
      <c r="H628" s="180">
        <f>SUM(C626:G628)</f>
        <v>15170647.773058699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7397772.79</v>
      </c>
      <c r="D629" s="180">
        <f>(D615/D612)*BF76</f>
        <v>180250.90974522918</v>
      </c>
      <c r="E629" s="180">
        <f>(E623/E612)*SUM(C629:D629)</f>
        <v>1326302.2536092729</v>
      </c>
      <c r="F629" s="180">
        <f>(F624/F612)*BF64</f>
        <v>14799.673727049825</v>
      </c>
      <c r="G629" s="180">
        <f>(G625/G612)*BF77</f>
        <v>0</v>
      </c>
      <c r="H629" s="180">
        <f>(H628/H612)*BF60</f>
        <v>475741.06056263926</v>
      </c>
      <c r="I629" s="180">
        <f>SUM(C629:H629)</f>
        <v>9394866.6876441911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364052.99</v>
      </c>
      <c r="D630" s="180">
        <f>(D615/D612)*BA76</f>
        <v>370273.40801488509</v>
      </c>
      <c r="E630" s="180">
        <f>(E623/E612)*SUM(C630:D630)</f>
        <v>128521.47144969545</v>
      </c>
      <c r="F630" s="180">
        <f>(F624/F612)*BA64</f>
        <v>95.416230122116005</v>
      </c>
      <c r="G630" s="180">
        <f>(G625/G612)*BA77</f>
        <v>0</v>
      </c>
      <c r="H630" s="180">
        <f>(H628/H612)*BA60</f>
        <v>24531.40993302871</v>
      </c>
      <c r="I630" s="180">
        <f>(I629/I612)*BA78</f>
        <v>81973.891425625116</v>
      </c>
      <c r="J630" s="180">
        <f>SUM(C630:I630)</f>
        <v>969448.58705335646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744090.86</v>
      </c>
      <c r="D633" s="180">
        <f>(D615/D612)*BC76</f>
        <v>0</v>
      </c>
      <c r="E633" s="180">
        <f>(E623/E612)*SUM(C633:D633)</f>
        <v>130230.44313535742</v>
      </c>
      <c r="F633" s="180">
        <f>(F624/F612)*BC64</f>
        <v>10.598244778330843</v>
      </c>
      <c r="G633" s="180">
        <f>(G625/G612)*BC77</f>
        <v>0</v>
      </c>
      <c r="H633" s="180">
        <f>(H628/H612)*BC60</f>
        <v>55134.984680175352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-160296.71999999997</v>
      </c>
      <c r="D634" s="180">
        <f>(D615/D612)*BI76</f>
        <v>116299.35270590053</v>
      </c>
      <c r="E634" s="180">
        <f>(E623/E612)*SUM(C634:D634)</f>
        <v>-7700.3991683215299</v>
      </c>
      <c r="F634" s="180">
        <f>(F624/F612)*BI64</f>
        <v>4656.2385910348466</v>
      </c>
      <c r="G634" s="180">
        <f>(G625/G612)*BI77</f>
        <v>0</v>
      </c>
      <c r="H634" s="180">
        <f>(H628/H612)*BI60</f>
        <v>0</v>
      </c>
      <c r="I634" s="180">
        <f>(I629/I612)*BI78</f>
        <v>25747.218960970378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7365007.1295641745</v>
      </c>
      <c r="D635" s="180">
        <f>(D615/D612)*BK76</f>
        <v>0</v>
      </c>
      <c r="E635" s="180">
        <f>(E623/E612)*SUM(C635:D635)</f>
        <v>1289020.1905963598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19858125.548511621</v>
      </c>
      <c r="D637" s="180">
        <f>(D615/D612)*BL76</f>
        <v>0</v>
      </c>
      <c r="E637" s="180">
        <f>(E623/E612)*SUM(C637:D637)</f>
        <v>3475560.081493584</v>
      </c>
      <c r="F637" s="180">
        <f>(F624/F612)*BL64</f>
        <v>1134.5616177172706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225482.74000000002</v>
      </c>
      <c r="D640" s="180">
        <f>(D615/D612)*BT76</f>
        <v>133923.11058031305</v>
      </c>
      <c r="E640" s="180">
        <f>(E623/E612)*SUM(C640:D640)</f>
        <v>62903.048139193954</v>
      </c>
      <c r="F640" s="180">
        <f>(F624/F612)*BT64</f>
        <v>2.9968940385876968</v>
      </c>
      <c r="G640" s="180">
        <f>(G625/G612)*BT77</f>
        <v>0</v>
      </c>
      <c r="H640" s="180">
        <f>(H628/H612)*BT60</f>
        <v>13728.758771401019</v>
      </c>
      <c r="I640" s="180">
        <f>(I629/I612)*BT78</f>
        <v>29648.898053330482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3249338.0479523898</v>
      </c>
      <c r="D642" s="180">
        <f>(D615/D612)*BV76</f>
        <v>824914.01337906194</v>
      </c>
      <c r="E642" s="180">
        <f>(E623/E612)*SUM(C642:D642)</f>
        <v>713073.73859200266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182625.62286269685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344529.09580771497</v>
      </c>
      <c r="D643" s="180">
        <f>(D615/D612)*BW76</f>
        <v>0</v>
      </c>
      <c r="E643" s="180">
        <f>(E623/E612)*SUM(C643:D643)</f>
        <v>60299.325300223056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-463944.14201183501</v>
      </c>
      <c r="D644" s="180">
        <f>(D615/D612)*BX76</f>
        <v>0</v>
      </c>
      <c r="E644" s="180">
        <f>(E623/E612)*SUM(C644:D644)</f>
        <v>-81199.292253441294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38192346.051000439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7380537.7583299996</v>
      </c>
      <c r="D645" s="180">
        <f>(D615/D612)*BY76</f>
        <v>85326.906936512169</v>
      </c>
      <c r="E645" s="180">
        <f>(E623/E612)*SUM(C645:D645)</f>
        <v>1306672.2305206985</v>
      </c>
      <c r="F645" s="180">
        <f>(F624/F612)*BY64</f>
        <v>139.90561991076325</v>
      </c>
      <c r="G645" s="180">
        <f>(G625/G612)*BY77</f>
        <v>0</v>
      </c>
      <c r="H645" s="180">
        <f>(H628/H612)*BY60</f>
        <v>287907.73903690092</v>
      </c>
      <c r="I645" s="180">
        <f>(I629/I612)*BY78</f>
        <v>18890.30768479297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1170866.97</v>
      </c>
      <c r="D646" s="180">
        <f>(D615/D612)*BZ76</f>
        <v>0</v>
      </c>
      <c r="E646" s="180">
        <f>(E623/E612)*SUM(C646:D646)</f>
        <v>204924.60336853654</v>
      </c>
      <c r="F646" s="180">
        <f>(F624/F612)*BZ64</f>
        <v>0</v>
      </c>
      <c r="G646" s="180">
        <f>(G625/G612)*BZ77</f>
        <v>0</v>
      </c>
      <c r="H646" s="180">
        <f>(H628/H612)*BZ60</f>
        <v>57971.293989671976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826587.07000000007</v>
      </c>
      <c r="D647" s="180">
        <f>(D615/D612)*CA76</f>
        <v>0</v>
      </c>
      <c r="E647" s="180">
        <f>(E623/E612)*SUM(C647:D647)</f>
        <v>144668.89220498787</v>
      </c>
      <c r="F647" s="180">
        <f>(F624/F612)*CA64</f>
        <v>0</v>
      </c>
      <c r="G647" s="180">
        <f>(G625/G612)*CA77</f>
        <v>0</v>
      </c>
      <c r="H647" s="180">
        <f>(H628/H612)*CA60</f>
        <v>30103.685044249283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11514597.362736261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222799032.39877433</v>
      </c>
      <c r="L648" s="264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32252890.559999995</v>
      </c>
      <c r="D668" s="180">
        <f>(D615/D612)*C76</f>
        <v>1817079.2339128209</v>
      </c>
      <c r="E668" s="180">
        <f>(E623/E612)*SUM(C668:D668)</f>
        <v>5962910.5830832375</v>
      </c>
      <c r="F668" s="180">
        <f>(F624/F612)*C64</f>
        <v>68133.115061767021</v>
      </c>
      <c r="G668" s="180">
        <f>(G625/G612)*C77</f>
        <v>0</v>
      </c>
      <c r="H668" s="180">
        <f>(H628/H612)*C60</f>
        <v>897105.64150339051</v>
      </c>
      <c r="I668" s="180">
        <f>(I629/I612)*C78</f>
        <v>402278.56661675172</v>
      </c>
      <c r="J668" s="180">
        <f>(J630/J612)*C79</f>
        <v>133156.53893254997</v>
      </c>
      <c r="K668" s="180">
        <f>(K644/K612)*C75</f>
        <v>1409109.8027354374</v>
      </c>
      <c r="L668" s="180">
        <f>(L647/L612)*C80</f>
        <v>1435156.843634329</v>
      </c>
      <c r="M668" s="180">
        <f t="shared" ref="M668:M713" si="21">ROUND(SUM(D668:L668),0)</f>
        <v>12124930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70188789.079999998</v>
      </c>
      <c r="D670" s="180">
        <f>(D615/D612)*E76</f>
        <v>9158385.3554094508</v>
      </c>
      <c r="E670" s="180">
        <f>(E623/E612)*SUM(C670:D670)</f>
        <v>13887306.30055297</v>
      </c>
      <c r="F670" s="180">
        <f>(F624/F612)*E64</f>
        <v>94105.321735445628</v>
      </c>
      <c r="G670" s="180">
        <f>(G625/G612)*E77</f>
        <v>0</v>
      </c>
      <c r="H670" s="180">
        <f>(H628/H612)*E60</f>
        <v>2794651.1234300733</v>
      </c>
      <c r="I670" s="180">
        <f>(I629/I612)*E78</f>
        <v>2027551.7239633612</v>
      </c>
      <c r="J670" s="180">
        <f>(J630/J612)*E79</f>
        <v>278923.59229419049</v>
      </c>
      <c r="K670" s="180">
        <f>(K644/K612)*E75</f>
        <v>3668737.970084222</v>
      </c>
      <c r="L670" s="180">
        <f>(L647/L612)*E80</f>
        <v>3661587.3799240836</v>
      </c>
      <c r="M670" s="180">
        <f t="shared" si="21"/>
        <v>35571249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187489.34999999998</v>
      </c>
      <c r="D673" s="180">
        <f>(D615/D612)*H76</f>
        <v>174579.89854801723</v>
      </c>
      <c r="E673" s="180">
        <f>(E623/E612)*SUM(C673:D673)</f>
        <v>63369.194837434436</v>
      </c>
      <c r="F673" s="180">
        <f>(F624/F612)*H64</f>
        <v>43.318537971400985</v>
      </c>
      <c r="G673" s="180">
        <f>(G625/G612)*H77</f>
        <v>0</v>
      </c>
      <c r="H673" s="180">
        <f>(H628/H612)*H60</f>
        <v>-13.380696622651042</v>
      </c>
      <c r="I673" s="180">
        <f>(I629/I612)*H78</f>
        <v>38649.801306002795</v>
      </c>
      <c r="J673" s="180">
        <f>(J630/J612)*H79</f>
        <v>406.45916841894706</v>
      </c>
      <c r="K673" s="180">
        <f>(K644/K612)*H75</f>
        <v>29.317370501661806</v>
      </c>
      <c r="L673" s="180">
        <f>(L647/L612)*H80</f>
        <v>0</v>
      </c>
      <c r="M673" s="180">
        <f t="shared" si="21"/>
        <v>277065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9401169.5099999998</v>
      </c>
      <c r="D675" s="180">
        <f>(D615/D612)*J76</f>
        <v>220035.23445182381</v>
      </c>
      <c r="E675" s="180">
        <f>(E623/E612)*SUM(C675:D675)</f>
        <v>1683898.8687026261</v>
      </c>
      <c r="F675" s="180">
        <f>(F624/F612)*J64</f>
        <v>24005.258543628366</v>
      </c>
      <c r="G675" s="180">
        <f>(G625/G612)*J77</f>
        <v>0</v>
      </c>
      <c r="H675" s="180">
        <f>(H628/H612)*J60</f>
        <v>269519.33427856857</v>
      </c>
      <c r="I675" s="180">
        <f>(I629/I612)*J78</f>
        <v>48713.042925406822</v>
      </c>
      <c r="J675" s="180">
        <f>(J630/J612)*J79</f>
        <v>0</v>
      </c>
      <c r="K675" s="180">
        <f>(K644/K612)*J75</f>
        <v>637624.11761148495</v>
      </c>
      <c r="L675" s="180">
        <f>(L647/L612)*J80</f>
        <v>382067.67075772211</v>
      </c>
      <c r="M675" s="180">
        <f t="shared" si="21"/>
        <v>3265864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22071767.77</v>
      </c>
      <c r="D680" s="180">
        <f>(D615/D612)*O76</f>
        <v>1537185.7492217075</v>
      </c>
      <c r="E680" s="180">
        <f>(E623/E612)*SUM(C680:D680)</f>
        <v>4132028.283172702</v>
      </c>
      <c r="F680" s="180">
        <f>(F624/F612)*O64</f>
        <v>36012.135877363449</v>
      </c>
      <c r="G680" s="180">
        <f>(G625/G612)*O77</f>
        <v>0</v>
      </c>
      <c r="H680" s="180">
        <f>(H628/H612)*O60</f>
        <v>691835.11636924953</v>
      </c>
      <c r="I680" s="180">
        <f>(I629/I612)*O78</f>
        <v>340313.65736815974</v>
      </c>
      <c r="J680" s="180">
        <f>(J630/J612)*O79</f>
        <v>111929.39595857656</v>
      </c>
      <c r="K680" s="180">
        <f>(K644/K612)*O75</f>
        <v>1771164.5341821893</v>
      </c>
      <c r="L680" s="180">
        <f>(L647/L612)*O80</f>
        <v>959519.16976758407</v>
      </c>
      <c r="M680" s="180">
        <f t="shared" si="21"/>
        <v>9579988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93283334.380000025</v>
      </c>
      <c r="D681" s="180">
        <f>(D615/D612)*P76</f>
        <v>7814129.9518014062</v>
      </c>
      <c r="E681" s="180">
        <f>(E623/E612)*SUM(C681:D681)</f>
        <v>17694032.123699907</v>
      </c>
      <c r="F681" s="180">
        <f>(F624/F612)*P64</f>
        <v>1121322.2386002487</v>
      </c>
      <c r="G681" s="180">
        <f>(G625/G612)*P77</f>
        <v>0</v>
      </c>
      <c r="H681" s="180">
        <f>(H628/H612)*P60</f>
        <v>1112188.6696828769</v>
      </c>
      <c r="I681" s="180">
        <f>(I629/I612)*P78</f>
        <v>1729950.4268719812</v>
      </c>
      <c r="J681" s="180">
        <f>(J630/J612)*P79</f>
        <v>252912.38173028178</v>
      </c>
      <c r="K681" s="180">
        <f>(K644/K612)*P75</f>
        <v>10980150.005625054</v>
      </c>
      <c r="L681" s="180">
        <f>(L647/L612)*P80</f>
        <v>1040241.7991705808</v>
      </c>
      <c r="M681" s="180">
        <f t="shared" si="21"/>
        <v>41744928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2702044.4900000007</v>
      </c>
      <c r="D682" s="180">
        <f>(D615/D612)*Q76</f>
        <v>206686.54655684798</v>
      </c>
      <c r="E682" s="180">
        <f>(E623/E612)*SUM(C682:D682)</f>
        <v>509084.78011995193</v>
      </c>
      <c r="F682" s="180">
        <f>(F624/F612)*Q64</f>
        <v>3490.8140046463072</v>
      </c>
      <c r="G682" s="180">
        <f>(G625/G612)*Q77</f>
        <v>0</v>
      </c>
      <c r="H682" s="180">
        <f>(H628/H612)*Q60</f>
        <v>90633.43384279657</v>
      </c>
      <c r="I682" s="180">
        <f>(I629/I612)*Q78</f>
        <v>45757.810741589514</v>
      </c>
      <c r="J682" s="180">
        <f>(J630/J612)*Q79</f>
        <v>21348.77990612034</v>
      </c>
      <c r="K682" s="180">
        <f>(K644/K612)*Q75</f>
        <v>317588.94919037918</v>
      </c>
      <c r="L682" s="180">
        <f>(L647/L612)*Q80</f>
        <v>147531.08185309233</v>
      </c>
      <c r="M682" s="180">
        <f t="shared" si="21"/>
        <v>1342122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1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2125352.7375414986</v>
      </c>
      <c r="D684" s="180">
        <f>(D615/D612)*S76</f>
        <v>1521663.1737011336</v>
      </c>
      <c r="E684" s="180">
        <f>(E623/E612)*SUM(C684:D684)</f>
        <v>638299.06235218013</v>
      </c>
      <c r="F684" s="180">
        <f>(F624/F612)*S64</f>
        <v>-29413.491362350971</v>
      </c>
      <c r="G684" s="180">
        <f>(G625/G612)*S77</f>
        <v>0</v>
      </c>
      <c r="H684" s="180">
        <f>(H628/H612)*S60</f>
        <v>196223.48698402927</v>
      </c>
      <c r="I684" s="180">
        <f>(I629/I612)*S78</f>
        <v>336877.15371214127</v>
      </c>
      <c r="J684" s="180">
        <f>(J630/J612)*S79</f>
        <v>5289.2999530337529</v>
      </c>
      <c r="K684" s="180">
        <f>(K644/K612)*S75</f>
        <v>0</v>
      </c>
      <c r="L684" s="180">
        <f>(L647/L612)*S80</f>
        <v>0</v>
      </c>
      <c r="M684" s="180">
        <f t="shared" si="21"/>
        <v>2668939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4127615.48</v>
      </c>
      <c r="D685" s="180">
        <f>(D615/D612)*T76</f>
        <v>0</v>
      </c>
      <c r="E685" s="180">
        <f>(E623/E612)*SUM(C685:D685)</f>
        <v>722413.37980251631</v>
      </c>
      <c r="F685" s="180">
        <f>(F624/F612)*T64</f>
        <v>25967.812503552792</v>
      </c>
      <c r="G685" s="180">
        <f>(G625/G612)*T77</f>
        <v>0</v>
      </c>
      <c r="H685" s="180">
        <f>(H628/H612)*T60</f>
        <v>63879.469110330509</v>
      </c>
      <c r="I685" s="180">
        <f>(I629/I612)*T78</f>
        <v>0</v>
      </c>
      <c r="J685" s="180">
        <f>(J630/J612)*T79</f>
        <v>0</v>
      </c>
      <c r="K685" s="180">
        <f>(K644/K612)*T75</f>
        <v>189423.21881917657</v>
      </c>
      <c r="L685" s="180">
        <f>(L647/L612)*T80</f>
        <v>128269.06063159677</v>
      </c>
      <c r="M685" s="180">
        <f t="shared" si="21"/>
        <v>1129953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20625073.280000001</v>
      </c>
      <c r="D686" s="180">
        <f>(D615/D612)*U76</f>
        <v>1453262.0540301464</v>
      </c>
      <c r="E686" s="180">
        <f>(E623/E612)*SUM(C686:D686)</f>
        <v>3864140.1861081398</v>
      </c>
      <c r="F686" s="180">
        <f>(F624/F612)*U64</f>
        <v>178322.97291998807</v>
      </c>
      <c r="G686" s="180">
        <f>(G625/G612)*U77</f>
        <v>0</v>
      </c>
      <c r="H686" s="180">
        <f>(H628/H612)*U60</f>
        <v>427145.5808590083</v>
      </c>
      <c r="I686" s="180">
        <f>(I629/I612)*U78</f>
        <v>321734.00317545648</v>
      </c>
      <c r="J686" s="180">
        <f>(J630/J612)*U79</f>
        <v>2681.2161644629496</v>
      </c>
      <c r="K686" s="180">
        <f>(K644/K612)*U75</f>
        <v>1760807.0240460921</v>
      </c>
      <c r="L686" s="180">
        <f>(L647/L612)*U80</f>
        <v>53076.999248966553</v>
      </c>
      <c r="M686" s="180">
        <f t="shared" si="21"/>
        <v>8061170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17571788.129999999</v>
      </c>
      <c r="D687" s="180">
        <f>(D615/D612)*V76</f>
        <v>288785.33942725486</v>
      </c>
      <c r="E687" s="180">
        <f>(E623/E612)*SUM(C687:D687)</f>
        <v>3125949.4271642035</v>
      </c>
      <c r="F687" s="180">
        <f>(F624/F612)*V64</f>
        <v>295021.99674165371</v>
      </c>
      <c r="G687" s="180">
        <f>(G625/G612)*V77</f>
        <v>0</v>
      </c>
      <c r="H687" s="180">
        <f>(H628/H612)*V60</f>
        <v>108681.01749485951</v>
      </c>
      <c r="I687" s="180">
        <f>(I629/I612)*V78</f>
        <v>63933.454434217514</v>
      </c>
      <c r="J687" s="180">
        <f>(J630/J612)*V79</f>
        <v>0</v>
      </c>
      <c r="K687" s="180">
        <f>(K644/K612)*V75</f>
        <v>1939530.6099214791</v>
      </c>
      <c r="L687" s="180">
        <f>(L647/L612)*V80</f>
        <v>67810.958028134512</v>
      </c>
      <c r="M687" s="180">
        <f t="shared" si="21"/>
        <v>5889713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1659013.23</v>
      </c>
      <c r="D688" s="180">
        <f>(D615/D612)*W76</f>
        <v>0</v>
      </c>
      <c r="E688" s="180">
        <f>(E623/E612)*SUM(C688:D688)</f>
        <v>290359.73928012053</v>
      </c>
      <c r="F688" s="180">
        <f>(F624/F612)*W64</f>
        <v>3936.0659110824972</v>
      </c>
      <c r="G688" s="180">
        <f>(G625/G612)*W77</f>
        <v>0</v>
      </c>
      <c r="H688" s="180">
        <f>(H628/H612)*W60</f>
        <v>42790.671050227218</v>
      </c>
      <c r="I688" s="180">
        <f>(I629/I612)*W78</f>
        <v>0</v>
      </c>
      <c r="J688" s="180">
        <f>(J630/J612)*W79</f>
        <v>0</v>
      </c>
      <c r="K688" s="180">
        <f>(K644/K612)*W75</f>
        <v>491651.20742955909</v>
      </c>
      <c r="L688" s="180">
        <f>(L647/L612)*W80</f>
        <v>40.354185462066759</v>
      </c>
      <c r="M688" s="180">
        <f t="shared" si="21"/>
        <v>828778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2217540.14</v>
      </c>
      <c r="D689" s="180">
        <f>(D615/D612)*X76</f>
        <v>0</v>
      </c>
      <c r="E689" s="180">
        <f>(E623/E612)*SUM(C689:D689)</f>
        <v>388112.86447281798</v>
      </c>
      <c r="F689" s="180">
        <f>(F624/F612)*X64</f>
        <v>7559.1655644828843</v>
      </c>
      <c r="G689" s="180">
        <f>(G625/G612)*X77</f>
        <v>0</v>
      </c>
      <c r="H689" s="180">
        <f>(H628/H612)*X60</f>
        <v>49035.074253445833</v>
      </c>
      <c r="I689" s="180">
        <f>(I629/I612)*X78</f>
        <v>0</v>
      </c>
      <c r="J689" s="180">
        <f>(J630/J612)*X79</f>
        <v>0</v>
      </c>
      <c r="K689" s="180">
        <f>(K644/K612)*X75</f>
        <v>1759103.7548298261</v>
      </c>
      <c r="L689" s="180">
        <f>(L647/L612)*X80</f>
        <v>0</v>
      </c>
      <c r="M689" s="180">
        <f t="shared" si="21"/>
        <v>2203811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12725773.789999997</v>
      </c>
      <c r="D690" s="180">
        <f>(D615/D612)*Y76</f>
        <v>4022404.6190193831</v>
      </c>
      <c r="E690" s="180">
        <f>(E623/E612)*SUM(C690:D690)</f>
        <v>2931258.5507590021</v>
      </c>
      <c r="F690" s="180">
        <f>(F624/F612)*Y64</f>
        <v>87149.868570382998</v>
      </c>
      <c r="G690" s="180">
        <f>(G625/G612)*Y77</f>
        <v>0</v>
      </c>
      <c r="H690" s="180">
        <f>(H628/H612)*Y60</f>
        <v>259836.46698403967</v>
      </c>
      <c r="I690" s="180">
        <f>(I629/I612)*Y78</f>
        <v>890509.96472361463</v>
      </c>
      <c r="J690" s="180">
        <f>(J630/J612)*Y79</f>
        <v>40783.145487193353</v>
      </c>
      <c r="K690" s="180">
        <f>(K644/K612)*Y75</f>
        <v>1209479.7190949058</v>
      </c>
      <c r="L690" s="180">
        <f>(L647/L612)*Y80</f>
        <v>60733.264342732946</v>
      </c>
      <c r="M690" s="180">
        <f t="shared" si="21"/>
        <v>9502156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1684416.5299999998</v>
      </c>
      <c r="D692" s="180">
        <f>(D615/D612)*AA76</f>
        <v>0</v>
      </c>
      <c r="E692" s="180">
        <f>(E623/E612)*SUM(C692:D692)</f>
        <v>294805.813266435</v>
      </c>
      <c r="F692" s="180">
        <f>(F624/F612)*AA64</f>
        <v>18487.843544675339</v>
      </c>
      <c r="G692" s="180">
        <f>(G625/G612)*AA77</f>
        <v>0</v>
      </c>
      <c r="H692" s="180">
        <f>(H628/H612)*AA60</f>
        <v>28527.809236053072</v>
      </c>
      <c r="I692" s="180">
        <f>(I629/I612)*AA78</f>
        <v>0</v>
      </c>
      <c r="J692" s="180">
        <f>(J630/J612)*AA79</f>
        <v>4407.7441832997692</v>
      </c>
      <c r="K692" s="180">
        <f>(K644/K612)*AA75</f>
        <v>279035.33765582065</v>
      </c>
      <c r="L692" s="180">
        <f>(L647/L612)*AA80</f>
        <v>0</v>
      </c>
      <c r="M692" s="180">
        <f t="shared" si="21"/>
        <v>625265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25347247.260000002</v>
      </c>
      <c r="D693" s="180">
        <f>(D615/D612)*AB76</f>
        <v>1451429.8811818163</v>
      </c>
      <c r="E693" s="180">
        <f>(E623/E612)*SUM(C693:D693)</f>
        <v>4690292.2575039854</v>
      </c>
      <c r="F693" s="180">
        <f>(F624/F612)*AB64</f>
        <v>392616.97305045079</v>
      </c>
      <c r="G693" s="180">
        <f>(G625/G612)*AB77</f>
        <v>0</v>
      </c>
      <c r="H693" s="180">
        <f>(H628/H612)*AB60</f>
        <v>410905.89101384714</v>
      </c>
      <c r="I693" s="180">
        <f>(I629/I612)*AB78</f>
        <v>321328.38307179534</v>
      </c>
      <c r="J693" s="180">
        <f>(J630/J612)*AB79</f>
        <v>0</v>
      </c>
      <c r="K693" s="180">
        <f>(K644/K612)*AB75</f>
        <v>4687005.1546612643</v>
      </c>
      <c r="L693" s="180">
        <f>(L647/L612)*AB80</f>
        <v>27207.060866428488</v>
      </c>
      <c r="M693" s="180">
        <f t="shared" si="21"/>
        <v>11980786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4584056.5699999994</v>
      </c>
      <c r="D694" s="180">
        <f>(D615/D612)*AC76</f>
        <v>85588.645914845023</v>
      </c>
      <c r="E694" s="180">
        <f>(E623/E612)*SUM(C694:D694)</f>
        <v>817279.17710680119</v>
      </c>
      <c r="F694" s="180">
        <f>(F624/F612)*AC64</f>
        <v>18845.51369934926</v>
      </c>
      <c r="G694" s="180">
        <f>(G625/G612)*AC77</f>
        <v>0</v>
      </c>
      <c r="H694" s="180">
        <f>(H628/H612)*AC60</f>
        <v>141815.60607759751</v>
      </c>
      <c r="I694" s="180">
        <f>(I629/I612)*AC78</f>
        <v>18948.253413887425</v>
      </c>
      <c r="J694" s="180">
        <f>(J630/J612)*AC79</f>
        <v>0</v>
      </c>
      <c r="K694" s="180">
        <f>(K644/K612)*AC75</f>
        <v>805676.74117239134</v>
      </c>
      <c r="L694" s="180">
        <f>(L647/L612)*AC80</f>
        <v>0</v>
      </c>
      <c r="M694" s="180">
        <f t="shared" si="21"/>
        <v>1888154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2670902.1899999995</v>
      </c>
      <c r="D695" s="180">
        <f>(D615/D612)*AD76</f>
        <v>1440175.1051135033</v>
      </c>
      <c r="E695" s="180">
        <f>(E623/E612)*SUM(C695:D695)</f>
        <v>719518.87422234705</v>
      </c>
      <c r="F695" s="180">
        <f>(F624/F612)*AD64</f>
        <v>1325.6205022315044</v>
      </c>
      <c r="G695" s="180">
        <f>(G625/G612)*AD77</f>
        <v>0</v>
      </c>
      <c r="H695" s="180">
        <f>(H628/H612)*AD60</f>
        <v>4901.5999144775351</v>
      </c>
      <c r="I695" s="180">
        <f>(I629/I612)*AD78</f>
        <v>318836.71672073368</v>
      </c>
      <c r="J695" s="180">
        <f>(J630/J612)*AD79</f>
        <v>7049.2261301557555</v>
      </c>
      <c r="K695" s="180">
        <f>(K644/K612)*AD75</f>
        <v>117710.15679705387</v>
      </c>
      <c r="L695" s="180">
        <f>(L647/L612)*AD80</f>
        <v>1.3451395154022252</v>
      </c>
      <c r="M695" s="180">
        <f t="shared" si="21"/>
        <v>2609519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6267242.0899999999</v>
      </c>
      <c r="D696" s="180">
        <f>(D615/D612)*AE76</f>
        <v>992514.20583820285</v>
      </c>
      <c r="E696" s="180">
        <f>(E623/E612)*SUM(C696:D696)</f>
        <v>1270599.2376545386</v>
      </c>
      <c r="F696" s="180">
        <f>(F624/F612)*AE64</f>
        <v>1013.4929081284131</v>
      </c>
      <c r="G696" s="180">
        <f>(G625/G612)*AE77</f>
        <v>0</v>
      </c>
      <c r="H696" s="180">
        <f>(H628/H612)*AE60</f>
        <v>193862.25098912281</v>
      </c>
      <c r="I696" s="180">
        <f>(I629/I612)*AE78</f>
        <v>219730.20472618082</v>
      </c>
      <c r="J696" s="180">
        <f>(J630/J612)*AE79</f>
        <v>0</v>
      </c>
      <c r="K696" s="180">
        <f>(K644/K612)*AE75</f>
        <v>297579.29488454974</v>
      </c>
      <c r="L696" s="180">
        <f>(L647/L612)*AE80</f>
        <v>0</v>
      </c>
      <c r="M696" s="180">
        <f t="shared" si="21"/>
        <v>2975299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26777826.16591363</v>
      </c>
      <c r="D698" s="180">
        <f>(D615/D612)*AG76</f>
        <v>1760805.3535712562</v>
      </c>
      <c r="E698" s="180">
        <f>(E623/E612)*SUM(C698:D698)</f>
        <v>4994818.2796643889</v>
      </c>
      <c r="F698" s="180">
        <f>(F624/F612)*AG64</f>
        <v>39478.925323528107</v>
      </c>
      <c r="G698" s="180">
        <f>(G625/G612)*AG77</f>
        <v>0</v>
      </c>
      <c r="H698" s="180">
        <f>(H628/H612)*AG60</f>
        <v>409134.69452903129</v>
      </c>
      <c r="I698" s="180">
        <f>(I629/I612)*AG78</f>
        <v>389820.23486144346</v>
      </c>
      <c r="J698" s="180">
        <f>(J630/J612)*AG79</f>
        <v>89686.707855825618</v>
      </c>
      <c r="K698" s="180">
        <f>(K644/K612)*AG75</f>
        <v>2024020.5862361304</v>
      </c>
      <c r="L698" s="180">
        <f>(L647/L612)*AG80</f>
        <v>535826.96378944931</v>
      </c>
      <c r="M698" s="180">
        <f t="shared" si="21"/>
        <v>10243592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151559208.23000002</v>
      </c>
      <c r="D701" s="180">
        <f>(D615/D612)*AJ76</f>
        <v>1919680.9134193019</v>
      </c>
      <c r="E701" s="180">
        <f>(E623/E612)*SUM(C701:D701)</f>
        <v>26861805.21699984</v>
      </c>
      <c r="F701" s="180">
        <f>(F624/F612)*AJ64</f>
        <v>164935.14314958424</v>
      </c>
      <c r="G701" s="180">
        <f>(G625/G612)*AJ77</f>
        <v>0</v>
      </c>
      <c r="H701" s="180">
        <f>(H628/H612)*AJ60</f>
        <v>4087822.3526309342</v>
      </c>
      <c r="I701" s="180">
        <f>(I629/I612)*AJ78</f>
        <v>424993.29242177884</v>
      </c>
      <c r="J701" s="180">
        <f>(J630/J612)*AJ79</f>
        <v>8138.9628544689067</v>
      </c>
      <c r="K701" s="180">
        <f>(K644/K612)*AJ75</f>
        <v>2855530.3625514801</v>
      </c>
      <c r="L701" s="180">
        <f>(L647/L612)*AJ80</f>
        <v>1737204.4730871252</v>
      </c>
      <c r="M701" s="180">
        <f t="shared" si="21"/>
        <v>38060111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2064825.1900000002</v>
      </c>
      <c r="D702" s="180">
        <f>(D615/D612)*AK76</f>
        <v>507337.38633519248</v>
      </c>
      <c r="E702" s="180">
        <f>(E623/E612)*SUM(C702:D702)</f>
        <v>450178.72163127328</v>
      </c>
      <c r="F702" s="180">
        <f>(F624/F612)*AK64</f>
        <v>65.781464152272406</v>
      </c>
      <c r="G702" s="180">
        <f>(G625/G612)*AK77</f>
        <v>0</v>
      </c>
      <c r="H702" s="180">
        <f>(H628/H612)*AK60</f>
        <v>75828.829568863293</v>
      </c>
      <c r="I702" s="180">
        <f>(I629/I612)*AK78</f>
        <v>112318.13822808907</v>
      </c>
      <c r="J702" s="180">
        <f>(J630/J612)*AK79</f>
        <v>8471.4692332355007</v>
      </c>
      <c r="K702" s="180">
        <f>(K644/K612)*AK75</f>
        <v>145581.86160818426</v>
      </c>
      <c r="L702" s="180">
        <f>(L647/L612)*AK80</f>
        <v>0</v>
      </c>
      <c r="M702" s="180">
        <f t="shared" si="21"/>
        <v>1299782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668934.71</v>
      </c>
      <c r="D703" s="180">
        <f>(D615/D612)*AL76</f>
        <v>363904.4262087855</v>
      </c>
      <c r="E703" s="180">
        <f>(E623/E612)*SUM(C703:D703)</f>
        <v>180767.03481616467</v>
      </c>
      <c r="F703" s="180">
        <f>(F624/F612)*AL64</f>
        <v>7.7954996203806726</v>
      </c>
      <c r="G703" s="180">
        <f>(G625/G612)*AL77</f>
        <v>0</v>
      </c>
      <c r="H703" s="180">
        <f>(H628/H612)*AL60</f>
        <v>24208.281341558071</v>
      </c>
      <c r="I703" s="180">
        <f>(I629/I612)*AL78</f>
        <v>80563.878684326657</v>
      </c>
      <c r="J703" s="180">
        <f>(J630/J612)*AL79</f>
        <v>0</v>
      </c>
      <c r="K703" s="180">
        <f>(K644/K612)*AL75</f>
        <v>38132.56472370273</v>
      </c>
      <c r="L703" s="180">
        <f>(L647/L612)*AL80</f>
        <v>0</v>
      </c>
      <c r="M703" s="180">
        <f t="shared" si="21"/>
        <v>687584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-1035961.3</v>
      </c>
      <c r="D707" s="180">
        <f>(D615/D612)*AP76</f>
        <v>156781.64802138277</v>
      </c>
      <c r="E707" s="180">
        <f>(E623/E612)*SUM(C707:D707)</f>
        <v>-153873.62192940342</v>
      </c>
      <c r="F707" s="180">
        <f>(F624/F612)*AP64</f>
        <v>433.72139944968308</v>
      </c>
      <c r="G707" s="180">
        <f>(G625/G612)*AP77</f>
        <v>0</v>
      </c>
      <c r="H707" s="180">
        <f>(H628/H612)*AP60</f>
        <v>0</v>
      </c>
      <c r="I707" s="180">
        <f>(I629/I612)*AP78</f>
        <v>34709.49172757972</v>
      </c>
      <c r="J707" s="180">
        <f>(J630/J612)*AP79</f>
        <v>0</v>
      </c>
      <c r="K707" s="180">
        <f>(K644/K612)*AP75</f>
        <v>1799.1441712446292</v>
      </c>
      <c r="L707" s="180">
        <f>(L647/L612)*AP80</f>
        <v>0</v>
      </c>
      <c r="M707" s="180">
        <f t="shared" si="21"/>
        <v>39850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54627153.052900001</v>
      </c>
      <c r="D709" s="180">
        <f>(D615/D612)*AR76</f>
        <v>3891535.1298529538</v>
      </c>
      <c r="E709" s="180">
        <f>(E623/E612)*SUM(C709:D709)</f>
        <v>10241914.130943257</v>
      </c>
      <c r="F709" s="180">
        <f>(F624/F612)*AR64</f>
        <v>33862.887906927957</v>
      </c>
      <c r="G709" s="180">
        <f>(G625/G612)*AR77</f>
        <v>0</v>
      </c>
      <c r="H709" s="180">
        <f>(H628/H612)*AR60</f>
        <v>1650571.1919958212</v>
      </c>
      <c r="I709" s="180">
        <f>(I629/I612)*AR78</f>
        <v>861537.10017638607</v>
      </c>
      <c r="J709" s="180">
        <f>(J630/J612)*AR79</f>
        <v>0</v>
      </c>
      <c r="K709" s="180">
        <f>(K644/K612)*AR75</f>
        <v>780236.45008534531</v>
      </c>
      <c r="L709" s="180">
        <f>(L647/L612)*AR80</f>
        <v>1120732.5265211223</v>
      </c>
      <c r="M709" s="180">
        <f t="shared" si="21"/>
        <v>18580389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-5471426.0100000016</v>
      </c>
      <c r="D713" s="180">
        <f>(D615/D612)*AV76</f>
        <v>121621.37859866867</v>
      </c>
      <c r="E713" s="180">
        <f>(E623/E612)*SUM(C713:D713)</f>
        <v>-936320.36796552385</v>
      </c>
      <c r="F713" s="180">
        <f>(F624/F612)*AV64</f>
        <v>23881.188471100853</v>
      </c>
      <c r="G713" s="180">
        <f>(G625/G612)*AV77</f>
        <v>0</v>
      </c>
      <c r="H713" s="180">
        <f>(H628/H612)*AV60</f>
        <v>194438.62859705754</v>
      </c>
      <c r="I713" s="180">
        <f>(I629/I612)*AV78</f>
        <v>26925.448785891</v>
      </c>
      <c r="J713" s="180">
        <f>(J630/J612)*AV79</f>
        <v>4263.6672015426911</v>
      </c>
      <c r="K713" s="180">
        <f>(K644/K612)*AV75</f>
        <v>25638.165512971071</v>
      </c>
      <c r="L713" s="180">
        <f>(L647/L612)*AV80</f>
        <v>157590.41178833449</v>
      </c>
      <c r="M713" s="180">
        <f t="shared" si="21"/>
        <v>-381961</v>
      </c>
      <c r="N713" s="199" t="s">
        <v>741</v>
      </c>
    </row>
    <row r="715" spans="1:83" ht="12.6" customHeight="1" x14ac:dyDescent="0.2">
      <c r="C715" s="180">
        <f>SUM(C614:C647)+SUM(C668:C713)</f>
        <v>783683099.00512934</v>
      </c>
      <c r="D715" s="180">
        <f>SUM(D616:D647)+SUM(D668:D713)</f>
        <v>58948405.489999995</v>
      </c>
      <c r="E715" s="180">
        <f>SUM(E624:E647)+SUM(E668:E713)</f>
        <v>116729853.08162844</v>
      </c>
      <c r="F715" s="180">
        <f>SUM(F625:F648)+SUM(F668:F713)</f>
        <v>2715977.8220117069</v>
      </c>
      <c r="G715" s="180">
        <f>SUM(G626:G647)+SUM(G668:G713)</f>
        <v>0</v>
      </c>
      <c r="H715" s="180">
        <f>SUM(H629:H647)+SUM(H668:H713)</f>
        <v>15170647.773058705</v>
      </c>
      <c r="I715" s="180">
        <f>SUM(I630:I647)+SUM(I668:I713)</f>
        <v>9394866.6876441911</v>
      </c>
      <c r="J715" s="180">
        <f>SUM(J631:J647)+SUM(J668:J713)</f>
        <v>969448.58705335634</v>
      </c>
      <c r="K715" s="180">
        <f>SUM(K668:K713)</f>
        <v>38192346.051000439</v>
      </c>
      <c r="L715" s="180">
        <f>SUM(L668:L713)</f>
        <v>11514597.362736261</v>
      </c>
      <c r="M715" s="180">
        <f>SUM(M668:M713)</f>
        <v>222799036</v>
      </c>
      <c r="N715" s="198" t="s">
        <v>742</v>
      </c>
    </row>
    <row r="716" spans="1:83" ht="12.6" customHeight="1" x14ac:dyDescent="0.2">
      <c r="C716" s="180">
        <f>CE71</f>
        <v>783683099.00512969</v>
      </c>
      <c r="D716" s="180">
        <f>D615</f>
        <v>58948405.489999995</v>
      </c>
      <c r="E716" s="180">
        <f>E623</f>
        <v>116729853.08162844</v>
      </c>
      <c r="F716" s="180">
        <f>F624</f>
        <v>2715977.8220117064</v>
      </c>
      <c r="G716" s="180">
        <f>G625</f>
        <v>0</v>
      </c>
      <c r="H716" s="180">
        <f>H628</f>
        <v>15170647.773058699</v>
      </c>
      <c r="I716" s="180">
        <f>I629</f>
        <v>9394866.6876441911</v>
      </c>
      <c r="J716" s="180">
        <f>J630</f>
        <v>969448.58705335646</v>
      </c>
      <c r="K716" s="180">
        <f>K644</f>
        <v>38192346.051000439</v>
      </c>
      <c r="L716" s="180">
        <f>L647</f>
        <v>11514597.362736261</v>
      </c>
      <c r="M716" s="180">
        <f>C648</f>
        <v>222799032.39877433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032*2020*A</v>
      </c>
      <c r="B722" s="274">
        <f>ROUND(C165,0)</f>
        <v>19752195</v>
      </c>
      <c r="C722" s="274">
        <f>ROUND(C166,0)</f>
        <v>2188064</v>
      </c>
      <c r="D722" s="274">
        <f>ROUND(C167,0)</f>
        <v>3243446</v>
      </c>
      <c r="E722" s="274">
        <f>ROUND(C168,0)</f>
        <v>35708496</v>
      </c>
      <c r="F722" s="274">
        <f>ROUND(C169,0)</f>
        <v>576458</v>
      </c>
      <c r="G722" s="274">
        <f>ROUND(C170,0)</f>
        <v>13940555</v>
      </c>
      <c r="H722" s="274">
        <f>ROUND(C171+C172,0)</f>
        <v>2683288</v>
      </c>
      <c r="I722" s="274">
        <f>ROUND(C175,0)</f>
        <v>12667597</v>
      </c>
      <c r="J722" s="274">
        <f>ROUND(C176,0)</f>
        <v>5211581</v>
      </c>
      <c r="K722" s="274">
        <f>ROUND(C179,0)</f>
        <v>6219464</v>
      </c>
      <c r="L722" s="274">
        <f>ROUND(C180,0)</f>
        <v>191471</v>
      </c>
      <c r="M722" s="274">
        <f>ROUND(C183,0)</f>
        <v>458532</v>
      </c>
      <c r="N722" s="274">
        <f>ROUND(C184,0)</f>
        <v>29277009</v>
      </c>
      <c r="O722" s="274">
        <f>ROUND(C185,0)</f>
        <v>0</v>
      </c>
      <c r="P722" s="274">
        <f>ROUND(C188,0)</f>
        <v>0</v>
      </c>
      <c r="Q722" s="274">
        <f>ROUND(C189,0)</f>
        <v>87668</v>
      </c>
      <c r="R722" s="274">
        <f>ROUND(B195,0)</f>
        <v>7877315</v>
      </c>
      <c r="S722" s="274">
        <f>ROUND(C195,0)</f>
        <v>0</v>
      </c>
      <c r="T722" s="274">
        <f>ROUND(D195,0)</f>
        <v>0</v>
      </c>
      <c r="U722" s="274">
        <f>ROUND(B196,0)</f>
        <v>4412190</v>
      </c>
      <c r="V722" s="274">
        <f>ROUND(C196,0)</f>
        <v>0</v>
      </c>
      <c r="W722" s="274">
        <f>ROUND(D196,0)</f>
        <v>0</v>
      </c>
      <c r="X722" s="274">
        <f>ROUND(B197,0)</f>
        <v>182905648</v>
      </c>
      <c r="Y722" s="274">
        <f>ROUND(C197,0)</f>
        <v>3994960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82484704</v>
      </c>
      <c r="AE722" s="274">
        <f>ROUND(C199,0)</f>
        <v>145240</v>
      </c>
      <c r="AF722" s="274">
        <f>ROUND(D199,0)</f>
        <v>0</v>
      </c>
      <c r="AG722" s="274">
        <f>ROUND(B200,0)</f>
        <v>289061758</v>
      </c>
      <c r="AH722" s="274">
        <f>ROUND(C200,0)</f>
        <v>5492330</v>
      </c>
      <c r="AI722" s="274">
        <f>ROUND(D200,0)</f>
        <v>-2468678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50485421</v>
      </c>
      <c r="AN722" s="274">
        <f>ROUND(C202,0)</f>
        <v>4030151</v>
      </c>
      <c r="AO722" s="274">
        <f>ROUND(D202,0)</f>
        <v>925281</v>
      </c>
      <c r="AP722" s="274">
        <f>ROUND(B203,0)</f>
        <v>6879789</v>
      </c>
      <c r="AQ722" s="274">
        <f>ROUND(C203,0)</f>
        <v>4153800</v>
      </c>
      <c r="AR722" s="274">
        <f>ROUND(D203,0)</f>
        <v>0</v>
      </c>
      <c r="AS722" s="274"/>
      <c r="AT722" s="274"/>
      <c r="AU722" s="274"/>
      <c r="AV722" s="274">
        <f>ROUND(B209,0)</f>
        <v>3506388</v>
      </c>
      <c r="AW722" s="274">
        <f>ROUND(C209,0)</f>
        <v>143722</v>
      </c>
      <c r="AX722" s="274">
        <f>ROUND(D209,0)</f>
        <v>0</v>
      </c>
      <c r="AY722" s="274">
        <f>ROUND(B210,0)</f>
        <v>93263389</v>
      </c>
      <c r="AZ722" s="274">
        <f>ROUND(C210,0)</f>
        <v>6604442</v>
      </c>
      <c r="BA722" s="274">
        <f>ROUND(D210,0)</f>
        <v>-10829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65077396</v>
      </c>
      <c r="BF722" s="274">
        <f>ROUND(C212,0)</f>
        <v>1934886</v>
      </c>
      <c r="BG722" s="274">
        <f>ROUND(D212,0)</f>
        <v>-32944</v>
      </c>
      <c r="BH722" s="274">
        <f>ROUND(B213,0)</f>
        <v>224079656</v>
      </c>
      <c r="BI722" s="274">
        <f>ROUND(C213,0)</f>
        <v>20292755</v>
      </c>
      <c r="BJ722" s="274">
        <f>ROUND(D213,0)</f>
        <v>3682862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21715741</v>
      </c>
      <c r="BO722" s="274">
        <f>ROUND(C215,0)</f>
        <v>4142067</v>
      </c>
      <c r="BP722" s="274">
        <f>ROUND(D215,0)</f>
        <v>-406164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1237074914</v>
      </c>
      <c r="BU722" s="274">
        <f>ROUND(C224,0)</f>
        <v>551660259</v>
      </c>
      <c r="BV722" s="274">
        <f>ROUND(C225,0)</f>
        <v>0</v>
      </c>
      <c r="BW722" s="274">
        <f>ROUND(C226,0)</f>
        <v>110755648</v>
      </c>
      <c r="BX722" s="274">
        <f>ROUND(C227,0)</f>
        <v>509529988</v>
      </c>
      <c r="BY722" s="274">
        <f>ROUND(C228,0)</f>
        <v>24626588</v>
      </c>
      <c r="BZ722" s="274">
        <f>ROUND(C231,0)</f>
        <v>18138</v>
      </c>
      <c r="CA722" s="274">
        <f>ROUND(C233,0)</f>
        <v>26224729</v>
      </c>
      <c r="CB722" s="274">
        <f>ROUND(C234,0)</f>
        <v>39236667</v>
      </c>
      <c r="CC722" s="274">
        <f>ROUND(C238+C239,0)</f>
        <v>23225876</v>
      </c>
      <c r="CD722" s="274">
        <f>D221</f>
        <v>-14546739.529999999</v>
      </c>
      <c r="CE722" s="274"/>
    </row>
    <row r="723" spans="1:84" ht="12.6" customHeight="1" x14ac:dyDescent="0.2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032*2020*A</v>
      </c>
      <c r="B726" s="274">
        <f>ROUND(C111,0)</f>
        <v>18347</v>
      </c>
      <c r="C726" s="274">
        <f>ROUND(C112,0)</f>
        <v>0</v>
      </c>
      <c r="D726" s="274">
        <f>ROUND(C113,0)</f>
        <v>0</v>
      </c>
      <c r="E726" s="274">
        <f>ROUND(C114,0)</f>
        <v>3510</v>
      </c>
      <c r="F726" s="274">
        <f>ROUND(D111,0)</f>
        <v>98273</v>
      </c>
      <c r="G726" s="274">
        <f>ROUND(D112,0)</f>
        <v>0</v>
      </c>
      <c r="H726" s="274">
        <f>ROUND(D113,0)</f>
        <v>0</v>
      </c>
      <c r="I726" s="274">
        <f>ROUND(D114,0)</f>
        <v>5196</v>
      </c>
      <c r="J726" s="274">
        <f>ROUND(C116,0)</f>
        <v>48</v>
      </c>
      <c r="K726" s="274">
        <f>ROUND(C117,0)</f>
        <v>34</v>
      </c>
      <c r="L726" s="274">
        <f>ROUND(C118,0)</f>
        <v>214</v>
      </c>
      <c r="M726" s="274">
        <f>ROUND(C119,0)</f>
        <v>0</v>
      </c>
      <c r="N726" s="274">
        <f>ROUND(C120,0)</f>
        <v>32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23</v>
      </c>
      <c r="V726" s="274">
        <f>ROUND(C128,0)</f>
        <v>374</v>
      </c>
      <c r="W726" s="274">
        <f>ROUND(C129,0)</f>
        <v>35</v>
      </c>
      <c r="X726" s="274">
        <f>ROUND(B138,0)</f>
        <v>7859</v>
      </c>
      <c r="Y726" s="274">
        <f>ROUND(B139,0)</f>
        <v>51735</v>
      </c>
      <c r="Z726" s="274">
        <f>ROUND(B140,0)</f>
        <v>0</v>
      </c>
      <c r="AA726" s="274">
        <f>ROUND(B141,0)</f>
        <v>957059046</v>
      </c>
      <c r="AB726" s="274">
        <f>ROUND(B142,0)</f>
        <v>558580824</v>
      </c>
      <c r="AC726" s="274">
        <f>ROUND(C138,0)</f>
        <v>4275</v>
      </c>
      <c r="AD726" s="274">
        <f>ROUND(C139,0)</f>
        <v>24082</v>
      </c>
      <c r="AE726" s="274">
        <f>ROUND(C140,0)</f>
        <v>0</v>
      </c>
      <c r="AF726" s="274">
        <f>ROUND(C141,0)</f>
        <v>380415012</v>
      </c>
      <c r="AG726" s="274">
        <f>ROUND(C142,0)</f>
        <v>254900420</v>
      </c>
      <c r="AH726" s="274">
        <f>ROUND(D138,0)</f>
        <v>6213</v>
      </c>
      <c r="AI726" s="274">
        <f>ROUND(D139,0)</f>
        <v>22456</v>
      </c>
      <c r="AJ726" s="274">
        <f>ROUND(D140,0)</f>
        <v>0</v>
      </c>
      <c r="AK726" s="274">
        <f>ROUND(D141,0)</f>
        <v>557714249</v>
      </c>
      <c r="AL726" s="274">
        <f>ROUND(D142,0)</f>
        <v>548132253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032*2020*A</v>
      </c>
      <c r="B730" s="274">
        <f>ROUND(C250,0)</f>
        <v>138358033</v>
      </c>
      <c r="C730" s="274">
        <f>ROUND(C251,0)</f>
        <v>0</v>
      </c>
      <c r="D730" s="274">
        <f>ROUND(C252,0)</f>
        <v>466756593</v>
      </c>
      <c r="E730" s="274">
        <f>ROUND(C253,0)</f>
        <v>358472834</v>
      </c>
      <c r="F730" s="274">
        <f>ROUND(C254,0)</f>
        <v>0</v>
      </c>
      <c r="G730" s="274">
        <f>ROUND(C255,0)</f>
        <v>42453121</v>
      </c>
      <c r="H730" s="274">
        <f>ROUND(C256,0)</f>
        <v>0</v>
      </c>
      <c r="I730" s="274">
        <f>ROUND(C257,0)</f>
        <v>17434089</v>
      </c>
      <c r="J730" s="274">
        <f>ROUND(C258,0)</f>
        <v>1558283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7877315</v>
      </c>
      <c r="P730" s="274">
        <f>ROUND(C268,0)</f>
        <v>4412190</v>
      </c>
      <c r="Q730" s="274">
        <f>ROUND(C269,0)</f>
        <v>186900608</v>
      </c>
      <c r="R730" s="274">
        <f>ROUND(C270,0)</f>
        <v>0</v>
      </c>
      <c r="S730" s="274">
        <f>ROUND(C271,0)</f>
        <v>82629944</v>
      </c>
      <c r="T730" s="274">
        <f>ROUND(C272,0)</f>
        <v>297022765</v>
      </c>
      <c r="U730" s="274">
        <f>ROUND(C273,0)</f>
        <v>53590291</v>
      </c>
      <c r="V730" s="274">
        <f>ROUND(C274,0)</f>
        <v>11033589</v>
      </c>
      <c r="W730" s="274">
        <f>ROUND(C275,0)</f>
        <v>0</v>
      </c>
      <c r="X730" s="274">
        <f>ROUND(C276,0)</f>
        <v>437527517</v>
      </c>
      <c r="Y730" s="274">
        <f>ROUND(C279,0)</f>
        <v>0</v>
      </c>
      <c r="Z730" s="274">
        <f>ROUND(C280,0)</f>
        <v>0</v>
      </c>
      <c r="AA730" s="274">
        <f>ROUND(C281,0)</f>
        <v>19458559</v>
      </c>
      <c r="AB730" s="274">
        <f>ROUND(C282,0)</f>
        <v>56352837</v>
      </c>
      <c r="AC730" s="274">
        <f>ROUND(C286,0)</f>
        <v>4345844</v>
      </c>
      <c r="AD730" s="274">
        <f>ROUND(C287,0)</f>
        <v>0</v>
      </c>
      <c r="AE730" s="274">
        <f>ROUND(C288,0)</f>
        <v>0</v>
      </c>
      <c r="AF730" s="274">
        <f>ROUND(C289,0)</f>
        <v>312148</v>
      </c>
      <c r="AG730" s="274">
        <f>ROUND(C304,0)</f>
        <v>0</v>
      </c>
      <c r="AH730" s="274">
        <f>ROUND(C305,0)</f>
        <v>9734981</v>
      </c>
      <c r="AI730" s="274">
        <f>ROUND(C306,0)</f>
        <v>36255428</v>
      </c>
      <c r="AJ730" s="274">
        <f>ROUND(C307,0)</f>
        <v>111178788</v>
      </c>
      <c r="AK730" s="274">
        <f>ROUND(C308,0)</f>
        <v>0</v>
      </c>
      <c r="AL730" s="274">
        <f>ROUND(C309,0)</f>
        <v>61457469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1820372</v>
      </c>
      <c r="AQ730" s="274">
        <f>ROUND(C316,0)</f>
        <v>0</v>
      </c>
      <c r="AR730" s="274">
        <f>ROUND(C317,0)</f>
        <v>0</v>
      </c>
      <c r="AS730" s="274">
        <f>ROUND(C318,0)</f>
        <v>57061894</v>
      </c>
      <c r="AT730" s="274">
        <f>ROUND(C321,0)</f>
        <v>0</v>
      </c>
      <c r="AU730" s="274">
        <f>ROUND(C322,0)</f>
        <v>0</v>
      </c>
      <c r="AV730" s="274">
        <f>ROUND(C323,0)</f>
        <v>982495</v>
      </c>
      <c r="AW730" s="274">
        <f>ROUND(C324,0)</f>
        <v>3916108</v>
      </c>
      <c r="AX730" s="274">
        <f>ROUND(C325,0)</f>
        <v>0</v>
      </c>
      <c r="AY730" s="274">
        <f>ROUND(C326,0)</f>
        <v>0</v>
      </c>
      <c r="AZ730" s="274">
        <f>ROUND(C327,0)</f>
        <v>1306929</v>
      </c>
      <c r="BA730" s="274">
        <f>ROUND(C328,0)</f>
        <v>0</v>
      </c>
      <c r="BB730" s="274">
        <f>ROUND(C332,0)</f>
        <v>312601766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3241.45</v>
      </c>
      <c r="BJ730" s="274">
        <f>ROUND(C359,0)</f>
        <v>1895188307</v>
      </c>
      <c r="BK730" s="274">
        <f>ROUND(C360,0)</f>
        <v>1361613497</v>
      </c>
      <c r="BL730" s="274">
        <f>ROUND(C364,0)</f>
        <v>2433647397</v>
      </c>
      <c r="BM730" s="274">
        <f>ROUND(C365,0)</f>
        <v>65461396</v>
      </c>
      <c r="BN730" s="274">
        <f>ROUND(C366,0)</f>
        <v>23225876</v>
      </c>
      <c r="BO730" s="274">
        <f>ROUND(C370,0)</f>
        <v>34254566</v>
      </c>
      <c r="BP730" s="274">
        <f>ROUND(C371,0)</f>
        <v>0</v>
      </c>
      <c r="BQ730" s="274">
        <f>ROUND(C378,0)</f>
        <v>312834202</v>
      </c>
      <c r="BR730" s="274">
        <f>ROUND(C379,0)</f>
        <v>78092503</v>
      </c>
      <c r="BS730" s="274">
        <f>ROUND(C380,0)</f>
        <v>29499969</v>
      </c>
      <c r="BT730" s="274">
        <f>ROUND(C381,0)</f>
        <v>108763560</v>
      </c>
      <c r="BU730" s="274">
        <f>ROUND(C382,0)</f>
        <v>4511630</v>
      </c>
      <c r="BV730" s="274">
        <f>ROUND(C383,0)</f>
        <v>188108218</v>
      </c>
      <c r="BW730" s="274">
        <f>ROUND(C384,0)</f>
        <v>33117872</v>
      </c>
      <c r="BX730" s="274">
        <f>ROUND(C385,0)</f>
        <v>17879178</v>
      </c>
      <c r="BY730" s="274">
        <f>ROUND(C386,0)</f>
        <v>6410935</v>
      </c>
      <c r="BZ730" s="274">
        <f>ROUND(C387,0)</f>
        <v>29735540</v>
      </c>
      <c r="CA730" s="274">
        <f>ROUND(C388,0)</f>
        <v>87668</v>
      </c>
      <c r="CB730" s="274">
        <f>C363</f>
        <v>-14546739.529999999</v>
      </c>
      <c r="CC730" s="274">
        <f>ROUND(C389,0)</f>
        <v>8896387</v>
      </c>
      <c r="CD730" s="274">
        <f>ROUND(C392,0)</f>
        <v>1087836</v>
      </c>
      <c r="CE730" s="274">
        <f>ROUND(C394,0)</f>
        <v>0</v>
      </c>
      <c r="CF730" s="201">
        <f>ROUND(C395,0)</f>
        <v>0</v>
      </c>
    </row>
    <row r="731" spans="1:84" ht="12.6" customHeight="1" x14ac:dyDescent="0.2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032*2020*6010*A</v>
      </c>
      <c r="B734" s="274">
        <f>ROUND(C59,0)</f>
        <v>19380</v>
      </c>
      <c r="C734" s="274">
        <f>ROUND(C60,2)</f>
        <v>183.35</v>
      </c>
      <c r="D734" s="274">
        <f>ROUND(C61,0)</f>
        <v>18266660</v>
      </c>
      <c r="E734" s="274">
        <f>ROUND(C62,0)</f>
        <v>4792558</v>
      </c>
      <c r="F734" s="274">
        <f>ROUND(C63,0)</f>
        <v>4524323</v>
      </c>
      <c r="G734" s="274">
        <f>ROUND(C64,0)</f>
        <v>2744291</v>
      </c>
      <c r="H734" s="274">
        <f>ROUND(C65,0)</f>
        <v>4284</v>
      </c>
      <c r="I734" s="274">
        <f>ROUND(C66,0)</f>
        <v>337581</v>
      </c>
      <c r="J734" s="274">
        <f>ROUND(C67,0)</f>
        <v>1422742</v>
      </c>
      <c r="K734" s="274">
        <f>ROUND(C68,0)</f>
        <v>29500</v>
      </c>
      <c r="L734" s="274">
        <f>ROUND(C69,0)</f>
        <v>168453</v>
      </c>
      <c r="M734" s="274">
        <f>ROUND(C70,0)</f>
        <v>37500</v>
      </c>
      <c r="N734" s="274">
        <f>ROUND(C75,0)</f>
        <v>120159975</v>
      </c>
      <c r="O734" s="274">
        <f>ROUND(C73,0)</f>
        <v>119685100</v>
      </c>
      <c r="P734" s="274">
        <f>IF(C76&gt;0,ROUND(C76,0),0)</f>
        <v>20827</v>
      </c>
      <c r="Q734" s="274">
        <f>IF(C77&gt;0,ROUND(C77,0),0)</f>
        <v>71410</v>
      </c>
      <c r="R734" s="274">
        <f>IF(C78&gt;0,ROUND(C78,0),0)</f>
        <v>8693</v>
      </c>
      <c r="S734" s="274">
        <f>IF(C79&gt;0,ROUND(C79,0),0)</f>
        <v>345708</v>
      </c>
      <c r="T734" s="274">
        <f>IF(C80&gt;0,ROUND(C80,2),0)</f>
        <v>127.74</v>
      </c>
      <c r="U734" s="274"/>
      <c r="V734" s="274"/>
      <c r="W734" s="274"/>
      <c r="X734" s="274"/>
      <c r="Y734" s="274">
        <f>IF(M668&lt;&gt;0,ROUND(M668,0),0)</f>
        <v>12124930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">
      <c r="A735" s="209" t="str">
        <f>RIGHT($C$83,3)&amp;"*"&amp;RIGHT($C$82,4)&amp;"*"&amp;D$55&amp;"*"&amp;"A"</f>
        <v>032*2020*6030*A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2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">
      <c r="A736" s="209" t="str">
        <f>RIGHT($C$83,3)&amp;"*"&amp;RIGHT($C$82,4)&amp;"*"&amp;E$55&amp;"*"&amp;"A"</f>
        <v>032*2020*6070*A</v>
      </c>
      <c r="B736" s="274">
        <f>ROUND(E59,0)</f>
        <v>78893</v>
      </c>
      <c r="C736" s="276">
        <f>ROUND(E60,2)</f>
        <v>571.16</v>
      </c>
      <c r="D736" s="274">
        <f>ROUND(E61,0)</f>
        <v>46786375</v>
      </c>
      <c r="E736" s="274">
        <f>ROUND(E62,0)</f>
        <v>13998376</v>
      </c>
      <c r="F736" s="274">
        <f>ROUND(E63,0)</f>
        <v>38750</v>
      </c>
      <c r="G736" s="274">
        <f>ROUND(E64,0)</f>
        <v>3790409</v>
      </c>
      <c r="H736" s="274">
        <f>ROUND(E65,0)</f>
        <v>6741</v>
      </c>
      <c r="I736" s="274">
        <f>ROUND(E66,0)</f>
        <v>2540625</v>
      </c>
      <c r="J736" s="274">
        <f>ROUND(E67,0)</f>
        <v>2851829</v>
      </c>
      <c r="K736" s="274">
        <f>ROUND(E68,0)</f>
        <v>62112</v>
      </c>
      <c r="L736" s="274">
        <f>ROUND(E69,0)</f>
        <v>159072</v>
      </c>
      <c r="M736" s="274">
        <f>ROUND(E70,0)</f>
        <v>45500</v>
      </c>
      <c r="N736" s="274">
        <f>ROUND(E75,0)</f>
        <v>312846779</v>
      </c>
      <c r="O736" s="274">
        <f>ROUND(E73,0)</f>
        <v>282298887</v>
      </c>
      <c r="P736" s="274">
        <f>IF(E76&gt;0,ROUND(E76,0),0)</f>
        <v>104972</v>
      </c>
      <c r="Q736" s="274">
        <f>IF(E77&gt;0,ROUND(E77,0),0)</f>
        <v>218750</v>
      </c>
      <c r="R736" s="274">
        <f>IF(E78&gt;0,ROUND(E78,0),0)</f>
        <v>43814</v>
      </c>
      <c r="S736" s="274">
        <f>IF(E79&gt;0,ROUND(E79,0),0)</f>
        <v>724156</v>
      </c>
      <c r="T736" s="276">
        <f>IF(E80&gt;0,ROUND(E80,2),0)</f>
        <v>325.92</v>
      </c>
      <c r="U736" s="274"/>
      <c r="V736" s="275"/>
      <c r="W736" s="274"/>
      <c r="X736" s="274"/>
      <c r="Y736" s="274">
        <f t="shared" si="22"/>
        <v>35571249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">
      <c r="A737" s="209" t="str">
        <f>RIGHT($C$83,3)&amp;"*"&amp;RIGHT($C$82,4)&amp;"*"&amp;F$55&amp;"*"&amp;"A"</f>
        <v>032*2020*6100*A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2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">
      <c r="A738" s="209" t="str">
        <f>RIGHT($C$83,3)&amp;"*"&amp;RIGHT($C$82,4)&amp;"*"&amp;G$55&amp;"*"&amp;"A"</f>
        <v>032*2020*6120*A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2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">
      <c r="A739" s="209" t="str">
        <f>RIGHT($C$83,3)&amp;"*"&amp;RIGHT($C$82,4)&amp;"*"&amp;H$55&amp;"*"&amp;"A"</f>
        <v>032*2020*6140*A</v>
      </c>
      <c r="B739" s="274">
        <f>ROUND(H59,0)</f>
        <v>0</v>
      </c>
      <c r="C739" s="276">
        <f>ROUND(H60,2)</f>
        <v>0</v>
      </c>
      <c r="D739" s="274">
        <f>ROUND(H61,0)</f>
        <v>194</v>
      </c>
      <c r="E739" s="274">
        <f>ROUND(H62,0)</f>
        <v>15</v>
      </c>
      <c r="F739" s="274">
        <f>ROUND(H63,0)</f>
        <v>-7</v>
      </c>
      <c r="G739" s="274">
        <f>ROUND(H64,0)</f>
        <v>1745</v>
      </c>
      <c r="H739" s="274">
        <f>ROUND(H65,0)</f>
        <v>4</v>
      </c>
      <c r="I739" s="274">
        <f>ROUND(H66,0)</f>
        <v>201</v>
      </c>
      <c r="J739" s="274">
        <f>ROUND(H67,0)</f>
        <v>184390</v>
      </c>
      <c r="K739" s="274">
        <f>ROUND(H68,0)</f>
        <v>897</v>
      </c>
      <c r="L739" s="274">
        <f>ROUND(H69,0)</f>
        <v>50</v>
      </c>
      <c r="M739" s="274">
        <f>ROUND(H70,0)</f>
        <v>0</v>
      </c>
      <c r="N739" s="274">
        <f>ROUND(H75,0)</f>
        <v>2500</v>
      </c>
      <c r="O739" s="274">
        <f>ROUND(H73,0)</f>
        <v>0</v>
      </c>
      <c r="P739" s="274">
        <f>IF(H76&gt;0,ROUND(H76,0),0)</f>
        <v>2001</v>
      </c>
      <c r="Q739" s="274">
        <f>IF(H77&gt;0,ROUND(H77,0),0)</f>
        <v>0</v>
      </c>
      <c r="R739" s="274">
        <f>IF(H78&gt;0,ROUND(H78,0),0)</f>
        <v>835</v>
      </c>
      <c r="S739" s="274">
        <f>IF(H79&gt;0,ROUND(H79,0),0)</f>
        <v>1055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2"/>
        <v>277065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">
      <c r="A740" s="209" t="str">
        <f>RIGHT($C$83,3)&amp;"*"&amp;RIGHT($C$82,4)&amp;"*"&amp;I$55&amp;"*"&amp;"A"</f>
        <v>032*2020*6150*A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2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">
      <c r="A741" s="209" t="str">
        <f>RIGHT($C$83,3)&amp;"*"&amp;RIGHT($C$82,4)&amp;"*"&amp;J$55&amp;"*"&amp;"A"</f>
        <v>032*2020*6170*A</v>
      </c>
      <c r="B741" s="274">
        <f>ROUND(J59,0)</f>
        <v>5196</v>
      </c>
      <c r="C741" s="276">
        <f>ROUND(J60,2)</f>
        <v>55.08</v>
      </c>
      <c r="D741" s="274">
        <f>ROUND(J61,0)</f>
        <v>5274899</v>
      </c>
      <c r="E741" s="274">
        <f>ROUND(J62,0)</f>
        <v>1475397</v>
      </c>
      <c r="F741" s="274">
        <f>ROUND(J63,0)</f>
        <v>937315</v>
      </c>
      <c r="G741" s="274">
        <f>ROUND(J64,0)</f>
        <v>966893</v>
      </c>
      <c r="H741" s="274">
        <f>ROUND(J65,0)</f>
        <v>1659</v>
      </c>
      <c r="I741" s="274">
        <f>ROUND(J66,0)</f>
        <v>490970</v>
      </c>
      <c r="J741" s="274">
        <f>ROUND(J67,0)</f>
        <v>209263</v>
      </c>
      <c r="K741" s="274">
        <f>ROUND(J68,0)</f>
        <v>481</v>
      </c>
      <c r="L741" s="274">
        <f>ROUND(J69,0)</f>
        <v>71642</v>
      </c>
      <c r="M741" s="274">
        <f>ROUND(J70,0)</f>
        <v>27350</v>
      </c>
      <c r="N741" s="274">
        <f>ROUND(J75,0)</f>
        <v>54372553</v>
      </c>
      <c r="O741" s="274">
        <f>ROUND(J73,0)</f>
        <v>54372390</v>
      </c>
      <c r="P741" s="274">
        <f>IF(J76&gt;0,ROUND(J76,0),0)</f>
        <v>2522</v>
      </c>
      <c r="Q741" s="274">
        <f>IF(J77&gt;0,ROUND(J77,0),0)</f>
        <v>0</v>
      </c>
      <c r="R741" s="274">
        <f>IF(J78&gt;0,ROUND(J78,0),0)</f>
        <v>1053</v>
      </c>
      <c r="S741" s="274">
        <f>IF(J79&gt;0,ROUND(J79,0),0)</f>
        <v>0</v>
      </c>
      <c r="T741" s="276">
        <f>IF(J80&gt;0,ROUND(J80,2),0)</f>
        <v>34.01</v>
      </c>
      <c r="U741" s="274"/>
      <c r="V741" s="275"/>
      <c r="W741" s="274"/>
      <c r="X741" s="274"/>
      <c r="Y741" s="274">
        <f t="shared" si="22"/>
        <v>3265864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">
      <c r="A742" s="209" t="str">
        <f>RIGHT($C$83,3)&amp;"*"&amp;RIGHT($C$82,4)&amp;"*"&amp;K$55&amp;"*"&amp;"A"</f>
        <v>032*2020*6200*A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2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">
      <c r="A743" s="209" t="str">
        <f>RIGHT($C$83,3)&amp;"*"&amp;RIGHT($C$82,4)&amp;"*"&amp;L$55&amp;"*"&amp;"A"</f>
        <v>032*2020*6210*A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2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">
      <c r="A744" s="209" t="str">
        <f>RIGHT($C$83,3)&amp;"*"&amp;RIGHT($C$82,4)&amp;"*"&amp;M$55&amp;"*"&amp;"A"</f>
        <v>032*2020*6330*A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2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">
      <c r="A745" s="209" t="str">
        <f>RIGHT($C$83,3)&amp;"*"&amp;RIGHT($C$82,4)&amp;"*"&amp;N$55&amp;"*"&amp;"A"</f>
        <v>032*2020*6400*A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2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">
      <c r="A746" s="209" t="str">
        <f>RIGHT($C$83,3)&amp;"*"&amp;RIGHT($C$82,4)&amp;"*"&amp;O$55&amp;"*"&amp;"A"</f>
        <v>032*2020*7010*A</v>
      </c>
      <c r="B746" s="274">
        <f>ROUND(O59,0)</f>
        <v>19036</v>
      </c>
      <c r="C746" s="276">
        <f>ROUND(O60,2)</f>
        <v>141.38999999999999</v>
      </c>
      <c r="D746" s="274">
        <f>ROUND(O61,0)</f>
        <v>13475552</v>
      </c>
      <c r="E746" s="274">
        <f>ROUND(O62,0)</f>
        <v>3730096</v>
      </c>
      <c r="F746" s="274">
        <f>ROUND(O63,0)</f>
        <v>1668659</v>
      </c>
      <c r="G746" s="274">
        <f>ROUND(O64,0)</f>
        <v>1450510</v>
      </c>
      <c r="H746" s="274">
        <f>ROUND(O65,0)</f>
        <v>4044</v>
      </c>
      <c r="I746" s="274">
        <f>ROUND(O66,0)</f>
        <v>756293</v>
      </c>
      <c r="J746" s="274">
        <f>ROUND(O67,0)</f>
        <v>762813</v>
      </c>
      <c r="K746" s="274">
        <f>ROUND(O68,0)</f>
        <v>188003</v>
      </c>
      <c r="L746" s="274">
        <f>ROUND(O69,0)</f>
        <v>71987</v>
      </c>
      <c r="M746" s="274">
        <f>ROUND(O70,0)</f>
        <v>36190</v>
      </c>
      <c r="N746" s="274">
        <f>ROUND(O75,0)</f>
        <v>151033713</v>
      </c>
      <c r="O746" s="274">
        <f>ROUND(O73,0)</f>
        <v>139916024</v>
      </c>
      <c r="P746" s="274">
        <f>IF(O76&gt;0,ROUND(O76,0),0)</f>
        <v>17619</v>
      </c>
      <c r="Q746" s="274">
        <f>IF(O77&gt;0,ROUND(O77,0),0)</f>
        <v>0</v>
      </c>
      <c r="R746" s="274">
        <f>IF(O78&gt;0,ROUND(O78,0),0)</f>
        <v>7354</v>
      </c>
      <c r="S746" s="274">
        <f>IF(O79&gt;0,ROUND(O79,0),0)</f>
        <v>290597</v>
      </c>
      <c r="T746" s="276">
        <f>IF(O80&gt;0,ROUND(O80,2),0)</f>
        <v>85.41</v>
      </c>
      <c r="U746" s="274"/>
      <c r="V746" s="275"/>
      <c r="W746" s="274"/>
      <c r="X746" s="274"/>
      <c r="Y746" s="274">
        <f t="shared" si="22"/>
        <v>9579988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">
      <c r="A747" s="209" t="str">
        <f>RIGHT($C$83,3)&amp;"*"&amp;RIGHT($C$82,4)&amp;"*"&amp;P$55&amp;"*"&amp;"A"</f>
        <v>032*2020*7020*A</v>
      </c>
      <c r="B747" s="274">
        <f>ROUND(P59,0)</f>
        <v>1620184</v>
      </c>
      <c r="C747" s="276">
        <f>ROUND(P60,2)</f>
        <v>227.3</v>
      </c>
      <c r="D747" s="274">
        <f>ROUND(P61,0)</f>
        <v>24347366</v>
      </c>
      <c r="E747" s="274">
        <f>ROUND(P62,0)</f>
        <v>5804694</v>
      </c>
      <c r="F747" s="274">
        <f>ROUND(P63,0)</f>
        <v>4619142</v>
      </c>
      <c r="G747" s="274">
        <f>ROUND(P64,0)</f>
        <v>45165029</v>
      </c>
      <c r="H747" s="274">
        <f>ROUND(P65,0)</f>
        <v>9662</v>
      </c>
      <c r="I747" s="274">
        <f>ROUND(P66,0)</f>
        <v>4395251</v>
      </c>
      <c r="J747" s="274">
        <f>ROUND(P67,0)</f>
        <v>7212076</v>
      </c>
      <c r="K747" s="274">
        <f>ROUND(P68,0)</f>
        <v>716535</v>
      </c>
      <c r="L747" s="274">
        <f>ROUND(P69,0)</f>
        <v>1031401</v>
      </c>
      <c r="M747" s="274">
        <f>ROUND(P70,0)</f>
        <v>17822</v>
      </c>
      <c r="N747" s="274">
        <f>ROUND(P75,0)</f>
        <v>936317771</v>
      </c>
      <c r="O747" s="274">
        <f>ROUND(P73,0)</f>
        <v>508837305</v>
      </c>
      <c r="P747" s="274">
        <f>IF(P76&gt;0,ROUND(P76,0),0)</f>
        <v>89564</v>
      </c>
      <c r="Q747" s="274">
        <f>IF(P77&gt;0,ROUND(P77,0),0)</f>
        <v>2249</v>
      </c>
      <c r="R747" s="274">
        <f>IF(P78&gt;0,ROUND(P78,0),0)</f>
        <v>37383</v>
      </c>
      <c r="S747" s="274">
        <f>IF(P79&gt;0,ROUND(P79,0),0)</f>
        <v>656624</v>
      </c>
      <c r="T747" s="276">
        <f>IF(P80&gt;0,ROUND(P80,2),0)</f>
        <v>92.59</v>
      </c>
      <c r="U747" s="274"/>
      <c r="V747" s="275"/>
      <c r="W747" s="274"/>
      <c r="X747" s="274"/>
      <c r="Y747" s="274">
        <f t="shared" si="22"/>
        <v>41744928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">
      <c r="A748" s="209" t="str">
        <f>RIGHT($C$83,3)&amp;"*"&amp;RIGHT($C$82,4)&amp;"*"&amp;Q$55&amp;"*"&amp;"A"</f>
        <v>032*2020*7030*A</v>
      </c>
      <c r="B748" s="274">
        <f>ROUND(Q59,0)</f>
        <v>637605</v>
      </c>
      <c r="C748" s="276">
        <f>ROUND(Q60,2)</f>
        <v>18.52</v>
      </c>
      <c r="D748" s="274">
        <f>ROUND(Q61,0)</f>
        <v>1959924</v>
      </c>
      <c r="E748" s="274">
        <f>ROUND(Q62,0)</f>
        <v>509138</v>
      </c>
      <c r="F748" s="274">
        <f>ROUND(Q63,0)</f>
        <v>0</v>
      </c>
      <c r="G748" s="274">
        <f>ROUND(Q64,0)</f>
        <v>140604</v>
      </c>
      <c r="H748" s="274">
        <f>ROUND(Q65,0)</f>
        <v>481</v>
      </c>
      <c r="I748" s="274">
        <f>ROUND(Q66,0)</f>
        <v>26439</v>
      </c>
      <c r="J748" s="274">
        <f>ROUND(Q67,0)</f>
        <v>39686</v>
      </c>
      <c r="K748" s="274">
        <f>ROUND(Q68,0)</f>
        <v>2842</v>
      </c>
      <c r="L748" s="274">
        <f>ROUND(Q69,0)</f>
        <v>22930</v>
      </c>
      <c r="M748" s="274">
        <f>ROUND(Q70,0)</f>
        <v>0</v>
      </c>
      <c r="N748" s="274">
        <f>ROUND(Q75,0)</f>
        <v>27081978</v>
      </c>
      <c r="O748" s="274">
        <f>ROUND(Q73,0)</f>
        <v>14481646</v>
      </c>
      <c r="P748" s="274">
        <f>IF(Q76&gt;0,ROUND(Q76,0),0)</f>
        <v>2369</v>
      </c>
      <c r="Q748" s="274">
        <f>IF(Q77&gt;0,ROUND(Q77,0),0)</f>
        <v>0</v>
      </c>
      <c r="R748" s="274">
        <f>IF(Q78&gt;0,ROUND(Q78,0),0)</f>
        <v>989</v>
      </c>
      <c r="S748" s="274">
        <f>IF(Q79&gt;0,ROUND(Q79,0),0)</f>
        <v>55427</v>
      </c>
      <c r="T748" s="276">
        <f>IF(Q80&gt;0,ROUND(Q80,2),0)</f>
        <v>13.13</v>
      </c>
      <c r="U748" s="274"/>
      <c r="V748" s="275"/>
      <c r="W748" s="274"/>
      <c r="X748" s="274"/>
      <c r="Y748" s="274">
        <f t="shared" si="22"/>
        <v>1342122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">
      <c r="A749" s="209" t="str">
        <f>RIGHT($C$83,3)&amp;"*"&amp;RIGHT($C$82,4)&amp;"*"&amp;R$55&amp;"*"&amp;"A"</f>
        <v>032*2020*7040*A</v>
      </c>
      <c r="B749" s="274">
        <f>ROUND(R59,0)</f>
        <v>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0</v>
      </c>
      <c r="G749" s="274">
        <f>ROUND(R64,0)</f>
        <v>0</v>
      </c>
      <c r="H749" s="274">
        <f>ROUND(R65,0)</f>
        <v>0</v>
      </c>
      <c r="I749" s="274">
        <f>ROUND(R66,0)</f>
        <v>0</v>
      </c>
      <c r="J749" s="274">
        <f>ROUND(R67,0)</f>
        <v>0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0</v>
      </c>
      <c r="O749" s="274">
        <f>ROUND(R73,0)</f>
        <v>0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2"/>
        <v>0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">
      <c r="A750" s="209" t="str">
        <f>RIGHT($C$83,3)&amp;"*"&amp;RIGHT($C$82,4)&amp;"*"&amp;S$55&amp;"*"&amp;"A"</f>
        <v>032*2020*7050*A</v>
      </c>
      <c r="B750" s="274"/>
      <c r="C750" s="276">
        <f>ROUND(S60,2)</f>
        <v>40.1</v>
      </c>
      <c r="D750" s="274">
        <f>ROUND(S61,0)</f>
        <v>1818333</v>
      </c>
      <c r="E750" s="274">
        <f>ROUND(S62,0)</f>
        <v>809252</v>
      </c>
      <c r="F750" s="274">
        <f>ROUND(S63,0)</f>
        <v>0</v>
      </c>
      <c r="G750" s="274">
        <f>ROUND(S64,0)</f>
        <v>-1184727</v>
      </c>
      <c r="H750" s="274">
        <f>ROUND(S65,0)</f>
        <v>0</v>
      </c>
      <c r="I750" s="274">
        <f>ROUND(S66,0)</f>
        <v>187873</v>
      </c>
      <c r="J750" s="274">
        <f>ROUND(S67,0)</f>
        <v>248073</v>
      </c>
      <c r="K750" s="274">
        <f>ROUND(S68,0)</f>
        <v>147234</v>
      </c>
      <c r="L750" s="274">
        <f>ROUND(S69,0)</f>
        <v>99314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17441</v>
      </c>
      <c r="Q750" s="274">
        <f>IF(S77&gt;0,ROUND(S77,0),0)</f>
        <v>0</v>
      </c>
      <c r="R750" s="274">
        <f>IF(S78&gt;0,ROUND(S78,0),0)</f>
        <v>7280</v>
      </c>
      <c r="S750" s="274">
        <f>IF(S79&gt;0,ROUND(S79,0),0)</f>
        <v>13732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2"/>
        <v>2668939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">
      <c r="A751" s="209" t="str">
        <f>RIGHT($C$83,3)&amp;"*"&amp;RIGHT($C$82,4)&amp;"*"&amp;T$55&amp;"*"&amp;"A"</f>
        <v>032*2020*7060*A</v>
      </c>
      <c r="B751" s="274"/>
      <c r="C751" s="276">
        <f>ROUND(T60,2)</f>
        <v>13.06</v>
      </c>
      <c r="D751" s="274">
        <f>ROUND(T61,0)</f>
        <v>1611618</v>
      </c>
      <c r="E751" s="274">
        <f>ROUND(T62,0)</f>
        <v>386352</v>
      </c>
      <c r="F751" s="274">
        <f>ROUND(T63,0)</f>
        <v>0</v>
      </c>
      <c r="G751" s="274">
        <f>ROUND(T64,0)</f>
        <v>1045941</v>
      </c>
      <c r="H751" s="274">
        <f>ROUND(T65,0)</f>
        <v>656</v>
      </c>
      <c r="I751" s="274">
        <f>ROUND(T66,0)</f>
        <v>1037315</v>
      </c>
      <c r="J751" s="274">
        <f>ROUND(T67,0)</f>
        <v>42353</v>
      </c>
      <c r="K751" s="274">
        <f>ROUND(T68,0)</f>
        <v>404</v>
      </c>
      <c r="L751" s="274">
        <f>ROUND(T69,0)</f>
        <v>2976</v>
      </c>
      <c r="M751" s="274">
        <f>ROUND(T70,0)</f>
        <v>0</v>
      </c>
      <c r="N751" s="274">
        <f>ROUND(T75,0)</f>
        <v>16152814</v>
      </c>
      <c r="O751" s="274">
        <f>ROUND(T73,0)</f>
        <v>15096869</v>
      </c>
      <c r="P751" s="274">
        <f>IF(T76&gt;0,ROUND(T76,0),0)</f>
        <v>0</v>
      </c>
      <c r="Q751" s="274">
        <f>IF(T77&gt;0,ROUND(T77,0),0)</f>
        <v>22502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11.42</v>
      </c>
      <c r="U751" s="274"/>
      <c r="V751" s="275"/>
      <c r="W751" s="274"/>
      <c r="X751" s="274"/>
      <c r="Y751" s="274">
        <f t="shared" si="22"/>
        <v>1129953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">
      <c r="A752" s="209" t="str">
        <f>RIGHT($C$83,3)&amp;"*"&amp;RIGHT($C$82,4)&amp;"*"&amp;U$55&amp;"*"&amp;"A"</f>
        <v>032*2020*7070*A</v>
      </c>
      <c r="B752" s="274">
        <f>ROUND(U59,0)</f>
        <v>1389157</v>
      </c>
      <c r="C752" s="276">
        <f>ROUND(U60,2)</f>
        <v>87.3</v>
      </c>
      <c r="D752" s="274">
        <f>ROUND(U61,0)</f>
        <v>7280053</v>
      </c>
      <c r="E752" s="274">
        <f>ROUND(U62,0)</f>
        <v>2071463</v>
      </c>
      <c r="F752" s="274">
        <f>ROUND(U63,0)</f>
        <v>77528</v>
      </c>
      <c r="G752" s="274">
        <f>ROUND(U64,0)</f>
        <v>7182558</v>
      </c>
      <c r="H752" s="274">
        <f>ROUND(U65,0)</f>
        <v>61144</v>
      </c>
      <c r="I752" s="274">
        <f>ROUND(U66,0)</f>
        <v>4161682</v>
      </c>
      <c r="J752" s="274">
        <f>ROUND(U67,0)</f>
        <v>466522</v>
      </c>
      <c r="K752" s="274">
        <f>ROUND(U68,0)</f>
        <v>453091</v>
      </c>
      <c r="L752" s="274">
        <f>ROUND(U69,0)</f>
        <v>130241</v>
      </c>
      <c r="M752" s="274">
        <f>ROUND(U70,0)</f>
        <v>1259209</v>
      </c>
      <c r="N752" s="274">
        <f>ROUND(U75,0)</f>
        <v>150150490</v>
      </c>
      <c r="O752" s="274">
        <f>ROUND(U73,0)</f>
        <v>110385138</v>
      </c>
      <c r="P752" s="274">
        <f>IF(U76&gt;0,ROUND(U76,0),0)</f>
        <v>16657</v>
      </c>
      <c r="Q752" s="274">
        <f>IF(U77&gt;0,ROUND(U77,0),0)</f>
        <v>0</v>
      </c>
      <c r="R752" s="274">
        <f>IF(U78&gt;0,ROUND(U78,0),0)</f>
        <v>6952</v>
      </c>
      <c r="S752" s="274">
        <f>IF(U79&gt;0,ROUND(U79,0),0)</f>
        <v>6961</v>
      </c>
      <c r="T752" s="276">
        <f>IF(U80&gt;0,ROUND(U80,2),0)</f>
        <v>4.72</v>
      </c>
      <c r="U752" s="274"/>
      <c r="V752" s="275"/>
      <c r="W752" s="274"/>
      <c r="X752" s="274"/>
      <c r="Y752" s="274">
        <f t="shared" si="22"/>
        <v>8061170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">
      <c r="A753" s="209" t="str">
        <f>RIGHT($C$83,3)&amp;"*"&amp;RIGHT($C$82,4)&amp;"*"&amp;V$55&amp;"*"&amp;"A"</f>
        <v>032*2020*7110*A</v>
      </c>
      <c r="B753" s="274">
        <f>ROUND(V59,0)</f>
        <v>0</v>
      </c>
      <c r="C753" s="276">
        <f>ROUND(V60,2)</f>
        <v>22.21</v>
      </c>
      <c r="D753" s="274">
        <f>ROUND(V61,0)</f>
        <v>2924265</v>
      </c>
      <c r="E753" s="274">
        <f>ROUND(V62,0)</f>
        <v>604229</v>
      </c>
      <c r="F753" s="274">
        <f>ROUND(V63,0)</f>
        <v>0</v>
      </c>
      <c r="G753" s="274">
        <f>ROUND(V64,0)</f>
        <v>11883004</v>
      </c>
      <c r="H753" s="274">
        <f>ROUND(V65,0)</f>
        <v>2692</v>
      </c>
      <c r="I753" s="274">
        <f>ROUND(V66,0)</f>
        <v>1126145</v>
      </c>
      <c r="J753" s="274">
        <f>ROUND(V67,0)</f>
        <v>982083</v>
      </c>
      <c r="K753" s="274">
        <f>ROUND(V68,0)</f>
        <v>1813</v>
      </c>
      <c r="L753" s="274">
        <f>ROUND(V69,0)</f>
        <v>56893</v>
      </c>
      <c r="M753" s="274">
        <f>ROUND(V70,0)</f>
        <v>9337</v>
      </c>
      <c r="N753" s="274">
        <f>ROUND(V75,0)</f>
        <v>165390908</v>
      </c>
      <c r="O753" s="274">
        <f>ROUND(V73,0)</f>
        <v>63469770</v>
      </c>
      <c r="P753" s="274">
        <f>IF(V76&gt;0,ROUND(V76,0),0)</f>
        <v>3310</v>
      </c>
      <c r="Q753" s="274">
        <f>IF(V77&gt;0,ROUND(V77,0),0)</f>
        <v>0</v>
      </c>
      <c r="R753" s="274">
        <f>IF(V78&gt;0,ROUND(V78,0),0)</f>
        <v>1382</v>
      </c>
      <c r="S753" s="274">
        <f>IF(V79&gt;0,ROUND(V79,0),0)</f>
        <v>0</v>
      </c>
      <c r="T753" s="276">
        <f>IF(V80&gt;0,ROUND(V80,2),0)</f>
        <v>6.04</v>
      </c>
      <c r="U753" s="274"/>
      <c r="V753" s="275"/>
      <c r="W753" s="274"/>
      <c r="X753" s="274"/>
      <c r="Y753" s="274">
        <f t="shared" si="22"/>
        <v>5889713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">
      <c r="A754" s="209" t="str">
        <f>RIGHT($C$83,3)&amp;"*"&amp;RIGHT($C$82,4)&amp;"*"&amp;W$55&amp;"*"&amp;"A"</f>
        <v>032*2020*7120*A</v>
      </c>
      <c r="B754" s="274">
        <f>ROUND(W59,0)</f>
        <v>7629</v>
      </c>
      <c r="C754" s="276">
        <f>ROUND(W60,2)</f>
        <v>8.75</v>
      </c>
      <c r="D754" s="274">
        <f>ROUND(W61,0)</f>
        <v>895591</v>
      </c>
      <c r="E754" s="274">
        <f>ROUND(W62,0)</f>
        <v>228622</v>
      </c>
      <c r="F754" s="274">
        <f>ROUND(W63,0)</f>
        <v>0</v>
      </c>
      <c r="G754" s="274">
        <f>ROUND(W64,0)</f>
        <v>158538</v>
      </c>
      <c r="H754" s="274">
        <f>ROUND(W65,0)</f>
        <v>0</v>
      </c>
      <c r="I754" s="274">
        <f>ROUND(W66,0)</f>
        <v>241678</v>
      </c>
      <c r="J754" s="274">
        <f>ROUND(W67,0)</f>
        <v>130355</v>
      </c>
      <c r="K754" s="274">
        <f>ROUND(W68,0)</f>
        <v>4229</v>
      </c>
      <c r="L754" s="274">
        <f>ROUND(W69,0)</f>
        <v>0</v>
      </c>
      <c r="M754" s="274">
        <f>ROUND(W70,0)</f>
        <v>0</v>
      </c>
      <c r="N754" s="274">
        <f>ROUND(W75,0)</f>
        <v>41924907</v>
      </c>
      <c r="O754" s="274">
        <f>ROUND(W73,0)</f>
        <v>16638940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2"/>
        <v>828778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">
      <c r="A755" s="209" t="str">
        <f>RIGHT($C$83,3)&amp;"*"&amp;RIGHT($C$82,4)&amp;"*"&amp;X$55&amp;"*"&amp;"A"</f>
        <v>032*2020*7130*A</v>
      </c>
      <c r="B755" s="274">
        <f>ROUND(X59,0)</f>
        <v>29436</v>
      </c>
      <c r="C755" s="276">
        <f>ROUND(X60,2)</f>
        <v>10.02</v>
      </c>
      <c r="D755" s="274">
        <f>ROUND(X61,0)</f>
        <v>1190721</v>
      </c>
      <c r="E755" s="274">
        <f>ROUND(X62,0)</f>
        <v>274822</v>
      </c>
      <c r="F755" s="274">
        <f>ROUND(X63,0)</f>
        <v>0</v>
      </c>
      <c r="G755" s="274">
        <f>ROUND(X64,0)</f>
        <v>304471</v>
      </c>
      <c r="H755" s="274">
        <f>ROUND(X65,0)</f>
        <v>282</v>
      </c>
      <c r="I755" s="274">
        <f>ROUND(X66,0)</f>
        <v>289685</v>
      </c>
      <c r="J755" s="274">
        <f>ROUND(X67,0)</f>
        <v>155396</v>
      </c>
      <c r="K755" s="274">
        <f>ROUND(X68,0)</f>
        <v>543</v>
      </c>
      <c r="L755" s="274">
        <f>ROUND(X69,0)</f>
        <v>1620</v>
      </c>
      <c r="M755" s="274">
        <f>ROUND(X70,0)</f>
        <v>0</v>
      </c>
      <c r="N755" s="274">
        <f>ROUND(X75,0)</f>
        <v>150005246</v>
      </c>
      <c r="O755" s="274">
        <f>ROUND(X73,0)</f>
        <v>73769464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2"/>
        <v>2203811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">
      <c r="A756" s="209" t="str">
        <f>RIGHT($C$83,3)&amp;"*"&amp;RIGHT($C$82,4)&amp;"*"&amp;Y$55&amp;"*"&amp;"A"</f>
        <v>032*2020*7140*A</v>
      </c>
      <c r="B756" s="274">
        <f>ROUND(Y59,0)</f>
        <v>193418</v>
      </c>
      <c r="C756" s="276">
        <f>ROUND(Y60,2)</f>
        <v>53.1</v>
      </c>
      <c r="D756" s="274">
        <f>ROUND(Y61,0)</f>
        <v>4823708</v>
      </c>
      <c r="E756" s="274">
        <f>ROUND(Y62,0)</f>
        <v>1360259</v>
      </c>
      <c r="F756" s="274">
        <f>ROUND(Y63,0)</f>
        <v>50620</v>
      </c>
      <c r="G756" s="274">
        <f>ROUND(Y64,0)</f>
        <v>3510254</v>
      </c>
      <c r="H756" s="274">
        <f>ROUND(Y65,0)</f>
        <v>4070</v>
      </c>
      <c r="I756" s="274">
        <f>ROUND(Y66,0)</f>
        <v>1922683</v>
      </c>
      <c r="J756" s="274">
        <f>ROUND(Y67,0)</f>
        <v>983902</v>
      </c>
      <c r="K756" s="274">
        <f>ROUND(Y68,0)</f>
        <v>38891</v>
      </c>
      <c r="L756" s="274">
        <f>ROUND(Y69,0)</f>
        <v>40354</v>
      </c>
      <c r="M756" s="274">
        <f>ROUND(Y70,0)</f>
        <v>8968</v>
      </c>
      <c r="N756" s="274">
        <f>ROUND(Y75,0)</f>
        <v>103136784</v>
      </c>
      <c r="O756" s="274">
        <f>ROUND(Y73,0)</f>
        <v>58977876</v>
      </c>
      <c r="P756" s="274">
        <f>IF(Y76&gt;0,ROUND(Y76,0),0)</f>
        <v>46104</v>
      </c>
      <c r="Q756" s="274">
        <f>IF(Y77&gt;0,ROUND(Y77,0),0)</f>
        <v>0</v>
      </c>
      <c r="R756" s="274">
        <f>IF(Y78&gt;0,ROUND(Y78,0),0)</f>
        <v>19243</v>
      </c>
      <c r="S756" s="274">
        <f>IF(Y79&gt;0,ROUND(Y79,0),0)</f>
        <v>105883</v>
      </c>
      <c r="T756" s="276">
        <f>IF(Y80&gt;0,ROUND(Y80,2),0)</f>
        <v>5.41</v>
      </c>
      <c r="U756" s="274"/>
      <c r="V756" s="275"/>
      <c r="W756" s="274"/>
      <c r="X756" s="274"/>
      <c r="Y756" s="274">
        <f t="shared" si="22"/>
        <v>9502156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">
      <c r="A757" s="209" t="str">
        <f>RIGHT($C$83,3)&amp;"*"&amp;RIGHT($C$82,4)&amp;"*"&amp;Z$55&amp;"*"&amp;"A"</f>
        <v>032*2020*7150*A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2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">
      <c r="A758" s="209" t="str">
        <f>RIGHT($C$83,3)&amp;"*"&amp;RIGHT($C$82,4)&amp;"*"&amp;AA$55&amp;"*"&amp;"A"</f>
        <v>032*2020*7160*A</v>
      </c>
      <c r="B758" s="274">
        <f>ROUND(AA59,0)</f>
        <v>5412</v>
      </c>
      <c r="C758" s="276">
        <f>ROUND(AA60,2)</f>
        <v>5.83</v>
      </c>
      <c r="D758" s="274">
        <f>ROUND(AA61,0)</f>
        <v>627685</v>
      </c>
      <c r="E758" s="274">
        <f>ROUND(AA62,0)</f>
        <v>163904</v>
      </c>
      <c r="F758" s="274">
        <f>ROUND(AA63,0)</f>
        <v>0</v>
      </c>
      <c r="G758" s="274">
        <f>ROUND(AA64,0)</f>
        <v>744660</v>
      </c>
      <c r="H758" s="274">
        <f>ROUND(AA65,0)</f>
        <v>0</v>
      </c>
      <c r="I758" s="274">
        <f>ROUND(AA66,0)</f>
        <v>131643</v>
      </c>
      <c r="J758" s="274">
        <f>ROUND(AA67,0)</f>
        <v>5785</v>
      </c>
      <c r="K758" s="274">
        <f>ROUND(AA68,0)</f>
        <v>277</v>
      </c>
      <c r="L758" s="274">
        <f>ROUND(AA69,0)</f>
        <v>10463</v>
      </c>
      <c r="M758" s="274">
        <f>ROUND(AA70,0)</f>
        <v>0</v>
      </c>
      <c r="N758" s="274">
        <f>ROUND(AA75,0)</f>
        <v>23794369</v>
      </c>
      <c r="O758" s="274">
        <f>ROUND(AA73,0)</f>
        <v>3661645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11444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2"/>
        <v>625265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">
      <c r="A759" s="209" t="str">
        <f>RIGHT($C$83,3)&amp;"*"&amp;RIGHT($C$82,4)&amp;"*"&amp;AB$55&amp;"*"&amp;"A"</f>
        <v>032*2020*7170*A</v>
      </c>
      <c r="B759" s="274"/>
      <c r="C759" s="276">
        <f>ROUND(AB60,2)</f>
        <v>83.98</v>
      </c>
      <c r="D759" s="274">
        <f>ROUND(AB61,0)</f>
        <v>8326683</v>
      </c>
      <c r="E759" s="274">
        <f>ROUND(AB62,0)</f>
        <v>2257147</v>
      </c>
      <c r="F759" s="274">
        <f>ROUND(AB63,0)</f>
        <v>7941</v>
      </c>
      <c r="G759" s="274">
        <f>ROUND(AB64,0)</f>
        <v>15813971</v>
      </c>
      <c r="H759" s="274">
        <f>ROUND(AB65,0)</f>
        <v>5886</v>
      </c>
      <c r="I759" s="274">
        <f>ROUND(AB66,0)</f>
        <v>607593</v>
      </c>
      <c r="J759" s="274">
        <f>ROUND(AB67,0)</f>
        <v>773477</v>
      </c>
      <c r="K759" s="274">
        <f>ROUND(AB68,0)</f>
        <v>170886</v>
      </c>
      <c r="L759" s="274">
        <f>ROUND(AB69,0)</f>
        <v>2291440</v>
      </c>
      <c r="M759" s="274">
        <f>ROUND(AB70,0)</f>
        <v>4907777</v>
      </c>
      <c r="N759" s="274">
        <f>ROUND(AB75,0)</f>
        <v>399678166</v>
      </c>
      <c r="O759" s="274">
        <f>ROUND(AB73,0)</f>
        <v>284044301</v>
      </c>
      <c r="P759" s="274">
        <f>IF(AB76&gt;0,ROUND(AB76,0),0)</f>
        <v>16636</v>
      </c>
      <c r="Q759" s="274">
        <f>IF(AB77&gt;0,ROUND(AB77,0),0)</f>
        <v>0</v>
      </c>
      <c r="R759" s="274">
        <f>IF(AB78&gt;0,ROUND(AB78,0),0)</f>
        <v>6944</v>
      </c>
      <c r="S759" s="274">
        <f>IF(AB79&gt;0,ROUND(AB79,0),0)</f>
        <v>0</v>
      </c>
      <c r="T759" s="276">
        <f>IF(AB80&gt;0,ROUND(AB80,2),0)</f>
        <v>2.42</v>
      </c>
      <c r="U759" s="274"/>
      <c r="V759" s="275"/>
      <c r="W759" s="274"/>
      <c r="X759" s="274"/>
      <c r="Y759" s="274">
        <f t="shared" si="22"/>
        <v>11980786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">
      <c r="A760" s="209" t="str">
        <f>RIGHT($C$83,3)&amp;"*"&amp;RIGHT($C$82,4)&amp;"*"&amp;AC$55&amp;"*"&amp;"A"</f>
        <v>032*2020*7180*A</v>
      </c>
      <c r="B760" s="274">
        <f>ROUND(AC59,0)</f>
        <v>63642</v>
      </c>
      <c r="C760" s="276">
        <f>ROUND(AC60,2)</f>
        <v>28.98</v>
      </c>
      <c r="D760" s="274">
        <f>ROUND(AC61,0)</f>
        <v>2727443</v>
      </c>
      <c r="E760" s="274">
        <f>ROUND(AC62,0)</f>
        <v>741759</v>
      </c>
      <c r="F760" s="274">
        <f>ROUND(AC63,0)</f>
        <v>4271</v>
      </c>
      <c r="G760" s="274">
        <f>ROUND(AC64,0)</f>
        <v>759067</v>
      </c>
      <c r="H760" s="274">
        <f>ROUND(AC65,0)</f>
        <v>782</v>
      </c>
      <c r="I760" s="274">
        <f>ROUND(AC66,0)</f>
        <v>65464</v>
      </c>
      <c r="J760" s="274">
        <f>ROUND(AC67,0)</f>
        <v>238684</v>
      </c>
      <c r="K760" s="274">
        <f>ROUND(AC68,0)</f>
        <v>29831</v>
      </c>
      <c r="L760" s="274">
        <f>ROUND(AC69,0)</f>
        <v>16755</v>
      </c>
      <c r="M760" s="274">
        <f>ROUND(AC70,0)</f>
        <v>0</v>
      </c>
      <c r="N760" s="274">
        <f>ROUND(AC75,0)</f>
        <v>68703019</v>
      </c>
      <c r="O760" s="274">
        <f>ROUND(AC73,0)</f>
        <v>61090155</v>
      </c>
      <c r="P760" s="274">
        <f>IF(AC76&gt;0,ROUND(AC76,0),0)</f>
        <v>981</v>
      </c>
      <c r="Q760" s="274">
        <f>IF(AC77&gt;0,ROUND(AC77,0),0)</f>
        <v>0</v>
      </c>
      <c r="R760" s="274">
        <f>IF(AC78&gt;0,ROUND(AC78,0),0)</f>
        <v>409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2"/>
        <v>1888154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">
      <c r="A761" s="209" t="str">
        <f>RIGHT($C$83,3)&amp;"*"&amp;RIGHT($C$82,4)&amp;"*"&amp;AD$55&amp;"*"&amp;"A"</f>
        <v>032*2020*7190*A</v>
      </c>
      <c r="B761" s="274">
        <f>ROUND(AD59,0)</f>
        <v>0</v>
      </c>
      <c r="C761" s="276">
        <f>ROUND(AD60,2)</f>
        <v>1</v>
      </c>
      <c r="D761" s="274">
        <f>ROUND(AD61,0)</f>
        <v>143298</v>
      </c>
      <c r="E761" s="274">
        <f>ROUND(AD62,0)</f>
        <v>32601</v>
      </c>
      <c r="F761" s="274">
        <f>ROUND(AD63,0)</f>
        <v>0</v>
      </c>
      <c r="G761" s="274">
        <f>ROUND(AD64,0)</f>
        <v>53394</v>
      </c>
      <c r="H761" s="274">
        <f>ROUND(AD65,0)</f>
        <v>0</v>
      </c>
      <c r="I761" s="274">
        <f>ROUND(AD66,0)</f>
        <v>2736252</v>
      </c>
      <c r="J761" s="274">
        <f>ROUND(AD67,0)</f>
        <v>256563</v>
      </c>
      <c r="K761" s="274">
        <f>ROUND(AD68,0)</f>
        <v>3145</v>
      </c>
      <c r="L761" s="274">
        <f>ROUND(AD69,0)</f>
        <v>4029</v>
      </c>
      <c r="M761" s="274">
        <f>ROUND(AD70,0)</f>
        <v>558378</v>
      </c>
      <c r="N761" s="274">
        <f>ROUND(AD75,0)</f>
        <v>10037578</v>
      </c>
      <c r="O761" s="274">
        <f>ROUND(AD73,0)</f>
        <v>9478967</v>
      </c>
      <c r="P761" s="274">
        <f>IF(AD76&gt;0,ROUND(AD76,0),0)</f>
        <v>16507</v>
      </c>
      <c r="Q761" s="274">
        <f>IF(AD77&gt;0,ROUND(AD77,0),0)</f>
        <v>0</v>
      </c>
      <c r="R761" s="274">
        <f>IF(AD78&gt;0,ROUND(AD78,0),0)</f>
        <v>6890</v>
      </c>
      <c r="S761" s="274">
        <f>IF(AD79&gt;0,ROUND(AD79,0),0)</f>
        <v>18302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2"/>
        <v>2609519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">
      <c r="A762" s="209" t="str">
        <f>RIGHT($C$83,3)&amp;"*"&amp;RIGHT($C$82,4)&amp;"*"&amp;AE$55&amp;"*"&amp;"A"</f>
        <v>032*2020*7200*A</v>
      </c>
      <c r="B762" s="274">
        <f>ROUND(AE59,0)</f>
        <v>131582</v>
      </c>
      <c r="C762" s="276">
        <f>ROUND(AE60,2)</f>
        <v>39.619999999999997</v>
      </c>
      <c r="D762" s="274">
        <f>ROUND(AE61,0)</f>
        <v>3860241</v>
      </c>
      <c r="E762" s="274">
        <f>ROUND(AE62,0)</f>
        <v>1060999</v>
      </c>
      <c r="F762" s="274">
        <f>ROUND(AE63,0)</f>
        <v>0</v>
      </c>
      <c r="G762" s="274">
        <f>ROUND(AE64,0)</f>
        <v>40822</v>
      </c>
      <c r="H762" s="274">
        <f>ROUND(AE65,0)</f>
        <v>1367</v>
      </c>
      <c r="I762" s="274">
        <f>ROUND(AE66,0)</f>
        <v>931666</v>
      </c>
      <c r="J762" s="274">
        <f>ROUND(AE67,0)</f>
        <v>180166</v>
      </c>
      <c r="K762" s="274">
        <f>ROUND(AE68,0)</f>
        <v>180857</v>
      </c>
      <c r="L762" s="274">
        <f>ROUND(AE69,0)</f>
        <v>8963</v>
      </c>
      <c r="M762" s="274">
        <f>ROUND(AE70,0)</f>
        <v>-2162</v>
      </c>
      <c r="N762" s="274">
        <f>ROUND(AE75,0)</f>
        <v>25375681</v>
      </c>
      <c r="O762" s="274">
        <f>ROUND(AE73,0)</f>
        <v>9476589</v>
      </c>
      <c r="P762" s="274">
        <f>IF(AE76&gt;0,ROUND(AE76,0),0)</f>
        <v>11376</v>
      </c>
      <c r="Q762" s="274">
        <f>IF(AE77&gt;0,ROUND(AE77,0),0)</f>
        <v>0</v>
      </c>
      <c r="R762" s="274">
        <f>IF(AE78&gt;0,ROUND(AE78,0),0)</f>
        <v>4748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2"/>
        <v>2975299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">
      <c r="A763" s="209" t="str">
        <f>RIGHT($C$83,3)&amp;"*"&amp;RIGHT($C$82,4)&amp;"*"&amp;AF$55&amp;"*"&amp;"A"</f>
        <v>032*2020*7220*A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2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">
      <c r="A764" s="209" t="str">
        <f>RIGHT($C$83,3)&amp;"*"&amp;RIGHT($C$82,4)&amp;"*"&amp;AG$55&amp;"*"&amp;"A"</f>
        <v>032*2020*7230*A</v>
      </c>
      <c r="B764" s="274">
        <f>ROUND(AG59,0)</f>
        <v>46805</v>
      </c>
      <c r="C764" s="276">
        <f>ROUND(AG60,2)</f>
        <v>83.62</v>
      </c>
      <c r="D764" s="274">
        <f>ROUND(AG61,0)</f>
        <v>7249676</v>
      </c>
      <c r="E764" s="274">
        <f>ROUND(AG62,0)</f>
        <v>2105440</v>
      </c>
      <c r="F764" s="274">
        <f>ROUND(AG63,0)</f>
        <v>6693296</v>
      </c>
      <c r="G764" s="274">
        <f>ROUND(AG64,0)</f>
        <v>1590147</v>
      </c>
      <c r="H764" s="274">
        <f>ROUND(AG65,0)</f>
        <v>3001</v>
      </c>
      <c r="I764" s="274">
        <f>ROUND(AG66,0)</f>
        <v>3881112</v>
      </c>
      <c r="J764" s="274">
        <f>ROUND(AG67,0)</f>
        <v>1054672</v>
      </c>
      <c r="K764" s="274">
        <f>ROUND(AG68,0)</f>
        <v>27611</v>
      </c>
      <c r="L764" s="274">
        <f>ROUND(AG69,0)</f>
        <v>92444</v>
      </c>
      <c r="M764" s="274">
        <f>ROUND(AG70,0)</f>
        <v>-4080428</v>
      </c>
      <c r="N764" s="274">
        <f>ROUND(AG75,0)</f>
        <v>172595679</v>
      </c>
      <c r="O764" s="274">
        <f>ROUND(AG73,0)</f>
        <v>57629252</v>
      </c>
      <c r="P764" s="274">
        <f>IF(AG76&gt;0,ROUND(AG76,0),0)</f>
        <v>20182</v>
      </c>
      <c r="Q764" s="274">
        <f>IF(AG77&gt;0,ROUND(AG77,0),0)</f>
        <v>7046</v>
      </c>
      <c r="R764" s="274">
        <f>IF(AG78&gt;0,ROUND(AG78,0),0)</f>
        <v>8424</v>
      </c>
      <c r="S764" s="274">
        <f>IF(AG79&gt;0,ROUND(AG79,0),0)</f>
        <v>232849</v>
      </c>
      <c r="T764" s="276">
        <f>IF(AG80&gt;0,ROUND(AG80,2),0)</f>
        <v>47.69</v>
      </c>
      <c r="U764" s="274"/>
      <c r="V764" s="275"/>
      <c r="W764" s="274"/>
      <c r="X764" s="274"/>
      <c r="Y764" s="274">
        <f t="shared" si="22"/>
        <v>10243592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">
      <c r="A765" s="209" t="str">
        <f>RIGHT($C$83,3)&amp;"*"&amp;RIGHT($C$82,4)&amp;"*"&amp;AH$55&amp;"*"&amp;"A"</f>
        <v>032*2020*7240*A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2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">
      <c r="A766" s="209" t="str">
        <f>RIGHT($C$83,3)&amp;"*"&amp;RIGHT($C$82,4)&amp;"*"&amp;AI$55&amp;"*"&amp;"A"</f>
        <v>032*2020*7250*A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2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">
      <c r="A767" s="209" t="str">
        <f>RIGHT($C$83,3)&amp;"*"&amp;RIGHT($C$82,4)&amp;"*"&amp;AJ$55&amp;"*"&amp;"A"</f>
        <v>032*2020*7260*A</v>
      </c>
      <c r="B767" s="274">
        <f>ROUND(AJ59,0)</f>
        <v>546931</v>
      </c>
      <c r="C767" s="276">
        <f>ROUND(AJ60,2)</f>
        <v>835.45</v>
      </c>
      <c r="D767" s="274">
        <f>ROUND(AJ61,0)</f>
        <v>100769293</v>
      </c>
      <c r="E767" s="274">
        <f>ROUND(AJ62,0)</f>
        <v>18328787</v>
      </c>
      <c r="F767" s="274">
        <f>ROUND(AJ63,0)</f>
        <v>1858047</v>
      </c>
      <c r="G767" s="274">
        <f>ROUND(AJ64,0)</f>
        <v>6643318</v>
      </c>
      <c r="H767" s="274">
        <f>ROUND(AJ65,0)</f>
        <v>428083</v>
      </c>
      <c r="I767" s="274">
        <f>ROUND(AJ66,0)</f>
        <v>12954086</v>
      </c>
      <c r="J767" s="274">
        <f>ROUND(AJ67,0)</f>
        <v>4825011</v>
      </c>
      <c r="K767" s="274">
        <f>ROUND(AJ68,0)</f>
        <v>8762686</v>
      </c>
      <c r="L767" s="274">
        <f>ROUND(AJ69,0)</f>
        <v>5077400</v>
      </c>
      <c r="M767" s="274">
        <f>ROUND(AJ70,0)</f>
        <v>8087503</v>
      </c>
      <c r="N767" s="274">
        <f>ROUND(AJ75,0)</f>
        <v>243501575</v>
      </c>
      <c r="O767" s="274">
        <f>ROUND(AJ73,0)</f>
        <v>84966</v>
      </c>
      <c r="P767" s="274">
        <f>IF(AJ76&gt;0,ROUND(AJ76,0),0)</f>
        <v>22003</v>
      </c>
      <c r="Q767" s="274">
        <f>IF(AJ77&gt;0,ROUND(AJ77,0),0)</f>
        <v>0</v>
      </c>
      <c r="R767" s="274">
        <f>IF(AJ78&gt;0,ROUND(AJ78,0),0)</f>
        <v>9184</v>
      </c>
      <c r="S767" s="274">
        <f>IF(AJ79&gt;0,ROUND(AJ79,0),0)</f>
        <v>21131</v>
      </c>
      <c r="T767" s="276">
        <f>IF(AJ80&gt;0,ROUND(AJ80,2),0)</f>
        <v>154.63</v>
      </c>
      <c r="U767" s="274"/>
      <c r="V767" s="275"/>
      <c r="W767" s="274"/>
      <c r="X767" s="274"/>
      <c r="Y767" s="274">
        <f t="shared" si="22"/>
        <v>38060111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">
      <c r="A768" s="209" t="str">
        <f>RIGHT($C$83,3)&amp;"*"&amp;RIGHT($C$82,4)&amp;"*"&amp;AK$55&amp;"*"&amp;"A"</f>
        <v>032*2020*7310*A</v>
      </c>
      <c r="B768" s="274">
        <f>ROUND(AK59,0)</f>
        <v>58316</v>
      </c>
      <c r="C768" s="276">
        <f>ROUND(AK60,2)</f>
        <v>15.5</v>
      </c>
      <c r="D768" s="274">
        <f>ROUND(AK61,0)</f>
        <v>1546514</v>
      </c>
      <c r="E768" s="274">
        <f>ROUND(AK62,0)</f>
        <v>419256</v>
      </c>
      <c r="F768" s="274">
        <f>ROUND(AK63,0)</f>
        <v>0</v>
      </c>
      <c r="G768" s="274">
        <f>ROUND(AK64,0)</f>
        <v>2650</v>
      </c>
      <c r="H768" s="274">
        <f>ROUND(AK65,0)</f>
        <v>612</v>
      </c>
      <c r="I768" s="274">
        <f>ROUND(AK66,0)</f>
        <v>6774</v>
      </c>
      <c r="J768" s="274">
        <f>ROUND(AK67,0)</f>
        <v>87121</v>
      </c>
      <c r="K768" s="274">
        <f>ROUND(AK68,0)</f>
        <v>0</v>
      </c>
      <c r="L768" s="274">
        <f>ROUND(AK69,0)</f>
        <v>2539</v>
      </c>
      <c r="M768" s="274">
        <f>ROUND(AK70,0)</f>
        <v>640</v>
      </c>
      <c r="N768" s="274">
        <f>ROUND(AK75,0)</f>
        <v>12414301</v>
      </c>
      <c r="O768" s="274">
        <f>ROUND(AK73,0)</f>
        <v>8215352</v>
      </c>
      <c r="P768" s="274">
        <f>IF(AK76&gt;0,ROUND(AK76,0),0)</f>
        <v>5815</v>
      </c>
      <c r="Q768" s="274">
        <f>IF(AK77&gt;0,ROUND(AK77,0),0)</f>
        <v>0</v>
      </c>
      <c r="R768" s="274">
        <f>IF(AK78&gt;0,ROUND(AK78,0),0)</f>
        <v>2427</v>
      </c>
      <c r="S768" s="274">
        <f>IF(AK79&gt;0,ROUND(AK79,0),0)</f>
        <v>21994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2"/>
        <v>1299782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">
      <c r="A769" s="209" t="str">
        <f>RIGHT($C$83,3)&amp;"*"&amp;RIGHT($C$82,4)&amp;"*"&amp;AL$55&amp;"*"&amp;"A"</f>
        <v>032*2020*7320*A</v>
      </c>
      <c r="B769" s="274">
        <f>ROUND(AL59,0)</f>
        <v>6502</v>
      </c>
      <c r="C769" s="276">
        <f>ROUND(AL60,2)</f>
        <v>4.95</v>
      </c>
      <c r="D769" s="274">
        <f>ROUND(AL61,0)</f>
        <v>469457</v>
      </c>
      <c r="E769" s="274">
        <f>ROUND(AL62,0)</f>
        <v>132769</v>
      </c>
      <c r="F769" s="274">
        <f>ROUND(AL63,0)</f>
        <v>0</v>
      </c>
      <c r="G769" s="274">
        <f>ROUND(AL64,0)</f>
        <v>314</v>
      </c>
      <c r="H769" s="274">
        <f>ROUND(AL65,0)</f>
        <v>822</v>
      </c>
      <c r="I769" s="274">
        <f>ROUND(AL66,0)</f>
        <v>1474</v>
      </c>
      <c r="J769" s="274">
        <f>ROUND(AL67,0)</f>
        <v>59327</v>
      </c>
      <c r="K769" s="274">
        <f>ROUND(AL68,0)</f>
        <v>0</v>
      </c>
      <c r="L769" s="274">
        <f>ROUND(AL69,0)</f>
        <v>5071</v>
      </c>
      <c r="M769" s="274">
        <f>ROUND(AL70,0)</f>
        <v>300</v>
      </c>
      <c r="N769" s="274">
        <f>ROUND(AL75,0)</f>
        <v>3251704</v>
      </c>
      <c r="O769" s="274">
        <f>ROUND(AL73,0)</f>
        <v>2590915</v>
      </c>
      <c r="P769" s="274">
        <f>IF(AL76&gt;0,ROUND(AL76,0),0)</f>
        <v>4171</v>
      </c>
      <c r="Q769" s="274">
        <f>IF(AL77&gt;0,ROUND(AL77,0),0)</f>
        <v>0</v>
      </c>
      <c r="R769" s="274">
        <f>IF(AL78&gt;0,ROUND(AL78,0),0)</f>
        <v>1741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2"/>
        <v>687584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">
      <c r="A770" s="209" t="str">
        <f>RIGHT($C$83,3)&amp;"*"&amp;RIGHT($C$82,4)&amp;"*"&amp;AM$55&amp;"*"&amp;"A"</f>
        <v>032*2020*7330*A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2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">
      <c r="A771" s="209" t="str">
        <f>RIGHT($C$83,3)&amp;"*"&amp;RIGHT($C$82,4)&amp;"*"&amp;AN$55&amp;"*"&amp;"A"</f>
        <v>032*2020*7340*A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2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">
      <c r="A772" s="209" t="str">
        <f>RIGHT($C$83,3)&amp;"*"&amp;RIGHT($C$82,4)&amp;"*"&amp;AO$55&amp;"*"&amp;"A"</f>
        <v>032*2020*7350*A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2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">
      <c r="A773" s="209" t="str">
        <f>RIGHT($C$83,3)&amp;"*"&amp;RIGHT($C$82,4)&amp;"*"&amp;AP$55&amp;"*"&amp;"A"</f>
        <v>032*2020*7380*A</v>
      </c>
      <c r="B773" s="274">
        <f>ROUND(AP59,0)</f>
        <v>1165</v>
      </c>
      <c r="C773" s="276">
        <f>ROUND(AP60,2)</f>
        <v>0</v>
      </c>
      <c r="D773" s="274">
        <f>ROUND(AP61,0)</f>
        <v>185507</v>
      </c>
      <c r="E773" s="274">
        <f>ROUND(AP62,0)</f>
        <v>0</v>
      </c>
      <c r="F773" s="274">
        <f>ROUND(AP63,0)</f>
        <v>0</v>
      </c>
      <c r="G773" s="274">
        <f>ROUND(AP64,0)</f>
        <v>17470</v>
      </c>
      <c r="H773" s="274">
        <f>ROUND(AP65,0)</f>
        <v>33744</v>
      </c>
      <c r="I773" s="274">
        <f>ROUND(AP66,0)</f>
        <v>21144</v>
      </c>
      <c r="J773" s="274">
        <f>ROUND(AP67,0)</f>
        <v>25560</v>
      </c>
      <c r="K773" s="274">
        <f>ROUND(AP68,0)</f>
        <v>110881</v>
      </c>
      <c r="L773" s="274">
        <f>ROUND(AP69,0)</f>
        <v>20069</v>
      </c>
      <c r="M773" s="274">
        <f>ROUND(AP70,0)</f>
        <v>1450335</v>
      </c>
      <c r="N773" s="274">
        <f>ROUND(AP75,0)</f>
        <v>153420</v>
      </c>
      <c r="O773" s="274">
        <f>ROUND(AP73,0)</f>
        <v>0</v>
      </c>
      <c r="P773" s="274">
        <f>IF(AP76&gt;0,ROUND(AP76,0),0)</f>
        <v>1797</v>
      </c>
      <c r="Q773" s="274">
        <f>IF(AP77&gt;0,ROUND(AP77,0),0)</f>
        <v>0</v>
      </c>
      <c r="R773" s="274">
        <f>IF(AP78&gt;0,ROUND(AP78,0),0)</f>
        <v>750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2"/>
        <v>39850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">
      <c r="A774" s="209" t="str">
        <f>RIGHT($C$83,3)&amp;"*"&amp;RIGHT($C$82,4)&amp;"*"&amp;AQ$55&amp;"*"&amp;"A"</f>
        <v>032*2020*7390*A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2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">
      <c r="A775" s="209" t="str">
        <f>RIGHT($C$83,3)&amp;"*"&amp;RIGHT($C$82,4)&amp;"*"&amp;AR$55&amp;"*"&amp;"A"</f>
        <v>032*2020*7400*A</v>
      </c>
      <c r="B775" s="274">
        <f>ROUND(AR59,0)</f>
        <v>387139</v>
      </c>
      <c r="C775" s="276">
        <f>ROUND(AR60,2)</f>
        <v>337.33</v>
      </c>
      <c r="D775" s="274">
        <f>ROUND(AR61,0)</f>
        <v>30184727</v>
      </c>
      <c r="E775" s="274">
        <f>ROUND(AR62,0)</f>
        <v>8595797</v>
      </c>
      <c r="F775" s="274">
        <f>ROUND(AR63,0)</f>
        <v>0</v>
      </c>
      <c r="G775" s="274">
        <f>ROUND(AR64,0)</f>
        <v>1363942</v>
      </c>
      <c r="H775" s="274">
        <f>ROUND(AR65,0)</f>
        <v>386852</v>
      </c>
      <c r="I775" s="274">
        <f>ROUND(AR66,0)</f>
        <v>10271906</v>
      </c>
      <c r="J775" s="274">
        <f>ROUND(AR67,0)</f>
        <v>881570</v>
      </c>
      <c r="K775" s="274">
        <f>ROUND(AR68,0)</f>
        <v>1609179</v>
      </c>
      <c r="L775" s="274">
        <f>ROUND(AR69,0)</f>
        <v>1671018</v>
      </c>
      <c r="M775" s="274">
        <f>ROUND(AR70,0)</f>
        <v>337838</v>
      </c>
      <c r="N775" s="274">
        <f>ROUND(AR75,0)</f>
        <v>66533631</v>
      </c>
      <c r="O775" s="274">
        <f>ROUND(AR73,0)</f>
        <v>0</v>
      </c>
      <c r="P775" s="274">
        <f>IF(AR76&gt;0,ROUND(AR76,0),0)</f>
        <v>44604</v>
      </c>
      <c r="Q775" s="274">
        <f>IF(AR77&gt;0,ROUND(AR77,0),0)</f>
        <v>0</v>
      </c>
      <c r="R775" s="274">
        <f>IF(AR78&gt;0,ROUND(AR78,0),0)</f>
        <v>18617</v>
      </c>
      <c r="S775" s="274">
        <f>IF(AR79&gt;0,ROUND(AR79,0),0)</f>
        <v>0</v>
      </c>
      <c r="T775" s="276">
        <f>IF(AR80&gt;0,ROUND(AR80,2),0)</f>
        <v>99.76</v>
      </c>
      <c r="U775" s="274"/>
      <c r="V775" s="275"/>
      <c r="W775" s="274"/>
      <c r="X775" s="274"/>
      <c r="Y775" s="274">
        <f t="shared" si="22"/>
        <v>18580389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">
      <c r="A776" s="209" t="str">
        <f>RIGHT($C$83,3)&amp;"*"&amp;RIGHT($C$82,4)&amp;"*"&amp;AS$55&amp;"*"&amp;"A"</f>
        <v>032*2020*7410*A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2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">
      <c r="A777" s="209" t="str">
        <f>RIGHT($C$83,3)&amp;"*"&amp;RIGHT($C$82,4)&amp;"*"&amp;AT$55&amp;"*"&amp;"A"</f>
        <v>032*2020*7420*A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2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">
      <c r="A778" s="209" t="str">
        <f>RIGHT($C$83,3)&amp;"*"&amp;RIGHT($C$82,4)&amp;"*"&amp;AU$55&amp;"*"&amp;"A"</f>
        <v>032*2020*7430*A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2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">
      <c r="A779" s="209" t="str">
        <f>RIGHT($C$83,3)&amp;"*"&amp;RIGHT($C$82,4)&amp;"*"&amp;AV$55&amp;"*"&amp;"A"</f>
        <v>032*2020*7490*A</v>
      </c>
      <c r="B779" s="274"/>
      <c r="C779" s="276">
        <f>ROUND(AV60,2)</f>
        <v>39.74</v>
      </c>
      <c r="D779" s="274">
        <f>ROUND(AV61,0)</f>
        <v>3381728</v>
      </c>
      <c r="E779" s="274">
        <f>ROUND(AV62,0)</f>
        <v>971685</v>
      </c>
      <c r="F779" s="274">
        <f>ROUND(AV63,0)</f>
        <v>8779622</v>
      </c>
      <c r="G779" s="274">
        <f>ROUND(AV64,0)</f>
        <v>961895</v>
      </c>
      <c r="H779" s="274">
        <f>ROUND(AV65,0)</f>
        <v>9532</v>
      </c>
      <c r="I779" s="274">
        <f>ROUND(AV66,0)</f>
        <v>465926</v>
      </c>
      <c r="J779" s="274">
        <f>ROUND(AV67,0)</f>
        <v>49018</v>
      </c>
      <c r="K779" s="274">
        <f>ROUND(AV68,0)</f>
        <v>1899876</v>
      </c>
      <c r="L779" s="274">
        <f>ROUND(AV69,0)</f>
        <v>-4190997</v>
      </c>
      <c r="M779" s="274">
        <f>ROUND(AV70,0)</f>
        <v>17799710</v>
      </c>
      <c r="N779" s="274">
        <f>ROUND(AV75,0)</f>
        <v>2186261</v>
      </c>
      <c r="O779" s="274">
        <f>ROUND(AV73,0)</f>
        <v>986755</v>
      </c>
      <c r="P779" s="274">
        <f>IF(AV76&gt;0,ROUND(AV76,0),0)</f>
        <v>1394</v>
      </c>
      <c r="Q779" s="274">
        <f>IF(AV77&gt;0,ROUND(AV77,0),0)</f>
        <v>0</v>
      </c>
      <c r="R779" s="274">
        <f>IF(AV78&gt;0,ROUND(AV78,0),0)</f>
        <v>582</v>
      </c>
      <c r="S779" s="274">
        <f>IF(AV79&gt;0,ROUND(AV79,0),0)</f>
        <v>11070</v>
      </c>
      <c r="T779" s="276">
        <f>IF(AV80&gt;0,ROUND(AV80,2),0)</f>
        <v>14.03</v>
      </c>
      <c r="U779" s="274"/>
      <c r="V779" s="275"/>
      <c r="W779" s="274"/>
      <c r="X779" s="274"/>
      <c r="Y779" s="274">
        <f t="shared" si="22"/>
        <v>-381961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">
      <c r="A780" s="209" t="str">
        <f>RIGHT($C$83,3)&amp;"*"&amp;RIGHT($C$82,4)&amp;"*"&amp;AW$55&amp;"*"&amp;"A"</f>
        <v>032*2020*8200*A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">
      <c r="A781" s="209" t="str">
        <f>RIGHT($C$83,3)&amp;"*"&amp;RIGHT($C$82,4)&amp;"*"&amp;AX$55&amp;"*"&amp;"A"</f>
        <v>032*2020*8310*A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">
      <c r="A782" s="209" t="str">
        <f>RIGHT($C$83,3)&amp;"*"&amp;RIGHT($C$82,4)&amp;"*"&amp;AY$55&amp;"*"&amp;"A"</f>
        <v>032*2020*8320*A</v>
      </c>
      <c r="B782" s="274">
        <f>ROUND(AY59,0)</f>
        <v>343452</v>
      </c>
      <c r="C782" s="276">
        <f>ROUND(AY60,2)</f>
        <v>110.88</v>
      </c>
      <c r="D782" s="274">
        <f>ROUND(AY61,0)</f>
        <v>0</v>
      </c>
      <c r="E782" s="274">
        <f>ROUND(AY62,0)</f>
        <v>0</v>
      </c>
      <c r="F782" s="274">
        <f>ROUND(AY63,0)</f>
        <v>0</v>
      </c>
      <c r="G782" s="274">
        <f>ROUND(AY64,0)</f>
        <v>0</v>
      </c>
      <c r="H782" s="274">
        <f>ROUND(AY65,0)</f>
        <v>0</v>
      </c>
      <c r="I782" s="274">
        <f>ROUND(AY66,0)</f>
        <v>0</v>
      </c>
      <c r="J782" s="274">
        <f>ROUND(AY67,0)</f>
        <v>0</v>
      </c>
      <c r="K782" s="274">
        <f>ROUND(AY68,0)</f>
        <v>0</v>
      </c>
      <c r="L782" s="274">
        <f>ROUND(AY69,0)</f>
        <v>0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">
      <c r="A783" s="209" t="str">
        <f>RIGHT($C$83,3)&amp;"*"&amp;RIGHT($C$82,4)&amp;"*"&amp;AZ$55&amp;"*"&amp;"A"</f>
        <v>032*2020*8330*A</v>
      </c>
      <c r="B783" s="274">
        <f>ROUND(AZ59,0)</f>
        <v>584456</v>
      </c>
      <c r="C783" s="276">
        <f>ROUND(AZ60,2)</f>
        <v>0</v>
      </c>
      <c r="D783" s="274">
        <f>ROUND(AZ61,0)</f>
        <v>4812525</v>
      </c>
      <c r="E783" s="274">
        <f>ROUND(AZ62,0)</f>
        <v>2214511</v>
      </c>
      <c r="F783" s="274">
        <f>ROUND(AZ63,0)</f>
        <v>0</v>
      </c>
      <c r="G783" s="274">
        <f>ROUND(AZ64,0)</f>
        <v>3404608</v>
      </c>
      <c r="H783" s="274">
        <f>ROUND(AZ65,0)</f>
        <v>679</v>
      </c>
      <c r="I783" s="274">
        <f>ROUND(AZ66,0)</f>
        <v>2175075</v>
      </c>
      <c r="J783" s="274">
        <f>ROUND(AZ67,0)</f>
        <v>605204</v>
      </c>
      <c r="K783" s="274">
        <f>ROUND(AZ68,0)</f>
        <v>117127</v>
      </c>
      <c r="L783" s="274">
        <f>ROUND(AZ69,0)</f>
        <v>112538</v>
      </c>
      <c r="M783" s="274">
        <f>ROUND(AZ70,0)</f>
        <v>3279693</v>
      </c>
      <c r="N783" s="274"/>
      <c r="O783" s="274"/>
      <c r="P783" s="274">
        <f>IF(AZ76&gt;0,ROUND(AZ76,0),0)</f>
        <v>19038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">
      <c r="A784" s="209" t="str">
        <f>RIGHT($C$83,3)&amp;"*"&amp;RIGHT($C$82,4)&amp;"*"&amp;BA$55&amp;"*"&amp;"A"</f>
        <v>032*2020*8350*A</v>
      </c>
      <c r="B784" s="274">
        <f>ROUND(BA59,0)</f>
        <v>0</v>
      </c>
      <c r="C784" s="276">
        <f>ROUND(BA60,2)</f>
        <v>5.01</v>
      </c>
      <c r="D784" s="274">
        <f>ROUND(BA61,0)</f>
        <v>194428</v>
      </c>
      <c r="E784" s="274">
        <f>ROUND(BA62,0)</f>
        <v>97070</v>
      </c>
      <c r="F784" s="274">
        <f>ROUND(BA63,0)</f>
        <v>0</v>
      </c>
      <c r="G784" s="274">
        <f>ROUND(BA64,0)</f>
        <v>3843</v>
      </c>
      <c r="H784" s="274">
        <f>ROUND(BA65,0)</f>
        <v>0</v>
      </c>
      <c r="I784" s="274">
        <f>ROUND(BA66,0)</f>
        <v>8347</v>
      </c>
      <c r="J784" s="274">
        <f>ROUND(BA67,0)</f>
        <v>60365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4244</v>
      </c>
      <c r="Q784" s="274">
        <f>IF(BA77&gt;0,ROUND(BA77,0),0)</f>
        <v>0</v>
      </c>
      <c r="R784" s="274">
        <f>IF(BA78&gt;0,ROUND(BA78,0),0)</f>
        <v>1771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">
      <c r="A785" s="209" t="str">
        <f>RIGHT($C$83,3)&amp;"*"&amp;RIGHT($C$82,4)&amp;"*"&amp;BB$55&amp;"*"&amp;"A"</f>
        <v>032*2020*8360*A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">
      <c r="A786" s="209" t="str">
        <f>RIGHT($C$83,3)&amp;"*"&amp;RIGHT($C$82,4)&amp;"*"&amp;BC$55&amp;"*"&amp;"A"</f>
        <v>032*2020*8370*A</v>
      </c>
      <c r="B786" s="274"/>
      <c r="C786" s="276">
        <f>ROUND(BC60,2)</f>
        <v>11.27</v>
      </c>
      <c r="D786" s="274">
        <f>ROUND(BC61,0)</f>
        <v>515286</v>
      </c>
      <c r="E786" s="274">
        <f>ROUND(BC62,0)</f>
        <v>228317</v>
      </c>
      <c r="F786" s="274">
        <f>ROUND(BC63,0)</f>
        <v>0</v>
      </c>
      <c r="G786" s="274">
        <f>ROUND(BC64,0)</f>
        <v>427</v>
      </c>
      <c r="H786" s="274">
        <f>ROUND(BC65,0)</f>
        <v>98</v>
      </c>
      <c r="I786" s="274">
        <f>ROUND(BC66,0)</f>
        <v>0</v>
      </c>
      <c r="J786" s="274">
        <f>ROUND(BC67,0)</f>
        <v>0</v>
      </c>
      <c r="K786" s="274">
        <f>ROUND(BC68,0)</f>
        <v>1801</v>
      </c>
      <c r="L786" s="274">
        <f>ROUND(BC69,0)</f>
        <v>763</v>
      </c>
      <c r="M786" s="274">
        <f>ROUND(BC70,0)</f>
        <v>2601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">
      <c r="A787" s="209" t="str">
        <f>RIGHT($C$83,3)&amp;"*"&amp;RIGHT($C$82,4)&amp;"*"&amp;BD$55&amp;"*"&amp;"A"</f>
        <v>032*2020*8420*A</v>
      </c>
      <c r="B787" s="274"/>
      <c r="C787" s="276">
        <f>ROUND(BD60,2)</f>
        <v>0</v>
      </c>
      <c r="D787" s="274">
        <f>ROUND(BD61,0)</f>
        <v>0</v>
      </c>
      <c r="E787" s="274">
        <f>ROUND(BD62,0)</f>
        <v>0</v>
      </c>
      <c r="F787" s="274">
        <f>ROUND(BD63,0)</f>
        <v>0</v>
      </c>
      <c r="G787" s="274">
        <f>ROUND(BD64,0)</f>
        <v>131995</v>
      </c>
      <c r="H787" s="274">
        <f>ROUND(BD65,0)</f>
        <v>0</v>
      </c>
      <c r="I787" s="274">
        <f>ROUND(BD66,0)</f>
        <v>0</v>
      </c>
      <c r="J787" s="274">
        <f>ROUND(BD67,0)</f>
        <v>32943</v>
      </c>
      <c r="K787" s="274">
        <f>ROUND(BD68,0)</f>
        <v>2146494</v>
      </c>
      <c r="L787" s="274">
        <f>ROUND(BD69,0)</f>
        <v>0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">
      <c r="A788" s="209" t="str">
        <f>RIGHT($C$83,3)&amp;"*"&amp;RIGHT($C$82,4)&amp;"*"&amp;BE$55&amp;"*"&amp;"A"</f>
        <v>032*2020*8430*A</v>
      </c>
      <c r="B788" s="274">
        <f>ROUND(BE59,0)</f>
        <v>850148</v>
      </c>
      <c r="C788" s="276">
        <f>ROUND(BE60,2)</f>
        <v>18.510000000000002</v>
      </c>
      <c r="D788" s="274">
        <f>ROUND(BE61,0)</f>
        <v>1294775</v>
      </c>
      <c r="E788" s="274">
        <f>ROUND(BE62,0)</f>
        <v>431718</v>
      </c>
      <c r="F788" s="274">
        <f>ROUND(BE63,0)</f>
        <v>0</v>
      </c>
      <c r="G788" s="274">
        <f>ROUND(BE64,0)</f>
        <v>-68003</v>
      </c>
      <c r="H788" s="274">
        <f>ROUND(BE65,0)</f>
        <v>3534900</v>
      </c>
      <c r="I788" s="274">
        <f>ROUND(BE66,0)</f>
        <v>10816132</v>
      </c>
      <c r="J788" s="274">
        <f>ROUND(BE67,0)</f>
        <v>4083483</v>
      </c>
      <c r="K788" s="274">
        <f>ROUND(BE68,0)</f>
        <v>2337027</v>
      </c>
      <c r="L788" s="274">
        <f>ROUND(BE69,0)</f>
        <v>284256</v>
      </c>
      <c r="M788" s="274">
        <f>ROUND(BE70,0)</f>
        <v>26</v>
      </c>
      <c r="N788" s="274"/>
      <c r="O788" s="274"/>
      <c r="P788" s="274">
        <f>IF(BE76&gt;0,ROUND(BE76,0),0)</f>
        <v>174493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">
      <c r="A789" s="209" t="str">
        <f>RIGHT($C$83,3)&amp;"*"&amp;RIGHT($C$82,4)&amp;"*"&amp;BF$55&amp;"*"&amp;"A"</f>
        <v>032*2020*8460*A</v>
      </c>
      <c r="B789" s="274"/>
      <c r="C789" s="276">
        <f>ROUND(BF60,2)</f>
        <v>97.23</v>
      </c>
      <c r="D789" s="274">
        <f>ROUND(BF61,0)</f>
        <v>4328356</v>
      </c>
      <c r="E789" s="274">
        <f>ROUND(BF62,0)</f>
        <v>1930826</v>
      </c>
      <c r="F789" s="274">
        <f>ROUND(BF63,0)</f>
        <v>0</v>
      </c>
      <c r="G789" s="274">
        <f>ROUND(BF64,0)</f>
        <v>596107</v>
      </c>
      <c r="H789" s="274">
        <f>ROUND(BF65,0)</f>
        <v>810</v>
      </c>
      <c r="I789" s="274">
        <f>ROUND(BF66,0)</f>
        <v>473476</v>
      </c>
      <c r="J789" s="274">
        <f>ROUND(BF67,0)</f>
        <v>57239</v>
      </c>
      <c r="K789" s="274">
        <f>ROUND(BF68,0)</f>
        <v>3707</v>
      </c>
      <c r="L789" s="274">
        <f>ROUND(BF69,0)</f>
        <v>7253</v>
      </c>
      <c r="M789" s="274">
        <f>ROUND(BF70,0)</f>
        <v>0</v>
      </c>
      <c r="N789" s="274"/>
      <c r="O789" s="274"/>
      <c r="P789" s="274">
        <f>IF(BF76&gt;0,ROUND(BF76,0),0)</f>
        <v>2066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">
      <c r="A790" s="209" t="str">
        <f>RIGHT($C$83,3)&amp;"*"&amp;RIGHT($C$82,4)&amp;"*"&amp;BG$55&amp;"*"&amp;"A"</f>
        <v>032*2020*8470*A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">
      <c r="A791" s="209" t="str">
        <f>RIGHT($C$83,3)&amp;"*"&amp;RIGHT($C$82,4)&amp;"*"&amp;BH$55&amp;"*"&amp;"A"</f>
        <v>032*2020*8480*A</v>
      </c>
      <c r="B791" s="274"/>
      <c r="C791" s="276">
        <f>ROUND(BH60,2)</f>
        <v>0</v>
      </c>
      <c r="D791" s="274">
        <f>ROUND(BH61,0)</f>
        <v>0</v>
      </c>
      <c r="E791" s="274">
        <f>ROUND(BH62,0)</f>
        <v>0</v>
      </c>
      <c r="F791" s="274">
        <f>ROUND(BH63,0)</f>
        <v>0</v>
      </c>
      <c r="G791" s="274">
        <f>ROUND(BH64,0)</f>
        <v>0</v>
      </c>
      <c r="H791" s="274">
        <f>ROUND(BH65,0)</f>
        <v>0</v>
      </c>
      <c r="I791" s="274">
        <f>ROUND(BH66,0)</f>
        <v>0</v>
      </c>
      <c r="J791" s="274">
        <f>ROUND(BH67,0)</f>
        <v>0</v>
      </c>
      <c r="K791" s="274">
        <f>ROUND(BH68,0)</f>
        <v>0</v>
      </c>
      <c r="L791" s="274">
        <f>ROUND(BH69,0)</f>
        <v>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">
      <c r="A792" s="209" t="str">
        <f>RIGHT($C$83,3)&amp;"*"&amp;RIGHT($C$82,4)&amp;"*"&amp;BI$55&amp;"*"&amp;"A"</f>
        <v>032*2020*8490*A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187546</v>
      </c>
      <c r="H792" s="274">
        <f>ROUND(BI65,0)</f>
        <v>0</v>
      </c>
      <c r="I792" s="274">
        <f>ROUND(BI66,0)</f>
        <v>656</v>
      </c>
      <c r="J792" s="274">
        <f>ROUND(BI67,0)</f>
        <v>19032</v>
      </c>
      <c r="K792" s="274">
        <f>ROUND(BI68,0)</f>
        <v>0</v>
      </c>
      <c r="L792" s="274">
        <f>ROUND(BI69,0)</f>
        <v>11125</v>
      </c>
      <c r="M792" s="274">
        <f>ROUND(BI70,0)</f>
        <v>378655</v>
      </c>
      <c r="N792" s="274"/>
      <c r="O792" s="274"/>
      <c r="P792" s="274">
        <f>IF(BI76&gt;0,ROUND(BI76,0),0)</f>
        <v>1333</v>
      </c>
      <c r="Q792" s="274">
        <f>IF(BI77&gt;0,ROUND(BI77,0),0)</f>
        <v>21495</v>
      </c>
      <c r="R792" s="274">
        <f>IF(BI78&gt;0,ROUND(BI78,0),0)</f>
        <v>556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">
      <c r="A793" s="209" t="str">
        <f>RIGHT($C$83,3)&amp;"*"&amp;RIGHT($C$82,4)&amp;"*"&amp;BJ$55&amp;"*"&amp;"A"</f>
        <v>032*2020*8510*A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">
      <c r="A794" s="209" t="str">
        <f>RIGHT($C$83,3)&amp;"*"&amp;RIGHT($C$82,4)&amp;"*"&amp;BK$55&amp;"*"&amp;"A"</f>
        <v>032*2020*8530*A</v>
      </c>
      <c r="B794" s="274"/>
      <c r="C794" s="276">
        <f>ROUND(BK60,2)</f>
        <v>0</v>
      </c>
      <c r="D794" s="274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7365007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">
      <c r="A795" s="209" t="str">
        <f>RIGHT($C$83,3)&amp;"*"&amp;RIGHT($C$82,4)&amp;"*"&amp;BL$55&amp;"*"&amp;"A"</f>
        <v>032*2020*8560*A</v>
      </c>
      <c r="B795" s="274"/>
      <c r="C795" s="276">
        <f>ROUND(BL60,2)</f>
        <v>0</v>
      </c>
      <c r="D795" s="274">
        <f>ROUND(BL61,0)</f>
        <v>0</v>
      </c>
      <c r="E795" s="274">
        <f>ROUND(BL62,0)</f>
        <v>0</v>
      </c>
      <c r="F795" s="274">
        <f>ROUND(BL63,0)</f>
        <v>0</v>
      </c>
      <c r="G795" s="274">
        <f>ROUND(BL64,0)</f>
        <v>45698</v>
      </c>
      <c r="H795" s="274">
        <f>ROUND(BL65,0)</f>
        <v>446</v>
      </c>
      <c r="I795" s="274">
        <f>ROUND(BL66,0)</f>
        <v>19792143</v>
      </c>
      <c r="J795" s="274">
        <f>ROUND(BL67,0)</f>
        <v>241</v>
      </c>
      <c r="K795" s="274">
        <f>ROUND(BL68,0)</f>
        <v>15787</v>
      </c>
      <c r="L795" s="274">
        <f>ROUND(BL69,0)</f>
        <v>3810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">
      <c r="A796" s="209" t="str">
        <f>RIGHT($C$83,3)&amp;"*"&amp;RIGHT($C$82,4)&amp;"*"&amp;BM$55&amp;"*"&amp;"A"</f>
        <v>032*2020*8590*A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">
      <c r="A797" s="209" t="str">
        <f>RIGHT($C$83,3)&amp;"*"&amp;RIGHT($C$82,4)&amp;"*"&amp;BN$55&amp;"*"&amp;"A"</f>
        <v>032*2020*8610*A</v>
      </c>
      <c r="B797" s="274"/>
      <c r="C797" s="276">
        <f>ROUND(BN60,2)</f>
        <v>8.16</v>
      </c>
      <c r="D797" s="274">
        <f>ROUND(BN61,0)</f>
        <v>1398788</v>
      </c>
      <c r="E797" s="274">
        <f>ROUND(BN62,0)</f>
        <v>260649</v>
      </c>
      <c r="F797" s="274">
        <f>ROUND(BN63,0)</f>
        <v>0</v>
      </c>
      <c r="G797" s="274">
        <f>ROUND(BN64,0)</f>
        <v>62132</v>
      </c>
      <c r="H797" s="274">
        <f>ROUND(BN65,0)</f>
        <v>6053</v>
      </c>
      <c r="I797" s="274">
        <f>ROUND(BN66,0)</f>
        <v>1600943</v>
      </c>
      <c r="J797" s="274">
        <f>ROUND(BN67,0)</f>
        <v>2506249</v>
      </c>
      <c r="K797" s="274">
        <f>ROUND(BN68,0)</f>
        <v>61324</v>
      </c>
      <c r="L797" s="274">
        <f>ROUND(BN69,0)</f>
        <v>487125</v>
      </c>
      <c r="M797" s="274">
        <f>ROUND(BN70,0)</f>
        <v>13400</v>
      </c>
      <c r="N797" s="274"/>
      <c r="O797" s="274"/>
      <c r="P797" s="274">
        <f>IF(BN76&gt;0,ROUND(BN76,0),0)</f>
        <v>168154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">
      <c r="A798" s="209" t="str">
        <f>RIGHT($C$83,3)&amp;"*"&amp;RIGHT($C$82,4)&amp;"*"&amp;BO$55&amp;"*"&amp;"A"</f>
        <v>032*2020*8620*A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">
      <c r="A799" s="209" t="str">
        <f>RIGHT($C$83,3)&amp;"*"&amp;RIGHT($C$82,4)&amp;"*"&amp;BP$55&amp;"*"&amp;"A"</f>
        <v>032*2020*8630*A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">
      <c r="A800" s="209" t="str">
        <f>RIGHT($C$83,3)&amp;"*"&amp;RIGHT($C$82,4)&amp;"*"&amp;BQ$55&amp;"*"&amp;"A"</f>
        <v>032*2020*8640*A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">
      <c r="A801" s="209" t="str">
        <f>RIGHT($C$83,3)&amp;"*"&amp;RIGHT($C$82,4)&amp;"*"&amp;BR$55&amp;"*"&amp;"A"</f>
        <v>032*2020*8650*A</v>
      </c>
      <c r="B801" s="274"/>
      <c r="C801" s="276">
        <f>ROUND(BR60,2)</f>
        <v>0</v>
      </c>
      <c r="D801" s="274">
        <f>ROUND(BR61,0)</f>
        <v>0</v>
      </c>
      <c r="E801" s="274">
        <f>ROUND(BR62,0)</f>
        <v>2017</v>
      </c>
      <c r="F801" s="274">
        <f>ROUND(BR63,0)</f>
        <v>0</v>
      </c>
      <c r="G801" s="274">
        <f>ROUND(BR64,0)</f>
        <v>0</v>
      </c>
      <c r="H801" s="274">
        <f>ROUND(BR65,0)</f>
        <v>0</v>
      </c>
      <c r="I801" s="274">
        <f>ROUND(BR66,0)</f>
        <v>0</v>
      </c>
      <c r="J801" s="274">
        <f>ROUND(BR67,0)</f>
        <v>0</v>
      </c>
      <c r="K801" s="274">
        <f>ROUND(BR68,0)</f>
        <v>0</v>
      </c>
      <c r="L801" s="274">
        <f>ROUND(BR69,0)</f>
        <v>1013417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">
      <c r="A802" s="209" t="str">
        <f>RIGHT($C$83,3)&amp;"*"&amp;RIGHT($C$82,4)&amp;"*"&amp;BS$55&amp;"*"&amp;"A"</f>
        <v>032*2020*8660*A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">
      <c r="A803" s="209" t="str">
        <f>RIGHT($C$83,3)&amp;"*"&amp;RIGHT($C$82,4)&amp;"*"&amp;BT$55&amp;"*"&amp;"A"</f>
        <v>032*2020*8670*A</v>
      </c>
      <c r="B803" s="274"/>
      <c r="C803" s="276">
        <f>ROUND(BT60,2)</f>
        <v>2.81</v>
      </c>
      <c r="D803" s="274">
        <f>ROUND(BT61,0)</f>
        <v>151445</v>
      </c>
      <c r="E803" s="274">
        <f>ROUND(BT62,0)</f>
        <v>59942</v>
      </c>
      <c r="F803" s="274">
        <f>ROUND(BT63,0)</f>
        <v>0</v>
      </c>
      <c r="G803" s="274">
        <f>ROUND(BT64,0)</f>
        <v>121</v>
      </c>
      <c r="H803" s="274">
        <f>ROUND(BT65,0)</f>
        <v>0</v>
      </c>
      <c r="I803" s="274">
        <f>ROUND(BT66,0)</f>
        <v>0</v>
      </c>
      <c r="J803" s="274">
        <f>ROUND(BT67,0)</f>
        <v>21833</v>
      </c>
      <c r="K803" s="274">
        <f>ROUND(BT68,0)</f>
        <v>0</v>
      </c>
      <c r="L803" s="274">
        <f>ROUND(BT69,0)</f>
        <v>3567</v>
      </c>
      <c r="M803" s="274">
        <f>ROUND(BT70,0)</f>
        <v>11425</v>
      </c>
      <c r="N803" s="274"/>
      <c r="O803" s="274"/>
      <c r="P803" s="274">
        <f>IF(BT76&gt;0,ROUND(BT76,0),0)</f>
        <v>1535</v>
      </c>
      <c r="Q803" s="274">
        <f>IF(BT77&gt;0,ROUND(BT77,0),0)</f>
        <v>0</v>
      </c>
      <c r="R803" s="274">
        <f>IF(BT78&gt;0,ROUND(BT78,0),0)</f>
        <v>641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">
      <c r="A804" s="209" t="str">
        <f>RIGHT($C$83,3)&amp;"*"&amp;RIGHT($C$82,4)&amp;"*"&amp;BU$55&amp;"*"&amp;"A"</f>
        <v>032*2020*8680*A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">
      <c r="A805" s="209" t="str">
        <f>RIGHT($C$83,3)&amp;"*"&amp;RIGHT($C$82,4)&amp;"*"&amp;BV$55&amp;"*"&amp;"A"</f>
        <v>032*2020*8690*A</v>
      </c>
      <c r="B805" s="274"/>
      <c r="C805" s="276">
        <f>ROUND(BV60,2)</f>
        <v>0</v>
      </c>
      <c r="D805" s="274">
        <f>ROUND(BV61,0)</f>
        <v>0</v>
      </c>
      <c r="E805" s="274">
        <f>ROUND(BV62,0)</f>
        <v>0</v>
      </c>
      <c r="F805" s="274">
        <f>ROUND(BV63,0)</f>
        <v>0</v>
      </c>
      <c r="G805" s="274">
        <f>ROUND(BV64,0)</f>
        <v>0</v>
      </c>
      <c r="H805" s="274">
        <f>ROUND(BV65,0)</f>
        <v>0</v>
      </c>
      <c r="I805" s="274">
        <f>ROUND(BV66,0)</f>
        <v>3114854</v>
      </c>
      <c r="J805" s="274">
        <f>ROUND(BV67,0)</f>
        <v>134484</v>
      </c>
      <c r="K805" s="274">
        <f>ROUND(BV68,0)</f>
        <v>0</v>
      </c>
      <c r="L805" s="274">
        <f>ROUND(BV69,0)</f>
        <v>0</v>
      </c>
      <c r="M805" s="274">
        <f>ROUND(BV70,0)</f>
        <v>0</v>
      </c>
      <c r="N805" s="274"/>
      <c r="O805" s="274"/>
      <c r="P805" s="274">
        <f>IF(BV76&gt;0,ROUND(BV76,0),0)</f>
        <v>9455</v>
      </c>
      <c r="Q805" s="274">
        <f>IF(BV77&gt;0,ROUND(BV77,0),0)</f>
        <v>0</v>
      </c>
      <c r="R805" s="274">
        <f>IF(BV78&gt;0,ROUND(BV78,0),0)</f>
        <v>3946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">
      <c r="A806" s="209" t="str">
        <f>RIGHT($C$83,3)&amp;"*"&amp;RIGHT($C$82,4)&amp;"*"&amp;BW$55&amp;"*"&amp;"A"</f>
        <v>032*2020*8700*A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344529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">
      <c r="A807" s="209" t="str">
        <f>RIGHT($C$83,3)&amp;"*"&amp;RIGHT($C$82,4)&amp;"*"&amp;BX$55&amp;"*"&amp;"A"</f>
        <v>032*2020*8710*A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-463944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">
      <c r="A808" s="209" t="str">
        <f>RIGHT($C$83,3)&amp;"*"&amp;RIGHT($C$82,4)&amp;"*"&amp;BY$55&amp;"*"&amp;"A"</f>
        <v>032*2020*8720*A</v>
      </c>
      <c r="B808" s="274"/>
      <c r="C808" s="276">
        <f>ROUND(BY60,2)</f>
        <v>58.84</v>
      </c>
      <c r="D808" s="274">
        <f>ROUND(BY61,0)</f>
        <v>4955560</v>
      </c>
      <c r="E808" s="274">
        <f>ROUND(BY62,0)</f>
        <v>1480131</v>
      </c>
      <c r="F808" s="274">
        <f>ROUND(BY63,0)</f>
        <v>0</v>
      </c>
      <c r="G808" s="274">
        <f>ROUND(BY64,0)</f>
        <v>5635</v>
      </c>
      <c r="H808" s="274">
        <f>ROUND(BY65,0)</f>
        <v>2245</v>
      </c>
      <c r="I808" s="274">
        <f>ROUND(BY66,0)</f>
        <v>909986</v>
      </c>
      <c r="J808" s="274">
        <f>ROUND(BY67,0)</f>
        <v>17434</v>
      </c>
      <c r="K808" s="274">
        <f>ROUND(BY68,0)</f>
        <v>5954</v>
      </c>
      <c r="L808" s="274">
        <f>ROUND(BY69,0)</f>
        <v>3593</v>
      </c>
      <c r="M808" s="274">
        <f>ROUND(BY70,0)</f>
        <v>0</v>
      </c>
      <c r="N808" s="274"/>
      <c r="O808" s="274"/>
      <c r="P808" s="274">
        <f>IF(BY76&gt;0,ROUND(BY76,0),0)</f>
        <v>978</v>
      </c>
      <c r="Q808" s="274">
        <f>IF(BY77&gt;0,ROUND(BY77,0),0)</f>
        <v>0</v>
      </c>
      <c r="R808" s="274">
        <f>IF(BY78&gt;0,ROUND(BY78,0),0)</f>
        <v>408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">
      <c r="A809" s="209" t="str">
        <f>RIGHT($C$83,3)&amp;"*"&amp;RIGHT($C$82,4)&amp;"*"&amp;BZ$55&amp;"*"&amp;"A"</f>
        <v>032*2020*8730*A</v>
      </c>
      <c r="B809" s="274"/>
      <c r="C809" s="276">
        <f>ROUND(BZ60,2)</f>
        <v>11.85</v>
      </c>
      <c r="D809" s="274">
        <f>ROUND(BZ61,0)</f>
        <v>887313</v>
      </c>
      <c r="E809" s="274">
        <f>ROUND(BZ62,0)</f>
        <v>282929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625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">
      <c r="A810" s="209" t="str">
        <f>RIGHT($C$83,3)&amp;"*"&amp;RIGHT($C$82,4)&amp;"*"&amp;CA$55&amp;"*"&amp;"A"</f>
        <v>032*2020*8740*A</v>
      </c>
      <c r="B810" s="274"/>
      <c r="C810" s="276">
        <f>ROUND(CA60,2)</f>
        <v>6.15</v>
      </c>
      <c r="D810" s="274">
        <f>ROUND(CA61,0)</f>
        <v>654677</v>
      </c>
      <c r="E810" s="274">
        <f>ROUND(CA62,0)</f>
        <v>171910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">
      <c r="A811" s="209" t="str">
        <f>RIGHT($C$83,3)&amp;"*"&amp;RIGHT($C$82,4)&amp;"*"&amp;CB$55&amp;"*"&amp;"A"</f>
        <v>032*2020*8770*A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">
      <c r="A812" s="209" t="str">
        <f>RIGHT($C$83,3)&amp;"*"&amp;RIGHT($C$82,4)&amp;"*"&amp;CC$55&amp;"*"&amp;"A"</f>
        <v>032*2020*8790*A</v>
      </c>
      <c r="B812" s="274"/>
      <c r="C812" s="276">
        <f>ROUND(CC60,2)</f>
        <v>3.4</v>
      </c>
      <c r="D812" s="274">
        <f>ROUND(CC61,0)</f>
        <v>3513536</v>
      </c>
      <c r="E812" s="274">
        <f>ROUND(CC62,0)</f>
        <v>77065</v>
      </c>
      <c r="F812" s="274">
        <f>ROUND(CC63,0)</f>
        <v>240462</v>
      </c>
      <c r="G812" s="274">
        <f>ROUND(CC64,0)</f>
        <v>-757717</v>
      </c>
      <c r="H812" s="274">
        <f>ROUND(CC65,0)</f>
        <v>0</v>
      </c>
      <c r="I812" s="274">
        <f>ROUND(CC66,0)</f>
        <v>92381553</v>
      </c>
      <c r="J812" s="274">
        <f>ROUND(CC67,0)</f>
        <v>1450932</v>
      </c>
      <c r="K812" s="274">
        <f>ROUND(CC68,0)</f>
        <v>-1251845</v>
      </c>
      <c r="L812" s="274">
        <f>ROUND(CC69,0)</f>
        <v>102189</v>
      </c>
      <c r="M812" s="274">
        <f>ROUND(CC70,0)</f>
        <v>67000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">
      <c r="A813" s="209" t="str">
        <f>RIGHT($C$83,3)&amp;"*"&amp;RIGHT($C$82,4)&amp;"*"&amp;"9000"&amp;"*"&amp;"A"</f>
        <v>032*2020*9000*A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36234144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">
      <c r="B815" s="278" t="s">
        <v>1004</v>
      </c>
      <c r="C815" s="279">
        <f t="shared" ref="C815:K815" si="23">SUM(C734:C813)</f>
        <v>3241.45</v>
      </c>
      <c r="D815" s="275">
        <f t="shared" si="23"/>
        <v>312834200</v>
      </c>
      <c r="E815" s="275">
        <f t="shared" si="23"/>
        <v>78092502</v>
      </c>
      <c r="F815" s="275">
        <f t="shared" si="23"/>
        <v>29499969</v>
      </c>
      <c r="G815" s="275">
        <f t="shared" si="23"/>
        <v>108763562</v>
      </c>
      <c r="H815" s="275">
        <f t="shared" si="23"/>
        <v>4511631</v>
      </c>
      <c r="I815" s="275">
        <f t="shared" si="23"/>
        <v>188108218</v>
      </c>
      <c r="J815" s="275">
        <f t="shared" si="23"/>
        <v>33117876</v>
      </c>
      <c r="K815" s="275">
        <f t="shared" si="23"/>
        <v>17879180</v>
      </c>
      <c r="L815" s="275">
        <f>SUM(L734:L813)+SUM(U734:U813)</f>
        <v>45130532</v>
      </c>
      <c r="M815" s="275">
        <f>SUM(M734:M813)+SUM(V734:V813)</f>
        <v>34254567</v>
      </c>
      <c r="N815" s="275">
        <f t="shared" ref="N815:Y815" si="24">SUM(N734:N813)</f>
        <v>3256801802</v>
      </c>
      <c r="O815" s="275">
        <f t="shared" si="24"/>
        <v>1895188306</v>
      </c>
      <c r="P815" s="275">
        <f t="shared" si="24"/>
        <v>850148</v>
      </c>
      <c r="Q815" s="275">
        <f t="shared" si="24"/>
        <v>343452</v>
      </c>
      <c r="R815" s="275">
        <f t="shared" si="24"/>
        <v>203016</v>
      </c>
      <c r="S815" s="275">
        <f t="shared" si="24"/>
        <v>2516933</v>
      </c>
      <c r="T815" s="279">
        <f t="shared" si="24"/>
        <v>1024.92</v>
      </c>
      <c r="U815" s="275">
        <f t="shared" si="24"/>
        <v>36234144</v>
      </c>
      <c r="V815" s="275">
        <f t="shared" si="24"/>
        <v>0</v>
      </c>
      <c r="W815" s="275">
        <f t="shared" si="24"/>
        <v>0</v>
      </c>
      <c r="X815" s="275">
        <f t="shared" si="24"/>
        <v>0</v>
      </c>
      <c r="Y815" s="275">
        <f t="shared" si="24"/>
        <v>222799036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">
      <c r="B816" s="275" t="s">
        <v>1005</v>
      </c>
      <c r="C816" s="279">
        <f>CE60</f>
        <v>3241.4544904214549</v>
      </c>
      <c r="D816" s="275">
        <f>CE61</f>
        <v>312834201.53000009</v>
      </c>
      <c r="E816" s="275">
        <f>CE62</f>
        <v>78092502</v>
      </c>
      <c r="F816" s="275">
        <f>CE63</f>
        <v>29499968.819999997</v>
      </c>
      <c r="G816" s="275">
        <f>CE64</f>
        <v>108763560.14000003</v>
      </c>
      <c r="H816" s="278">
        <f>CE65</f>
        <v>4511629.8899999987</v>
      </c>
      <c r="I816" s="278">
        <f>CE66</f>
        <v>188108218.07512945</v>
      </c>
      <c r="J816" s="278">
        <f>CE67</f>
        <v>33117876</v>
      </c>
      <c r="K816" s="278">
        <f>CE68</f>
        <v>17879177.98</v>
      </c>
      <c r="L816" s="278">
        <f>CE69</f>
        <v>45130530.859999992</v>
      </c>
      <c r="M816" s="278">
        <f>CE70</f>
        <v>34254566.289999999</v>
      </c>
      <c r="N816" s="275">
        <f>CE75</f>
        <v>3256801803.6299992</v>
      </c>
      <c r="O816" s="275">
        <f>CE73</f>
        <v>1895188306.6299996</v>
      </c>
      <c r="P816" s="275">
        <f>CE76</f>
        <v>850147.87416666653</v>
      </c>
      <c r="Q816" s="275">
        <f>CE77</f>
        <v>343452</v>
      </c>
      <c r="R816" s="275">
        <f>CE78</f>
        <v>203014.94999999998</v>
      </c>
      <c r="S816" s="275">
        <f>CE79</f>
        <v>2516931.8100000005</v>
      </c>
      <c r="T816" s="279">
        <f>CE80</f>
        <v>1024.9222936007957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222799032.39877433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312834201.53000003</v>
      </c>
      <c r="E817" s="180">
        <f>C379</f>
        <v>78092502.579999998</v>
      </c>
      <c r="F817" s="180">
        <f>C380</f>
        <v>29499968.82</v>
      </c>
      <c r="G817" s="238">
        <f>C381</f>
        <v>108763560.14</v>
      </c>
      <c r="H817" s="238">
        <f>C382</f>
        <v>4511629.8899999997</v>
      </c>
      <c r="I817" s="238">
        <f>C383</f>
        <v>188108217.96000004</v>
      </c>
      <c r="J817" s="238">
        <f>C384</f>
        <v>33117872.43</v>
      </c>
      <c r="K817" s="238">
        <f>C385</f>
        <v>17879177.98</v>
      </c>
      <c r="L817" s="238">
        <f>C386+C387+C388+C389</f>
        <v>45130530.860000022</v>
      </c>
      <c r="M817" s="238">
        <f>C370</f>
        <v>34254566.289999999</v>
      </c>
      <c r="N817" s="180">
        <f>D361</f>
        <v>3256801803.6300001</v>
      </c>
      <c r="O817" s="180">
        <f>C359</f>
        <v>1895188306.6299999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2"/>
  <sheetViews>
    <sheetView view="pageBreakPreview" zoomScale="60" zoomScaleNormal="70" workbookViewId="0">
      <selection activeCell="B39" sqref="B39"/>
    </sheetView>
  </sheetViews>
  <sheetFormatPr defaultRowHeight="15" x14ac:dyDescent="0.2"/>
  <cols>
    <col min="1" max="1" width="11" bestFit="1" customWidth="1"/>
    <col min="2" max="2" width="28.44140625" bestFit="1" customWidth="1"/>
    <col min="3" max="3" width="33.6640625" bestFit="1" customWidth="1"/>
    <col min="4" max="4" width="28.21875" bestFit="1" customWidth="1"/>
    <col min="5" max="5" width="23.33203125" bestFit="1" customWidth="1"/>
    <col min="6" max="6" width="30.5546875" bestFit="1" customWidth="1"/>
    <col min="7" max="7" width="24.6640625" bestFit="1" customWidth="1"/>
    <col min="8" max="8" width="23" bestFit="1" customWidth="1"/>
    <col min="9" max="9" width="23.33203125" bestFit="1" customWidth="1"/>
    <col min="10" max="10" width="33.44140625" bestFit="1" customWidth="1"/>
    <col min="11" max="11" width="24.6640625" bestFit="1" customWidth="1"/>
    <col min="12" max="12" width="23" bestFit="1" customWidth="1"/>
    <col min="13" max="13" width="30.5546875" bestFit="1" customWidth="1"/>
    <col min="14" max="14" width="46" bestFit="1" customWidth="1"/>
    <col min="15" max="15" width="22.33203125" bestFit="1" customWidth="1"/>
    <col min="16" max="16" width="27.44140625" bestFit="1" customWidth="1"/>
    <col min="17" max="17" width="19.21875" bestFit="1" customWidth="1"/>
    <col min="18" max="18" width="18.21875" bestFit="1" customWidth="1"/>
    <col min="19" max="19" width="21.44140625" bestFit="1" customWidth="1"/>
    <col min="20" max="20" width="20.21875" bestFit="1" customWidth="1"/>
  </cols>
  <sheetData>
    <row r="1" spans="1:20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</row>
    <row r="3" spans="1:20" x14ac:dyDescent="0.2">
      <c r="A3" t="s">
        <v>1282</v>
      </c>
      <c r="B3" s="342" t="s">
        <v>1283</v>
      </c>
      <c r="C3" s="342" t="s">
        <v>1284</v>
      </c>
      <c r="D3" t="s">
        <v>1285</v>
      </c>
      <c r="E3" t="s">
        <v>1286</v>
      </c>
      <c r="F3" t="s">
        <v>1287</v>
      </c>
      <c r="G3" s="342" t="s">
        <v>473</v>
      </c>
      <c r="H3" s="342" t="s">
        <v>1288</v>
      </c>
      <c r="I3" s="342" t="s">
        <v>1289</v>
      </c>
      <c r="J3" s="342" t="s">
        <v>1290</v>
      </c>
      <c r="K3" s="342" t="s">
        <v>1291</v>
      </c>
      <c r="L3" s="342" t="s">
        <v>1292</v>
      </c>
      <c r="M3" s="342" t="s">
        <v>1293</v>
      </c>
      <c r="N3" t="s">
        <v>1294</v>
      </c>
      <c r="O3" s="342" t="s">
        <v>241</v>
      </c>
      <c r="P3" s="342" t="s">
        <v>1295</v>
      </c>
      <c r="Q3" s="342" t="s">
        <v>1296</v>
      </c>
      <c r="R3" s="342" t="s">
        <v>106</v>
      </c>
      <c r="S3" t="s">
        <v>1297</v>
      </c>
      <c r="T3" t="s">
        <v>1298</v>
      </c>
    </row>
    <row r="4" spans="1:20" x14ac:dyDescent="0.2">
      <c r="A4" s="334">
        <v>6010</v>
      </c>
      <c r="B4" s="335">
        <v>119685099.56999999</v>
      </c>
      <c r="C4" s="335">
        <v>474875.44000000006</v>
      </c>
      <c r="D4" s="335"/>
      <c r="E4" s="335"/>
      <c r="F4" s="335"/>
      <c r="G4" s="335">
        <v>17031554.389999997</v>
      </c>
      <c r="H4" s="335">
        <v>1235105.4300000002</v>
      </c>
      <c r="I4" s="335">
        <v>4792558.0199999996</v>
      </c>
      <c r="J4" s="335">
        <v>4524322.7700000005</v>
      </c>
      <c r="K4" s="335">
        <v>2744290.66</v>
      </c>
      <c r="L4" s="335">
        <v>4284.0200000000004</v>
      </c>
      <c r="M4" s="335">
        <v>1126506.6300000001</v>
      </c>
      <c r="N4" s="335"/>
      <c r="O4" s="335">
        <v>168452.53999999998</v>
      </c>
      <c r="P4" s="335">
        <v>337581.18999999994</v>
      </c>
      <c r="Q4" s="335">
        <v>29499.56</v>
      </c>
      <c r="R4" s="335">
        <v>37500</v>
      </c>
      <c r="S4" s="335">
        <v>152191630.22</v>
      </c>
      <c r="T4" s="335">
        <v>88203319.799999997</v>
      </c>
    </row>
    <row r="5" spans="1:20" x14ac:dyDescent="0.2">
      <c r="A5" s="334">
        <v>6070</v>
      </c>
      <c r="B5" s="335">
        <v>282298886.99999994</v>
      </c>
      <c r="C5" s="335">
        <v>30547891.829999998</v>
      </c>
      <c r="D5" s="335">
        <v>0</v>
      </c>
      <c r="E5" s="335"/>
      <c r="F5" s="335"/>
      <c r="G5" s="335">
        <v>45412164.739999995</v>
      </c>
      <c r="H5" s="335">
        <v>1374210</v>
      </c>
      <c r="I5" s="335">
        <v>13998375.93</v>
      </c>
      <c r="J5" s="335">
        <v>38750</v>
      </c>
      <c r="K5" s="335">
        <v>3790408.7499999995</v>
      </c>
      <c r="L5" s="335">
        <v>6741.4299999999994</v>
      </c>
      <c r="M5" s="335">
        <v>1358756.5499999998</v>
      </c>
      <c r="N5" s="335"/>
      <c r="O5" s="335">
        <v>159072.32000000001</v>
      </c>
      <c r="P5" s="335">
        <v>2540625.1099999994</v>
      </c>
      <c r="Q5" s="335">
        <v>62111.73</v>
      </c>
      <c r="R5" s="335">
        <v>45500</v>
      </c>
      <c r="S5" s="335">
        <v>381633495.38999999</v>
      </c>
      <c r="T5" s="335">
        <v>244151062.26999989</v>
      </c>
    </row>
    <row r="6" spans="1:20" x14ac:dyDescent="0.2">
      <c r="A6" s="334">
        <v>6140</v>
      </c>
      <c r="B6" s="335">
        <v>0</v>
      </c>
      <c r="C6" s="335">
        <v>2500</v>
      </c>
      <c r="D6" s="335">
        <v>22235.989999999983</v>
      </c>
      <c r="E6" s="335">
        <v>5911.61</v>
      </c>
      <c r="F6" s="335">
        <v>4375.2700000000004</v>
      </c>
      <c r="G6" s="335">
        <v>194.23</v>
      </c>
      <c r="H6" s="335"/>
      <c r="I6" s="335">
        <v>14.83</v>
      </c>
      <c r="J6" s="335">
        <v>-7.2</v>
      </c>
      <c r="K6" s="335">
        <v>1744.8</v>
      </c>
      <c r="L6" s="335">
        <v>4.2300000000000004</v>
      </c>
      <c r="M6" s="335">
        <v>155929.13999999998</v>
      </c>
      <c r="N6" s="335"/>
      <c r="O6" s="335">
        <v>50.46</v>
      </c>
      <c r="P6" s="335">
        <v>200.84</v>
      </c>
      <c r="Q6" s="335">
        <v>896.99000000000024</v>
      </c>
      <c r="R6" s="335"/>
      <c r="S6" s="335">
        <v>194051.18999999994</v>
      </c>
      <c r="T6" s="335">
        <v>-180300.64999999994</v>
      </c>
    </row>
    <row r="7" spans="1:20" x14ac:dyDescent="0.2">
      <c r="A7" s="334">
        <v>6170</v>
      </c>
      <c r="B7" s="335">
        <v>54372390.479999997</v>
      </c>
      <c r="C7" s="335">
        <v>162.94999999999999</v>
      </c>
      <c r="D7" s="335"/>
      <c r="E7" s="335"/>
      <c r="F7" s="335"/>
      <c r="G7" s="335">
        <v>5274899.4800000004</v>
      </c>
      <c r="H7" s="335"/>
      <c r="I7" s="335">
        <v>1475396.6300000004</v>
      </c>
      <c r="J7" s="335">
        <v>937314.63999999978</v>
      </c>
      <c r="K7" s="335">
        <v>966892.63000000012</v>
      </c>
      <c r="L7" s="335">
        <v>1659.4799999999998</v>
      </c>
      <c r="M7" s="335">
        <v>173390.75999999998</v>
      </c>
      <c r="N7" s="335"/>
      <c r="O7" s="335">
        <v>71641.679999999993</v>
      </c>
      <c r="P7" s="335">
        <v>490970.17000000004</v>
      </c>
      <c r="Q7" s="335">
        <v>481.42999999999989</v>
      </c>
      <c r="R7" s="335">
        <v>27350</v>
      </c>
      <c r="S7" s="335">
        <v>63792550.329999998</v>
      </c>
      <c r="T7" s="335">
        <v>45007256.530000001</v>
      </c>
    </row>
    <row r="8" spans="1:20" x14ac:dyDescent="0.2">
      <c r="A8" s="334">
        <v>7010</v>
      </c>
      <c r="B8" s="335">
        <v>139916023.98000005</v>
      </c>
      <c r="C8" s="335">
        <v>11117689.470000001</v>
      </c>
      <c r="D8" s="335">
        <v>58.28</v>
      </c>
      <c r="E8" s="335"/>
      <c r="F8" s="335">
        <v>2.9500000000000006</v>
      </c>
      <c r="G8" s="335">
        <v>13381662.67</v>
      </c>
      <c r="H8" s="335">
        <v>93889.62</v>
      </c>
      <c r="I8" s="335">
        <v>3730095.9800000004</v>
      </c>
      <c r="J8" s="335">
        <v>1668658.8</v>
      </c>
      <c r="K8" s="335">
        <v>1450510.05</v>
      </c>
      <c r="L8" s="335">
        <v>4044.28</v>
      </c>
      <c r="M8" s="335">
        <v>512209.17</v>
      </c>
      <c r="N8" s="335"/>
      <c r="O8" s="335">
        <v>71987.079999999987</v>
      </c>
      <c r="P8" s="335">
        <v>756292.9700000002</v>
      </c>
      <c r="Q8" s="335">
        <v>188003.09999999998</v>
      </c>
      <c r="R8" s="335">
        <v>36189.800000000003</v>
      </c>
      <c r="S8" s="335">
        <v>172927318.20000005</v>
      </c>
      <c r="T8" s="335">
        <v>129212494.20000005</v>
      </c>
    </row>
    <row r="9" spans="1:20" x14ac:dyDescent="0.2">
      <c r="A9" s="334">
        <v>7020</v>
      </c>
      <c r="B9" s="335">
        <v>508837305.32999986</v>
      </c>
      <c r="C9" s="335">
        <v>427480466.15999991</v>
      </c>
      <c r="D9" s="335"/>
      <c r="E9" s="335"/>
      <c r="F9" s="335"/>
      <c r="G9" s="335">
        <v>20080314.450000003</v>
      </c>
      <c r="H9" s="335">
        <v>4267051.25</v>
      </c>
      <c r="I9" s="335">
        <v>5804693.5600000005</v>
      </c>
      <c r="J9" s="335">
        <v>4619142.45</v>
      </c>
      <c r="K9" s="335">
        <v>45165029.420000024</v>
      </c>
      <c r="L9" s="335">
        <v>9661.57</v>
      </c>
      <c r="M9" s="335">
        <v>5938155.4400000013</v>
      </c>
      <c r="N9" s="335"/>
      <c r="O9" s="335">
        <v>1031400.67</v>
      </c>
      <c r="P9" s="335">
        <v>4395251.0100000007</v>
      </c>
      <c r="Q9" s="335">
        <v>716535.25999999989</v>
      </c>
      <c r="R9" s="335">
        <v>17821.7</v>
      </c>
      <c r="S9" s="335">
        <v>1028362828.27</v>
      </c>
      <c r="T9" s="335">
        <v>844308358.10999966</v>
      </c>
    </row>
    <row r="10" spans="1:20" x14ac:dyDescent="0.2">
      <c r="A10" s="334">
        <v>7030</v>
      </c>
      <c r="B10" s="335">
        <v>14481645.849999998</v>
      </c>
      <c r="C10" s="335">
        <v>12600331.810000001</v>
      </c>
      <c r="D10" s="335"/>
      <c r="E10" s="335"/>
      <c r="F10" s="335"/>
      <c r="G10" s="335">
        <v>1910501.92</v>
      </c>
      <c r="H10" s="335">
        <v>49422.28</v>
      </c>
      <c r="I10" s="335">
        <v>509138.47</v>
      </c>
      <c r="J10" s="335"/>
      <c r="K10" s="335">
        <v>140604.29</v>
      </c>
      <c r="L10" s="335">
        <v>480.87</v>
      </c>
      <c r="M10" s="335">
        <v>5990.4099999999989</v>
      </c>
      <c r="N10" s="335"/>
      <c r="O10" s="335">
        <v>22930.39</v>
      </c>
      <c r="P10" s="335">
        <v>26438.699999999997</v>
      </c>
      <c r="Q10" s="335">
        <v>2842.04</v>
      </c>
      <c r="R10" s="335"/>
      <c r="S10" s="335">
        <v>29750327.029999997</v>
      </c>
      <c r="T10" s="335">
        <v>24413628.289999995</v>
      </c>
    </row>
    <row r="11" spans="1:20" x14ac:dyDescent="0.2">
      <c r="A11" s="334">
        <v>7050</v>
      </c>
      <c r="B11" s="335"/>
      <c r="C11" s="335"/>
      <c r="D11" s="335"/>
      <c r="E11" s="335"/>
      <c r="F11" s="335"/>
      <c r="G11" s="335">
        <v>1818333.47</v>
      </c>
      <c r="H11" s="335"/>
      <c r="I11" s="335">
        <v>809251.54999999993</v>
      </c>
      <c r="J11" s="335"/>
      <c r="K11" s="335">
        <v>-1184727.4200000011</v>
      </c>
      <c r="L11" s="335"/>
      <c r="M11" s="335"/>
      <c r="N11" s="335"/>
      <c r="O11" s="335">
        <v>99314.35</v>
      </c>
      <c r="P11" s="335">
        <v>187873.32754150004</v>
      </c>
      <c r="Q11" s="335">
        <v>147234.01</v>
      </c>
      <c r="R11" s="335"/>
      <c r="S11" s="335">
        <v>1877279.2875414991</v>
      </c>
      <c r="T11" s="335">
        <v>-1877279.2875414991</v>
      </c>
    </row>
    <row r="12" spans="1:20" x14ac:dyDescent="0.2">
      <c r="A12" s="334">
        <v>7060</v>
      </c>
      <c r="B12" s="335">
        <v>15096869.370000001</v>
      </c>
      <c r="C12" s="335">
        <v>1055945.1200000001</v>
      </c>
      <c r="D12" s="335"/>
      <c r="E12" s="335"/>
      <c r="F12" s="335"/>
      <c r="G12" s="335">
        <v>1611617.87</v>
      </c>
      <c r="H12" s="335"/>
      <c r="I12" s="335">
        <v>386351.89999999997</v>
      </c>
      <c r="J12" s="335"/>
      <c r="K12" s="335">
        <v>1045941.0999999999</v>
      </c>
      <c r="L12" s="335">
        <v>656.35</v>
      </c>
      <c r="M12" s="335">
        <v>42352.649999999994</v>
      </c>
      <c r="N12" s="335"/>
      <c r="O12" s="335">
        <v>2976.2000000000003</v>
      </c>
      <c r="P12" s="335">
        <v>1037314.73</v>
      </c>
      <c r="Q12" s="335">
        <v>404.2299999999999</v>
      </c>
      <c r="R12" s="335"/>
      <c r="S12" s="335">
        <v>20280429.520000003</v>
      </c>
      <c r="T12" s="335">
        <v>12025199.460000001</v>
      </c>
    </row>
    <row r="13" spans="1:20" x14ac:dyDescent="0.2">
      <c r="A13" s="334">
        <v>7070</v>
      </c>
      <c r="B13" s="335">
        <v>110385137.61</v>
      </c>
      <c r="C13" s="335">
        <v>39765352.859999999</v>
      </c>
      <c r="D13" s="335"/>
      <c r="E13" s="335"/>
      <c r="F13" s="335"/>
      <c r="G13" s="335">
        <v>6392725.54</v>
      </c>
      <c r="H13" s="335">
        <v>887327.35000000009</v>
      </c>
      <c r="I13" s="335">
        <v>2071463.1199999999</v>
      </c>
      <c r="J13" s="335">
        <v>77528.13</v>
      </c>
      <c r="K13" s="335">
        <v>7182558.2699999996</v>
      </c>
      <c r="L13" s="335">
        <v>61143.880000000005</v>
      </c>
      <c r="M13" s="335">
        <v>229600.33999999997</v>
      </c>
      <c r="N13" s="335"/>
      <c r="O13" s="335">
        <v>130241.04000000002</v>
      </c>
      <c r="P13" s="335">
        <v>4161682.3799999994</v>
      </c>
      <c r="Q13" s="335">
        <v>453090.60000000003</v>
      </c>
      <c r="R13" s="335">
        <v>1259208.9099999999</v>
      </c>
      <c r="S13" s="335">
        <v>173057060.02999997</v>
      </c>
      <c r="T13" s="335">
        <v>129762338.73000002</v>
      </c>
    </row>
    <row r="14" spans="1:20" x14ac:dyDescent="0.2">
      <c r="A14" s="334">
        <v>7110</v>
      </c>
      <c r="B14" s="335">
        <v>63469770.059999995</v>
      </c>
      <c r="C14" s="335">
        <v>101921137.84999999</v>
      </c>
      <c r="D14" s="335"/>
      <c r="E14" s="335"/>
      <c r="F14" s="335"/>
      <c r="G14" s="335">
        <v>2274319.2400000002</v>
      </c>
      <c r="H14" s="335">
        <v>649946.1100000001</v>
      </c>
      <c r="I14" s="335">
        <v>604228.63</v>
      </c>
      <c r="J14" s="335"/>
      <c r="K14" s="335">
        <v>11883004.460000003</v>
      </c>
      <c r="L14" s="335">
        <v>2691.75</v>
      </c>
      <c r="M14" s="335">
        <v>935002.49999999988</v>
      </c>
      <c r="N14" s="335"/>
      <c r="O14" s="335">
        <v>56892.950000000004</v>
      </c>
      <c r="P14" s="335">
        <v>1126145.1199999999</v>
      </c>
      <c r="Q14" s="335">
        <v>1813.34</v>
      </c>
      <c r="R14" s="335">
        <v>9336.84</v>
      </c>
      <c r="S14" s="335">
        <v>182934288.85000002</v>
      </c>
      <c r="T14" s="335">
        <v>147866200.64999998</v>
      </c>
    </row>
    <row r="15" spans="1:20" x14ac:dyDescent="0.2">
      <c r="A15" s="334">
        <v>7120</v>
      </c>
      <c r="B15" s="335">
        <v>16638940.440000001</v>
      </c>
      <c r="C15" s="335">
        <v>25285966.109999999</v>
      </c>
      <c r="D15" s="335"/>
      <c r="E15" s="335"/>
      <c r="F15" s="335"/>
      <c r="G15" s="335">
        <v>827547.64999999991</v>
      </c>
      <c r="H15" s="335">
        <v>68043.3</v>
      </c>
      <c r="I15" s="335">
        <v>228622.25</v>
      </c>
      <c r="J15" s="335"/>
      <c r="K15" s="335">
        <v>158538.31</v>
      </c>
      <c r="L15" s="335"/>
      <c r="M15" s="335">
        <v>130354.70999999999</v>
      </c>
      <c r="N15" s="335"/>
      <c r="O15" s="335"/>
      <c r="P15" s="335">
        <v>241678.10999999996</v>
      </c>
      <c r="Q15" s="335">
        <v>4228.8599999999997</v>
      </c>
      <c r="R15" s="335"/>
      <c r="S15" s="335">
        <v>43583919.739999995</v>
      </c>
      <c r="T15" s="335">
        <v>40265893.359999999</v>
      </c>
    </row>
    <row r="16" spans="1:20" x14ac:dyDescent="0.2">
      <c r="A16" s="334">
        <v>7130</v>
      </c>
      <c r="B16" s="335">
        <v>73769463.849999994</v>
      </c>
      <c r="C16" s="335">
        <v>76235782.590000004</v>
      </c>
      <c r="D16" s="335">
        <v>2934.2999999999993</v>
      </c>
      <c r="E16" s="335">
        <v>-288.58000000000004</v>
      </c>
      <c r="F16" s="335">
        <v>45.810000000000016</v>
      </c>
      <c r="G16" s="335">
        <v>1018761.7000000001</v>
      </c>
      <c r="H16" s="335">
        <v>171959.24</v>
      </c>
      <c r="I16" s="335">
        <v>274821.71000000002</v>
      </c>
      <c r="J16" s="335"/>
      <c r="K16" s="335">
        <v>304470.85000000003</v>
      </c>
      <c r="L16" s="335">
        <v>282.28999999999996</v>
      </c>
      <c r="M16" s="335">
        <v>155395.84000000003</v>
      </c>
      <c r="N16" s="335"/>
      <c r="O16" s="335">
        <v>1620</v>
      </c>
      <c r="P16" s="335">
        <v>289685.12</v>
      </c>
      <c r="Q16" s="335">
        <v>542.94000000000005</v>
      </c>
      <c r="R16" s="335"/>
      <c r="S16" s="335">
        <v>152225477.66</v>
      </c>
      <c r="T16" s="335">
        <v>147785106.84</v>
      </c>
    </row>
    <row r="17" spans="1:20" x14ac:dyDescent="0.2">
      <c r="A17" s="334">
        <v>7140</v>
      </c>
      <c r="B17" s="335">
        <v>58977875.639999993</v>
      </c>
      <c r="C17" s="335">
        <v>44158907.980000004</v>
      </c>
      <c r="D17" s="335"/>
      <c r="E17" s="335"/>
      <c r="F17" s="335"/>
      <c r="G17" s="335">
        <v>4711320.2799999993</v>
      </c>
      <c r="H17" s="335">
        <v>112387.67</v>
      </c>
      <c r="I17" s="335">
        <v>1360259.19</v>
      </c>
      <c r="J17" s="335">
        <v>50620.2</v>
      </c>
      <c r="K17" s="335">
        <v>3510254.4499999993</v>
      </c>
      <c r="L17" s="335">
        <v>4070.1200000000003</v>
      </c>
      <c r="M17" s="335">
        <v>328138.48</v>
      </c>
      <c r="N17" s="335"/>
      <c r="O17" s="335">
        <v>40353.67</v>
      </c>
      <c r="P17" s="335">
        <v>1922682.7600000002</v>
      </c>
      <c r="Q17" s="335">
        <v>38891.140000000007</v>
      </c>
      <c r="R17" s="335">
        <v>8967.5</v>
      </c>
      <c r="S17" s="335">
        <v>115224729.08000003</v>
      </c>
      <c r="T17" s="335">
        <v>91066773.159999982</v>
      </c>
    </row>
    <row r="18" spans="1:20" x14ac:dyDescent="0.2">
      <c r="A18" s="334">
        <v>7160</v>
      </c>
      <c r="B18" s="335">
        <v>3661644.86</v>
      </c>
      <c r="C18" s="335">
        <v>20132724.559999999</v>
      </c>
      <c r="D18" s="335"/>
      <c r="E18" s="335"/>
      <c r="F18" s="335"/>
      <c r="G18" s="335">
        <v>627684.91</v>
      </c>
      <c r="H18" s="335"/>
      <c r="I18" s="335">
        <v>163904.46000000002</v>
      </c>
      <c r="J18" s="335"/>
      <c r="K18" s="335">
        <v>744660.15999999992</v>
      </c>
      <c r="L18" s="335"/>
      <c r="M18" s="335">
        <v>5784.869999999999</v>
      </c>
      <c r="N18" s="335"/>
      <c r="O18" s="335">
        <v>10462.66</v>
      </c>
      <c r="P18" s="335">
        <v>131642.94999999998</v>
      </c>
      <c r="Q18" s="335">
        <v>276.85000000000002</v>
      </c>
      <c r="R18" s="335"/>
      <c r="S18" s="335">
        <v>25478786.280000001</v>
      </c>
      <c r="T18" s="335">
        <v>22109952.559999995</v>
      </c>
    </row>
    <row r="19" spans="1:20" x14ac:dyDescent="0.2">
      <c r="A19" s="334">
        <v>7170</v>
      </c>
      <c r="B19" s="335">
        <v>284044300.67000002</v>
      </c>
      <c r="C19" s="335">
        <v>115633865.75999999</v>
      </c>
      <c r="D19" s="335"/>
      <c r="E19" s="335">
        <v>164004.37</v>
      </c>
      <c r="F19" s="335"/>
      <c r="G19" s="335">
        <v>8326683.4300000006</v>
      </c>
      <c r="H19" s="335"/>
      <c r="I19" s="335">
        <v>2257146.8099999996</v>
      </c>
      <c r="J19" s="335">
        <v>7941</v>
      </c>
      <c r="K19" s="335">
        <v>15813970.800000001</v>
      </c>
      <c r="L19" s="335">
        <v>5885.880000000001</v>
      </c>
      <c r="M19" s="335">
        <v>536852.87</v>
      </c>
      <c r="N19" s="335"/>
      <c r="O19" s="335">
        <v>2291440.0700000003</v>
      </c>
      <c r="P19" s="335">
        <v>607592.69000000018</v>
      </c>
      <c r="Q19" s="335">
        <v>170885.93</v>
      </c>
      <c r="R19" s="335">
        <v>4907776.54</v>
      </c>
      <c r="S19" s="335">
        <v>434768346.82000005</v>
      </c>
      <c r="T19" s="335">
        <v>374403539.12</v>
      </c>
    </row>
    <row r="20" spans="1:20" x14ac:dyDescent="0.2">
      <c r="A20" s="334">
        <v>7180</v>
      </c>
      <c r="B20" s="335">
        <v>61090155.020000003</v>
      </c>
      <c r="C20" s="335">
        <v>7612863.6500000004</v>
      </c>
      <c r="D20" s="335"/>
      <c r="E20" s="335"/>
      <c r="F20" s="335"/>
      <c r="G20" s="335">
        <v>2617000.36</v>
      </c>
      <c r="H20" s="335">
        <v>110442.75</v>
      </c>
      <c r="I20" s="335">
        <v>741759.07000000007</v>
      </c>
      <c r="J20" s="335">
        <v>4271.25</v>
      </c>
      <c r="K20" s="335">
        <v>759066.53</v>
      </c>
      <c r="L20" s="335">
        <v>782.13</v>
      </c>
      <c r="M20" s="335">
        <v>224731.24000000002</v>
      </c>
      <c r="N20" s="335"/>
      <c r="O20" s="335">
        <v>16755.43</v>
      </c>
      <c r="P20" s="335">
        <v>65464.169999999991</v>
      </c>
      <c r="Q20" s="335">
        <v>29830.949999999997</v>
      </c>
      <c r="R20" s="335"/>
      <c r="S20" s="335">
        <v>73273122.549999997</v>
      </c>
      <c r="T20" s="335">
        <v>64132914.789999992</v>
      </c>
    </row>
    <row r="21" spans="1:20" x14ac:dyDescent="0.2">
      <c r="A21" s="334">
        <v>7190</v>
      </c>
      <c r="B21" s="335">
        <v>9478967.4100000001</v>
      </c>
      <c r="C21" s="335">
        <v>558610.55000000005</v>
      </c>
      <c r="D21" s="335"/>
      <c r="E21" s="335"/>
      <c r="F21" s="335"/>
      <c r="G21" s="335">
        <v>143297.57999999999</v>
      </c>
      <c r="H21" s="335"/>
      <c r="I21" s="335">
        <v>32601.230000000003</v>
      </c>
      <c r="J21" s="335"/>
      <c r="K21" s="335">
        <v>53393.829999999994</v>
      </c>
      <c r="L21" s="335"/>
      <c r="M21" s="335">
        <v>21773.77</v>
      </c>
      <c r="N21" s="335"/>
      <c r="O21" s="335">
        <v>4028.8199999999997</v>
      </c>
      <c r="P21" s="335">
        <v>2736251.7899999996</v>
      </c>
      <c r="Q21" s="335">
        <v>3144.5399999999995</v>
      </c>
      <c r="R21" s="335">
        <v>558378.37</v>
      </c>
      <c r="S21" s="335">
        <v>13590447.889999999</v>
      </c>
      <c r="T21" s="335">
        <v>7601464.7700000014</v>
      </c>
    </row>
    <row r="22" spans="1:20" x14ac:dyDescent="0.2">
      <c r="A22" s="334">
        <v>7200</v>
      </c>
      <c r="B22" s="335">
        <v>9476589.2399999984</v>
      </c>
      <c r="C22" s="335">
        <v>15899091.610000005</v>
      </c>
      <c r="D22" s="335"/>
      <c r="E22" s="335"/>
      <c r="F22" s="335"/>
      <c r="G22" s="335">
        <v>3860240.5700000003</v>
      </c>
      <c r="H22" s="335"/>
      <c r="I22" s="335">
        <v>1060999.45</v>
      </c>
      <c r="J22" s="335"/>
      <c r="K22" s="335">
        <v>40821.839999999989</v>
      </c>
      <c r="L22" s="335">
        <v>1367.29</v>
      </c>
      <c r="M22" s="335">
        <v>18358.780000000006</v>
      </c>
      <c r="N22" s="335"/>
      <c r="O22" s="335">
        <v>8962.51</v>
      </c>
      <c r="P22" s="335">
        <v>931665.96000000008</v>
      </c>
      <c r="Q22" s="335">
        <v>180857.05000000002</v>
      </c>
      <c r="R22" s="335">
        <v>-2161.87</v>
      </c>
      <c r="S22" s="335">
        <v>31476792.430000003</v>
      </c>
      <c r="T22" s="335">
        <v>19270245.529999997</v>
      </c>
    </row>
    <row r="23" spans="1:20" x14ac:dyDescent="0.2">
      <c r="A23" s="334">
        <v>7230</v>
      </c>
      <c r="B23" s="335">
        <v>57629252.359999999</v>
      </c>
      <c r="C23" s="335">
        <v>114966426.55</v>
      </c>
      <c r="D23" s="335"/>
      <c r="E23" s="335"/>
      <c r="F23" s="335"/>
      <c r="G23" s="335">
        <v>7021935.1499999985</v>
      </c>
      <c r="H23" s="335">
        <v>227740.56</v>
      </c>
      <c r="I23" s="335">
        <v>2105439.9700000002</v>
      </c>
      <c r="J23" s="335">
        <v>6693295.8200000003</v>
      </c>
      <c r="K23" s="335">
        <v>1590146.6700000002</v>
      </c>
      <c r="L23" s="335">
        <v>3000.5</v>
      </c>
      <c r="M23" s="335">
        <v>767611.5299999998</v>
      </c>
      <c r="N23" s="335"/>
      <c r="O23" s="335">
        <v>92444.03</v>
      </c>
      <c r="P23" s="335">
        <v>3881112.2559136292</v>
      </c>
      <c r="Q23" s="335">
        <v>27611.200000000001</v>
      </c>
      <c r="R23" s="335">
        <v>-4080427.98</v>
      </c>
      <c r="S23" s="335">
        <v>190925588.6159136</v>
      </c>
      <c r="T23" s="335">
        <v>146104913.24408641</v>
      </c>
    </row>
    <row r="24" spans="1:20" x14ac:dyDescent="0.2">
      <c r="A24" s="334">
        <v>7260</v>
      </c>
      <c r="B24" s="335">
        <v>84966.29</v>
      </c>
      <c r="C24" s="335">
        <v>243416609.19999999</v>
      </c>
      <c r="D24" s="335">
        <v>115954760.84999999</v>
      </c>
      <c r="E24" s="335">
        <v>1854032.1500000004</v>
      </c>
      <c r="F24" s="335">
        <v>-2034008.1400000001</v>
      </c>
      <c r="G24" s="335">
        <v>100040236.13000001</v>
      </c>
      <c r="H24" s="335">
        <v>729056.69000000006</v>
      </c>
      <c r="I24" s="335">
        <v>18328787.379999999</v>
      </c>
      <c r="J24" s="335">
        <v>1858047.4300000002</v>
      </c>
      <c r="K24" s="335">
        <v>6643318.3399999999</v>
      </c>
      <c r="L24" s="335">
        <v>428083.38</v>
      </c>
      <c r="M24" s="335">
        <v>4512050.3299999991</v>
      </c>
      <c r="N24" s="335">
        <v>-31293.17</v>
      </c>
      <c r="O24" s="335">
        <v>5077399.8199999994</v>
      </c>
      <c r="P24" s="335">
        <v>12954085.560000002</v>
      </c>
      <c r="Q24" s="335">
        <v>8762685.5399999991</v>
      </c>
      <c r="R24" s="335">
        <v>8087502.6600000001</v>
      </c>
      <c r="S24" s="335">
        <v>526666320.43999994</v>
      </c>
      <c r="T24" s="335">
        <v>-27556180.420000028</v>
      </c>
    </row>
    <row r="25" spans="1:20" x14ac:dyDescent="0.2">
      <c r="A25" s="334">
        <v>7310</v>
      </c>
      <c r="B25" s="335">
        <v>8215351.5199999996</v>
      </c>
      <c r="C25" s="335">
        <v>4198949.21</v>
      </c>
      <c r="D25" s="335"/>
      <c r="E25" s="335"/>
      <c r="F25" s="335"/>
      <c r="G25" s="335">
        <v>1546514.4700000002</v>
      </c>
      <c r="H25" s="335"/>
      <c r="I25" s="335">
        <v>419256.10000000003</v>
      </c>
      <c r="J25" s="335"/>
      <c r="K25" s="335">
        <v>2649.5699999999997</v>
      </c>
      <c r="L25" s="335">
        <v>611.88</v>
      </c>
      <c r="M25" s="335">
        <v>4411.2300000000005</v>
      </c>
      <c r="N25" s="335"/>
      <c r="O25" s="335">
        <v>2538.5699999999997</v>
      </c>
      <c r="P25" s="335">
        <v>6773.7</v>
      </c>
      <c r="Q25" s="335"/>
      <c r="R25" s="335">
        <v>640</v>
      </c>
      <c r="S25" s="335">
        <v>14397696.250000002</v>
      </c>
      <c r="T25" s="335">
        <v>10432185.209999999</v>
      </c>
    </row>
    <row r="26" spans="1:20" x14ac:dyDescent="0.2">
      <c r="A26" s="334">
        <v>7320</v>
      </c>
      <c r="B26" s="335">
        <v>2590914.66</v>
      </c>
      <c r="C26" s="335">
        <v>660789.37000000011</v>
      </c>
      <c r="D26" s="335"/>
      <c r="E26" s="335"/>
      <c r="F26" s="335"/>
      <c r="G26" s="335">
        <v>469457.38</v>
      </c>
      <c r="H26" s="335"/>
      <c r="I26" s="335">
        <v>132769.43</v>
      </c>
      <c r="J26" s="335"/>
      <c r="K26" s="335">
        <v>313.99</v>
      </c>
      <c r="L26" s="335">
        <v>821.7399999999999</v>
      </c>
      <c r="M26" s="335"/>
      <c r="N26" s="335"/>
      <c r="O26" s="335">
        <v>5071.22</v>
      </c>
      <c r="P26" s="335">
        <v>1474.38</v>
      </c>
      <c r="Q26" s="335"/>
      <c r="R26" s="335">
        <v>300</v>
      </c>
      <c r="S26" s="335">
        <v>3861912.1700000009</v>
      </c>
      <c r="T26" s="335">
        <v>2642095.8899999997</v>
      </c>
    </row>
    <row r="27" spans="1:20" x14ac:dyDescent="0.2">
      <c r="A27" s="334">
        <v>7380</v>
      </c>
      <c r="B27" s="335"/>
      <c r="C27" s="335">
        <v>153419.63999999998</v>
      </c>
      <c r="D27" s="335"/>
      <c r="E27" s="335"/>
      <c r="F27" s="335"/>
      <c r="G27" s="335"/>
      <c r="H27" s="335">
        <v>185506.66</v>
      </c>
      <c r="I27" s="335"/>
      <c r="J27" s="335"/>
      <c r="K27" s="335">
        <v>17469.59</v>
      </c>
      <c r="L27" s="335">
        <v>33743.730000000003</v>
      </c>
      <c r="M27" s="335"/>
      <c r="N27" s="335"/>
      <c r="O27" s="335">
        <v>20069.28</v>
      </c>
      <c r="P27" s="335">
        <v>21143.67</v>
      </c>
      <c r="Q27" s="335">
        <v>110881.12999999999</v>
      </c>
      <c r="R27" s="335">
        <v>1450335.36</v>
      </c>
      <c r="S27" s="335">
        <v>1992569.06</v>
      </c>
      <c r="T27" s="335">
        <v>1214940.9400000002</v>
      </c>
    </row>
    <row r="28" spans="1:20" x14ac:dyDescent="0.2">
      <c r="A28" s="334">
        <v>7400</v>
      </c>
      <c r="B28" s="335"/>
      <c r="C28" s="335">
        <v>66533631.49000001</v>
      </c>
      <c r="D28" s="335">
        <v>10379203.489999998</v>
      </c>
      <c r="E28" s="335">
        <v>408588.44000000006</v>
      </c>
      <c r="F28" s="335">
        <v>-32215.879999999997</v>
      </c>
      <c r="G28" s="335">
        <v>30178315.570000004</v>
      </c>
      <c r="H28" s="335">
        <v>6411.8099999999977</v>
      </c>
      <c r="I28" s="335">
        <v>8595796.5199999996</v>
      </c>
      <c r="J28" s="335"/>
      <c r="K28" s="335">
        <v>1363941.8499999996</v>
      </c>
      <c r="L28" s="335">
        <v>386851.9</v>
      </c>
      <c r="M28" s="335">
        <v>247140.59999999998</v>
      </c>
      <c r="N28" s="335">
        <v>-3404.2000000000003</v>
      </c>
      <c r="O28" s="335">
        <v>1671017.6299999994</v>
      </c>
      <c r="P28" s="335">
        <v>10271906.222899998</v>
      </c>
      <c r="Q28" s="335">
        <v>1609179.1800000002</v>
      </c>
      <c r="R28" s="335">
        <v>337838.11000000004</v>
      </c>
      <c r="S28" s="335">
        <v>131954202.73290001</v>
      </c>
      <c r="T28" s="335">
        <v>1724304.7071000154</v>
      </c>
    </row>
    <row r="29" spans="1:20" x14ac:dyDescent="0.2">
      <c r="A29" s="334">
        <v>7490</v>
      </c>
      <c r="B29" s="335">
        <v>986755.41999999993</v>
      </c>
      <c r="C29" s="335">
        <v>1195525.23</v>
      </c>
      <c r="D29" s="335">
        <v>5646.3999999999978</v>
      </c>
      <c r="E29" s="335">
        <v>11150.990000000002</v>
      </c>
      <c r="F29" s="335">
        <v>558.17000000000007</v>
      </c>
      <c r="G29" s="335">
        <v>3163828.28</v>
      </c>
      <c r="H29" s="335">
        <v>217899.57</v>
      </c>
      <c r="I29" s="335">
        <v>971685.42999999993</v>
      </c>
      <c r="J29" s="335"/>
      <c r="K29" s="335">
        <v>990345.39</v>
      </c>
      <c r="L29" s="335">
        <v>9531.52</v>
      </c>
      <c r="M29" s="335">
        <v>29189.64</v>
      </c>
      <c r="N29" s="335"/>
      <c r="O29" s="335">
        <v>1402254.5299999998</v>
      </c>
      <c r="P29" s="335">
        <v>465926.23999999993</v>
      </c>
      <c r="Q29" s="335">
        <v>269485.75</v>
      </c>
      <c r="R29" s="335">
        <v>2538230.7400000002</v>
      </c>
      <c r="S29" s="335">
        <v>12258013.299999999</v>
      </c>
      <c r="T29" s="335">
        <v>-2815874.1799999997</v>
      </c>
    </row>
    <row r="30" spans="1:20" x14ac:dyDescent="0.2">
      <c r="A30" s="343">
        <v>8330</v>
      </c>
      <c r="B30" s="335"/>
      <c r="C30" s="335">
        <v>3980.01</v>
      </c>
      <c r="D30" s="335"/>
      <c r="E30" s="335"/>
      <c r="F30" s="335"/>
      <c r="G30" s="335">
        <v>4812524.7299999995</v>
      </c>
      <c r="H30" s="335"/>
      <c r="I30" s="335">
        <v>2214511.2000000002</v>
      </c>
      <c r="J30" s="335"/>
      <c r="K30" s="335">
        <v>3404607.6100000003</v>
      </c>
      <c r="L30" s="335">
        <v>679.11</v>
      </c>
      <c r="M30" s="335">
        <v>334409.59000000003</v>
      </c>
      <c r="N30" s="335"/>
      <c r="O30" s="335">
        <v>112538.02</v>
      </c>
      <c r="P30" s="335">
        <v>2175074.79</v>
      </c>
      <c r="Q30" s="335">
        <v>117127.12</v>
      </c>
      <c r="R30" s="335">
        <v>3279693.01</v>
      </c>
      <c r="S30" s="335">
        <v>16455145.189999998</v>
      </c>
      <c r="T30" s="335">
        <v>-9887799.1499999985</v>
      </c>
    </row>
    <row r="31" spans="1:20" x14ac:dyDescent="0.2">
      <c r="A31" s="334">
        <v>8350</v>
      </c>
      <c r="B31" s="335"/>
      <c r="C31" s="335"/>
      <c r="D31" s="335"/>
      <c r="E31" s="335"/>
      <c r="F31" s="335"/>
      <c r="G31" s="335">
        <v>194427.71</v>
      </c>
      <c r="H31" s="335"/>
      <c r="I31" s="335">
        <v>97070.090000000011</v>
      </c>
      <c r="J31" s="335"/>
      <c r="K31" s="335">
        <v>3843.21</v>
      </c>
      <c r="L31" s="335"/>
      <c r="M31" s="335"/>
      <c r="N31" s="335"/>
      <c r="O31" s="335"/>
      <c r="P31" s="335">
        <v>8347.07</v>
      </c>
      <c r="Q31" s="335"/>
      <c r="R31" s="335"/>
      <c r="S31" s="335">
        <v>303688.08</v>
      </c>
      <c r="T31" s="335">
        <v>-303688.08</v>
      </c>
    </row>
    <row r="32" spans="1:20" x14ac:dyDescent="0.2">
      <c r="A32" s="334">
        <v>8370</v>
      </c>
      <c r="B32" s="335"/>
      <c r="C32" s="335"/>
      <c r="D32" s="335"/>
      <c r="E32" s="335"/>
      <c r="F32" s="335"/>
      <c r="G32" s="335">
        <v>515286.16999999993</v>
      </c>
      <c r="H32" s="335"/>
      <c r="I32" s="335">
        <v>228317.06000000003</v>
      </c>
      <c r="J32" s="335"/>
      <c r="K32" s="335">
        <v>426.88</v>
      </c>
      <c r="L32" s="335">
        <v>97.77</v>
      </c>
      <c r="M32" s="335"/>
      <c r="N32" s="335"/>
      <c r="O32" s="335">
        <v>763.43000000000006</v>
      </c>
      <c r="P32" s="335"/>
      <c r="Q32" s="335">
        <v>1800.6100000000001</v>
      </c>
      <c r="R32" s="335">
        <v>2601</v>
      </c>
      <c r="S32" s="335">
        <v>749292.92</v>
      </c>
      <c r="T32" s="335">
        <v>-744090.92</v>
      </c>
    </row>
    <row r="33" spans="1:20" x14ac:dyDescent="0.2">
      <c r="A33" s="334">
        <v>8420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>
        <v>131995.37999999998</v>
      </c>
      <c r="L33" s="335"/>
      <c r="M33" s="335">
        <v>32942.69</v>
      </c>
      <c r="N33" s="335"/>
      <c r="O33" s="335"/>
      <c r="P33" s="335"/>
      <c r="Q33" s="335">
        <v>2146493.66</v>
      </c>
      <c r="R33" s="335"/>
      <c r="S33" s="335">
        <v>2311431.73</v>
      </c>
      <c r="T33" s="335">
        <v>-2311431.73</v>
      </c>
    </row>
    <row r="34" spans="1:20" x14ac:dyDescent="0.2">
      <c r="A34" s="334">
        <v>8430</v>
      </c>
      <c r="B34" s="335"/>
      <c r="C34" s="335"/>
      <c r="D34" s="335"/>
      <c r="E34" s="335"/>
      <c r="F34" s="335"/>
      <c r="G34" s="335">
        <v>1292258.44</v>
      </c>
      <c r="H34" s="335">
        <v>2516.9699999999998</v>
      </c>
      <c r="I34" s="335">
        <v>431718.32999999996</v>
      </c>
      <c r="J34" s="335"/>
      <c r="K34" s="335">
        <v>-68003.160000000018</v>
      </c>
      <c r="L34" s="335">
        <v>3534900.1799999997</v>
      </c>
      <c r="M34" s="335">
        <v>1601567.0300000003</v>
      </c>
      <c r="N34" s="335"/>
      <c r="O34" s="335">
        <v>284255.77</v>
      </c>
      <c r="P34" s="335">
        <v>10816132.02</v>
      </c>
      <c r="Q34" s="335">
        <v>2337026.7200000011</v>
      </c>
      <c r="R34" s="335">
        <v>26.21</v>
      </c>
      <c r="S34" s="335">
        <v>20232398.510000002</v>
      </c>
      <c r="T34" s="335">
        <v>-20232346.09</v>
      </c>
    </row>
    <row r="35" spans="1:20" x14ac:dyDescent="0.2">
      <c r="A35" s="334">
        <v>8460</v>
      </c>
      <c r="B35" s="335"/>
      <c r="C35" s="335"/>
      <c r="D35" s="335"/>
      <c r="E35" s="335"/>
      <c r="F35" s="335"/>
      <c r="G35" s="335">
        <v>4136028.9699999997</v>
      </c>
      <c r="H35" s="335">
        <v>192326.75</v>
      </c>
      <c r="I35" s="335">
        <v>1930826.4400000002</v>
      </c>
      <c r="J35" s="335"/>
      <c r="K35" s="335">
        <v>596106.69999999995</v>
      </c>
      <c r="L35" s="335">
        <v>809.5</v>
      </c>
      <c r="M35" s="335">
        <v>27852.62</v>
      </c>
      <c r="N35" s="335"/>
      <c r="O35" s="335">
        <v>7252.67</v>
      </c>
      <c r="P35" s="335">
        <v>473476.14999999991</v>
      </c>
      <c r="Q35" s="335">
        <v>3707.05</v>
      </c>
      <c r="R35" s="335"/>
      <c r="S35" s="335">
        <v>7368386.8500000006</v>
      </c>
      <c r="T35" s="335">
        <v>-7368386.8500000006</v>
      </c>
    </row>
    <row r="36" spans="1:20" x14ac:dyDescent="0.2">
      <c r="A36" s="334">
        <v>8490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>
        <v>187545.69000000003</v>
      </c>
      <c r="L36" s="335"/>
      <c r="M36" s="335">
        <v>71.649999999999991</v>
      </c>
      <c r="N36" s="335"/>
      <c r="O36" s="335">
        <v>11124.66</v>
      </c>
      <c r="P36" s="335">
        <v>655.69</v>
      </c>
      <c r="Q36" s="335"/>
      <c r="R36" s="335">
        <v>378654.76</v>
      </c>
      <c r="S36" s="335">
        <v>578052.45000000007</v>
      </c>
      <c r="T36" s="335">
        <v>179257.06999999998</v>
      </c>
    </row>
    <row r="37" spans="1:20" x14ac:dyDescent="0.2">
      <c r="A37" s="334">
        <v>8530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>
        <v>7365007.1295641745</v>
      </c>
      <c r="Q37" s="335"/>
      <c r="R37" s="335"/>
      <c r="S37" s="335">
        <v>7365007.1295641745</v>
      </c>
      <c r="T37" s="335">
        <v>-7365007.1295641745</v>
      </c>
    </row>
    <row r="38" spans="1:20" x14ac:dyDescent="0.2">
      <c r="A38" s="334">
        <v>8560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>
        <v>45698.289999999994</v>
      </c>
      <c r="L38" s="335">
        <v>446.03999999999996</v>
      </c>
      <c r="M38" s="335">
        <v>241.48000000000002</v>
      </c>
      <c r="N38" s="335"/>
      <c r="O38" s="335">
        <v>3810.3399999999997</v>
      </c>
      <c r="P38" s="335">
        <v>19792142.698511623</v>
      </c>
      <c r="Q38" s="335">
        <v>15787.18</v>
      </c>
      <c r="R38" s="335"/>
      <c r="S38" s="335">
        <v>19858126.028511621</v>
      </c>
      <c r="T38" s="335">
        <v>-19858126.028511621</v>
      </c>
    </row>
    <row r="39" spans="1:20" x14ac:dyDescent="0.2">
      <c r="A39" s="334">
        <v>8610</v>
      </c>
      <c r="B39" s="335"/>
      <c r="C39" s="335"/>
      <c r="D39" s="335"/>
      <c r="E39" s="335"/>
      <c r="F39" s="335"/>
      <c r="G39" s="335">
        <v>1354129.21</v>
      </c>
      <c r="H39" s="335">
        <v>44658.799999999996</v>
      </c>
      <c r="I39" s="335">
        <v>260648.89</v>
      </c>
      <c r="J39" s="335"/>
      <c r="K39" s="335">
        <v>62132.040000000008</v>
      </c>
      <c r="L39" s="335">
        <v>6052.52</v>
      </c>
      <c r="M39" s="335">
        <v>114496.95000000001</v>
      </c>
      <c r="N39" s="335"/>
      <c r="O39" s="335">
        <v>487125.25999999995</v>
      </c>
      <c r="P39" s="335">
        <v>1600942.9530191498</v>
      </c>
      <c r="Q39" s="335">
        <v>61323.94</v>
      </c>
      <c r="R39" s="335">
        <v>13400</v>
      </c>
      <c r="S39" s="335">
        <v>4004910.5630191495</v>
      </c>
      <c r="T39" s="335">
        <v>-3978110.5630191495</v>
      </c>
    </row>
    <row r="40" spans="1:20" x14ac:dyDescent="0.2">
      <c r="A40" s="334">
        <v>8650</v>
      </c>
      <c r="B40" s="335"/>
      <c r="C40" s="335"/>
      <c r="D40" s="335"/>
      <c r="E40" s="335"/>
      <c r="F40" s="335"/>
      <c r="G40" s="335"/>
      <c r="H40" s="335"/>
      <c r="I40" s="335">
        <v>2016.7400000032831</v>
      </c>
      <c r="J40" s="335"/>
      <c r="K40" s="335"/>
      <c r="L40" s="335"/>
      <c r="M40" s="335"/>
      <c r="N40" s="335"/>
      <c r="O40" s="335">
        <v>1013416.5099999999</v>
      </c>
      <c r="P40" s="335"/>
      <c r="Q40" s="335"/>
      <c r="R40" s="335"/>
      <c r="S40" s="335">
        <v>1015433.2500000031</v>
      </c>
      <c r="T40" s="335">
        <v>-1015433.2500000031</v>
      </c>
    </row>
    <row r="41" spans="1:20" x14ac:dyDescent="0.2">
      <c r="A41" s="334">
        <v>8670</v>
      </c>
      <c r="B41" s="335"/>
      <c r="C41" s="335"/>
      <c r="D41" s="335"/>
      <c r="E41" s="335"/>
      <c r="F41" s="335"/>
      <c r="G41" s="335">
        <v>151445.33000000002</v>
      </c>
      <c r="H41" s="335"/>
      <c r="I41" s="335">
        <v>59941.8</v>
      </c>
      <c r="J41" s="335"/>
      <c r="K41" s="335">
        <v>120.71</v>
      </c>
      <c r="L41" s="335"/>
      <c r="M41" s="335"/>
      <c r="N41" s="335"/>
      <c r="O41" s="335">
        <v>3566.7</v>
      </c>
      <c r="P41" s="335"/>
      <c r="Q41" s="335"/>
      <c r="R41" s="335">
        <v>11425</v>
      </c>
      <c r="S41" s="335">
        <v>226499.54</v>
      </c>
      <c r="T41" s="335">
        <v>-203649.54</v>
      </c>
    </row>
    <row r="42" spans="1:20" x14ac:dyDescent="0.2">
      <c r="A42" s="334">
        <v>8690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>
        <v>3114854.0479523898</v>
      </c>
      <c r="Q42" s="335"/>
      <c r="R42" s="335"/>
      <c r="S42" s="335">
        <v>3114854.0479523898</v>
      </c>
      <c r="T42" s="335">
        <v>-3114854.0479523898</v>
      </c>
    </row>
    <row r="43" spans="1:20" x14ac:dyDescent="0.2">
      <c r="A43" s="334">
        <v>8700</v>
      </c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>
        <v>344529.09580771497</v>
      </c>
      <c r="Q43" s="335"/>
      <c r="R43" s="335"/>
      <c r="S43" s="335">
        <v>344529.09580771497</v>
      </c>
      <c r="T43" s="335">
        <v>-344529.09580771497</v>
      </c>
    </row>
    <row r="44" spans="1:20" x14ac:dyDescent="0.2">
      <c r="A44" s="334">
        <v>8710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>
        <v>-463944.14201183501</v>
      </c>
      <c r="Q44" s="335"/>
      <c r="R44" s="335"/>
      <c r="S44" s="335">
        <v>-463944.14201183501</v>
      </c>
      <c r="T44" s="335">
        <v>463944.14201183501</v>
      </c>
    </row>
    <row r="45" spans="1:20" x14ac:dyDescent="0.2">
      <c r="A45" s="334">
        <v>8720</v>
      </c>
      <c r="B45" s="335"/>
      <c r="C45" s="335"/>
      <c r="D45" s="335"/>
      <c r="E45" s="335"/>
      <c r="F45" s="335"/>
      <c r="G45" s="335">
        <v>4955560.18</v>
      </c>
      <c r="H45" s="335"/>
      <c r="I45" s="335">
        <v>1480130.68</v>
      </c>
      <c r="J45" s="335"/>
      <c r="K45" s="335">
        <v>5635.17</v>
      </c>
      <c r="L45" s="335">
        <v>2244.5500000000002</v>
      </c>
      <c r="M45" s="335">
        <v>3523.09</v>
      </c>
      <c r="N45" s="335"/>
      <c r="O45" s="335">
        <v>3592.66</v>
      </c>
      <c r="P45" s="335">
        <v>909986.39833</v>
      </c>
      <c r="Q45" s="335">
        <v>5953.8</v>
      </c>
      <c r="R45" s="335"/>
      <c r="S45" s="335">
        <v>7366626.5283299992</v>
      </c>
      <c r="T45" s="335">
        <v>-7366626.5283299992</v>
      </c>
    </row>
    <row r="46" spans="1:20" x14ac:dyDescent="0.2">
      <c r="A46" s="334">
        <v>8730</v>
      </c>
      <c r="B46" s="335"/>
      <c r="C46" s="335"/>
      <c r="D46" s="335"/>
      <c r="E46" s="335"/>
      <c r="F46" s="335"/>
      <c r="G46" s="335">
        <v>887312.97</v>
      </c>
      <c r="H46" s="335"/>
      <c r="I46" s="335">
        <v>282928.74</v>
      </c>
      <c r="J46" s="335"/>
      <c r="K46" s="335"/>
      <c r="L46" s="335"/>
      <c r="M46" s="335"/>
      <c r="N46" s="335"/>
      <c r="O46" s="335">
        <v>625</v>
      </c>
      <c r="P46" s="335"/>
      <c r="Q46" s="335"/>
      <c r="R46" s="335"/>
      <c r="S46" s="335">
        <v>1170866.71</v>
      </c>
      <c r="T46" s="335">
        <v>-1170866.71</v>
      </c>
    </row>
    <row r="47" spans="1:20" x14ac:dyDescent="0.2">
      <c r="A47" s="334">
        <v>8740</v>
      </c>
      <c r="B47" s="335"/>
      <c r="C47" s="335"/>
      <c r="D47" s="335"/>
      <c r="E47" s="335"/>
      <c r="F47" s="335"/>
      <c r="G47" s="335">
        <v>654677.07000000007</v>
      </c>
      <c r="H47" s="335"/>
      <c r="I47" s="335">
        <v>171909.79000000004</v>
      </c>
      <c r="J47" s="335"/>
      <c r="K47" s="335"/>
      <c r="L47" s="335"/>
      <c r="M47" s="335"/>
      <c r="N47" s="335"/>
      <c r="O47" s="335"/>
      <c r="P47" s="335"/>
      <c r="Q47" s="335"/>
      <c r="R47" s="335"/>
      <c r="S47" s="335">
        <v>826586.8600000001</v>
      </c>
      <c r="T47" s="335">
        <v>-826586.8600000001</v>
      </c>
    </row>
    <row r="48" spans="1:20" x14ac:dyDescent="0.2">
      <c r="A48" s="334">
        <v>8790</v>
      </c>
      <c r="B48" s="335"/>
      <c r="C48" s="335"/>
      <c r="D48" s="335"/>
      <c r="E48" s="335"/>
      <c r="F48" s="335"/>
      <c r="G48" s="335">
        <v>217565.45</v>
      </c>
      <c r="H48" s="335"/>
      <c r="I48" s="335">
        <v>77065.200000000012</v>
      </c>
      <c r="J48" s="335">
        <v>240461.99</v>
      </c>
      <c r="K48" s="335">
        <v>-757717.4600000002</v>
      </c>
      <c r="L48" s="335"/>
      <c r="M48" s="335">
        <v>1450931.81</v>
      </c>
      <c r="N48" s="335"/>
      <c r="O48" s="335">
        <v>102189.28</v>
      </c>
      <c r="P48" s="335">
        <v>49600257.697601102</v>
      </c>
      <c r="Q48" s="335">
        <v>-1251845.2100000002</v>
      </c>
      <c r="R48" s="335">
        <v>67000</v>
      </c>
      <c r="S48" s="335">
        <v>49745908.757601105</v>
      </c>
      <c r="T48" s="335">
        <v>-49611908.757601105</v>
      </c>
    </row>
    <row r="49" spans="1:20" x14ac:dyDescent="0.2">
      <c r="A49" s="334">
        <v>8900</v>
      </c>
      <c r="B49" s="335"/>
      <c r="C49" s="335"/>
      <c r="D49" s="335">
        <v>2330508433.0699997</v>
      </c>
      <c r="E49" s="335">
        <v>63017996.839999996</v>
      </c>
      <c r="F49" s="335">
        <v>16607981.350000001</v>
      </c>
      <c r="G49" s="335">
        <v>3295971.03</v>
      </c>
      <c r="H49" s="335"/>
      <c r="I49" s="335"/>
      <c r="J49" s="335">
        <v>8779621.5399999991</v>
      </c>
      <c r="K49" s="335">
        <v>-28450.100000000035</v>
      </c>
      <c r="L49" s="335"/>
      <c r="M49" s="335">
        <v>12092148.040000001</v>
      </c>
      <c r="N49" s="335">
        <v>-1053138.4099999997</v>
      </c>
      <c r="O49" s="335">
        <v>30640892.640000001</v>
      </c>
      <c r="P49" s="335">
        <v>42781295.350000001</v>
      </c>
      <c r="Q49" s="335">
        <v>1630389.76</v>
      </c>
      <c r="R49" s="335">
        <v>15261479.630000001</v>
      </c>
      <c r="S49" s="335">
        <v>2523534620.7400002</v>
      </c>
      <c r="T49" s="335">
        <v>-2459795698.7800002</v>
      </c>
    </row>
    <row r="50" spans="1:20" x14ac:dyDescent="0.2"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</row>
    <row r="51" spans="1:20" x14ac:dyDescent="0.2">
      <c r="A51" s="340"/>
      <c r="B51" s="341">
        <v>1895188306.6299996</v>
      </c>
      <c r="C51" s="341">
        <v>1361613496.9999998</v>
      </c>
      <c r="D51" s="341">
        <v>2456873272.3799996</v>
      </c>
      <c r="E51" s="341">
        <v>65461395.819999993</v>
      </c>
      <c r="F51" s="341">
        <v>14546739.530000001</v>
      </c>
      <c r="G51" s="341">
        <v>302208298.72000003</v>
      </c>
      <c r="H51" s="341">
        <v>10625902.810000004</v>
      </c>
      <c r="I51" s="341">
        <v>78092502.580000028</v>
      </c>
      <c r="J51" s="341">
        <v>29499968.819999997</v>
      </c>
      <c r="K51" s="341">
        <v>108763560.14000003</v>
      </c>
      <c r="L51" s="341">
        <v>4511629.8899999987</v>
      </c>
      <c r="M51" s="341">
        <v>33117872.43</v>
      </c>
      <c r="N51" s="341">
        <v>-1087835.7799999998</v>
      </c>
      <c r="O51" s="341">
        <v>45130530.859999999</v>
      </c>
      <c r="P51" s="341">
        <v>188108218.07512945</v>
      </c>
      <c r="Q51" s="341">
        <v>17879177.980000004</v>
      </c>
      <c r="R51" s="341">
        <v>34254566.289999999</v>
      </c>
      <c r="S51" s="341">
        <v>6644787604.1751289</v>
      </c>
      <c r="T51" s="341">
        <v>-33581385.275129981</v>
      </c>
    </row>
    <row r="52" spans="1:20" x14ac:dyDescent="0.2"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</row>
    <row r="53" spans="1:20" x14ac:dyDescent="0.2"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</row>
    <row r="54" spans="1:20" x14ac:dyDescent="0.2"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</row>
    <row r="55" spans="1:20" x14ac:dyDescent="0.2"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</row>
    <row r="56" spans="1:20" x14ac:dyDescent="0.2"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</row>
    <row r="57" spans="1:20" x14ac:dyDescent="0.2"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</row>
    <row r="58" spans="1:20" x14ac:dyDescent="0.2">
      <c r="T58" s="335"/>
    </row>
    <row r="59" spans="1:20" x14ac:dyDescent="0.2">
      <c r="B59" s="334" t="s">
        <v>1283</v>
      </c>
      <c r="C59" s="334" t="s">
        <v>1284</v>
      </c>
      <c r="D59" s="334" t="s">
        <v>1285</v>
      </c>
      <c r="E59" s="334" t="s">
        <v>1286</v>
      </c>
      <c r="F59" s="334" t="s">
        <v>1287</v>
      </c>
      <c r="G59" s="334" t="s">
        <v>473</v>
      </c>
      <c r="H59" s="334" t="s">
        <v>1288</v>
      </c>
      <c r="I59" s="334" t="s">
        <v>1289</v>
      </c>
      <c r="J59" s="334" t="s">
        <v>1290</v>
      </c>
      <c r="K59" s="334" t="s">
        <v>1291</v>
      </c>
      <c r="L59" s="334" t="s">
        <v>1292</v>
      </c>
      <c r="M59" s="334" t="s">
        <v>1293</v>
      </c>
      <c r="N59" s="334" t="s">
        <v>1294</v>
      </c>
      <c r="O59" s="334" t="s">
        <v>241</v>
      </c>
      <c r="P59" s="336" t="s">
        <v>1295</v>
      </c>
      <c r="Q59" s="334" t="s">
        <v>1296</v>
      </c>
      <c r="R59" s="334" t="s">
        <v>106</v>
      </c>
      <c r="T59" s="335"/>
    </row>
    <row r="60" spans="1:20" x14ac:dyDescent="0.2">
      <c r="B60" s="335">
        <v>1895188306.6299999</v>
      </c>
      <c r="C60" s="335">
        <v>1361613497.0000002</v>
      </c>
      <c r="D60" s="335">
        <v>2456873272.3800001</v>
      </c>
      <c r="E60" s="335">
        <v>65461395.819999993</v>
      </c>
      <c r="F60" s="335">
        <v>34254566.289999999</v>
      </c>
      <c r="G60" s="335">
        <v>302208298.72000003</v>
      </c>
      <c r="H60" s="335">
        <v>302208298.72000027</v>
      </c>
      <c r="I60" s="335">
        <v>10625902.810000004</v>
      </c>
      <c r="J60" s="335">
        <v>78092502.579999983</v>
      </c>
      <c r="K60" s="335">
        <v>29499968.819999997</v>
      </c>
      <c r="L60" s="335">
        <v>108763560.13999975</v>
      </c>
      <c r="M60" s="335">
        <v>4511629.8900000006</v>
      </c>
      <c r="N60" s="335">
        <v>33117872.429999996</v>
      </c>
      <c r="O60" s="335">
        <v>-1087835.7799999996</v>
      </c>
      <c r="P60" s="337">
        <v>188108218.07512954</v>
      </c>
      <c r="Q60" s="335">
        <v>17879177.980000004</v>
      </c>
      <c r="R60" s="335">
        <v>45130530.859999985</v>
      </c>
      <c r="T60" s="335">
        <v>-260075361.80512956</v>
      </c>
    </row>
    <row r="61" spans="1:20" x14ac:dyDescent="0.2">
      <c r="B61" s="335">
        <v>0</v>
      </c>
      <c r="C61" s="335">
        <v>0</v>
      </c>
      <c r="D61" s="335">
        <v>0</v>
      </c>
      <c r="E61" s="335">
        <v>0</v>
      </c>
      <c r="F61" s="335">
        <v>-19707826.759999998</v>
      </c>
      <c r="G61" s="335">
        <v>0</v>
      </c>
      <c r="H61" s="335">
        <v>-291582395.91000026</v>
      </c>
      <c r="I61" s="335">
        <v>67466599.770000026</v>
      </c>
      <c r="J61" s="335">
        <v>-48592533.75999999</v>
      </c>
      <c r="K61" s="335">
        <v>79263591.320000038</v>
      </c>
      <c r="L61" s="335">
        <v>-104251930.24999975</v>
      </c>
      <c r="M61" s="335">
        <v>28606242.539999999</v>
      </c>
      <c r="N61" s="335">
        <v>-34205708.209999993</v>
      </c>
      <c r="O61" s="335">
        <v>46218366.640000001</v>
      </c>
      <c r="P61" s="335">
        <v>0</v>
      </c>
      <c r="Q61" s="335">
        <v>0</v>
      </c>
      <c r="R61" s="335">
        <v>-10875964.569999985</v>
      </c>
      <c r="S61" s="335">
        <v>6644787604.1751289</v>
      </c>
      <c r="T61" s="335">
        <v>226493976.52999958</v>
      </c>
    </row>
    <row r="62" spans="1:20" x14ac:dyDescent="0.2">
      <c r="B62" s="338"/>
      <c r="C62" s="339"/>
      <c r="P62" s="335">
        <v>0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St.Joseph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H-032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1717 South J Street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1717 South J Street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Tacoma, WA 98401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H-32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St.Joseph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Uli Chi, PhD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253-426-4101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253-426-4101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18347</v>
      </c>
      <c r="G23" s="21">
        <f>data!D111</f>
        <v>98273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3510</v>
      </c>
      <c r="G26" s="13">
        <f>data!D114</f>
        <v>5196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48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214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23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351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374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35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St.Joseph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7859</v>
      </c>
      <c r="C7" s="48">
        <f>data!B139</f>
        <v>51735</v>
      </c>
      <c r="D7" s="48">
        <f>data!B140</f>
        <v>0</v>
      </c>
      <c r="E7" s="48">
        <f>data!B141</f>
        <v>957059045.5</v>
      </c>
      <c r="F7" s="48">
        <f>data!B142</f>
        <v>558580824.14999998</v>
      </c>
      <c r="G7" s="48">
        <f>data!B141+data!B142</f>
        <v>1515639869.6500001</v>
      </c>
    </row>
    <row r="8" spans="1:13" ht="20.100000000000001" customHeight="1" x14ac:dyDescent="0.2">
      <c r="A8" s="23" t="s">
        <v>297</v>
      </c>
      <c r="B8" s="48">
        <f>data!C138</f>
        <v>4275</v>
      </c>
      <c r="C8" s="48">
        <f>data!C139</f>
        <v>24082</v>
      </c>
      <c r="D8" s="48">
        <f>data!C140</f>
        <v>0</v>
      </c>
      <c r="E8" s="48">
        <f>data!C141</f>
        <v>380415012.08999997</v>
      </c>
      <c r="F8" s="48">
        <f>data!C142</f>
        <v>254900419.60000002</v>
      </c>
      <c r="G8" s="48">
        <f>data!C141+data!C142</f>
        <v>635315431.69000006</v>
      </c>
    </row>
    <row r="9" spans="1:13" ht="20.100000000000001" customHeight="1" x14ac:dyDescent="0.2">
      <c r="A9" s="23" t="s">
        <v>1058</v>
      </c>
      <c r="B9" s="48">
        <f>data!D138</f>
        <v>6213</v>
      </c>
      <c r="C9" s="48">
        <f>data!D139</f>
        <v>22456</v>
      </c>
      <c r="D9" s="48">
        <f>data!D140</f>
        <v>0</v>
      </c>
      <c r="E9" s="48">
        <f>data!D141</f>
        <v>557714249.03999996</v>
      </c>
      <c r="F9" s="48">
        <f>data!D142</f>
        <v>548132253.24999988</v>
      </c>
      <c r="G9" s="48">
        <f>data!D141+data!D142</f>
        <v>1105846502.29</v>
      </c>
    </row>
    <row r="10" spans="1:13" ht="20.100000000000001" customHeight="1" x14ac:dyDescent="0.2">
      <c r="A10" s="111" t="s">
        <v>203</v>
      </c>
      <c r="B10" s="48">
        <f>data!E138</f>
        <v>18347</v>
      </c>
      <c r="C10" s="48">
        <f>data!E139</f>
        <v>98273</v>
      </c>
      <c r="D10" s="48">
        <f>data!E140</f>
        <v>0</v>
      </c>
      <c r="E10" s="48">
        <f>data!E141</f>
        <v>1895188306.6299999</v>
      </c>
      <c r="F10" s="48">
        <f>data!E142</f>
        <v>1361613497</v>
      </c>
      <c r="G10" s="48">
        <f>data!E141+data!E142</f>
        <v>3256801803.6300001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St.Joseph Medical Center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19752195.449999999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2188064.44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3243446.1599999997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35708495.560000002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576457.53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13940555.35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2683288.08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78092502.569999993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12667597.07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5211580.9099999992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17879177.98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6219464.3099999996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191470.86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6410935.1699999999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458531.68999999994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29277008.789999999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29735540.48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87668.11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87668.11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St.Joseph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7877314.96</v>
      </c>
      <c r="D7" s="21">
        <f>data!C195</f>
        <v>0</v>
      </c>
      <c r="E7" s="21">
        <f>data!D195</f>
        <v>0</v>
      </c>
      <c r="F7" s="21">
        <f>data!E195</f>
        <v>7877314.96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4412190.25</v>
      </c>
      <c r="D8" s="21">
        <f>data!C196</f>
        <v>0</v>
      </c>
      <c r="E8" s="21">
        <f>data!D196</f>
        <v>0</v>
      </c>
      <c r="F8" s="21">
        <f>data!E196</f>
        <v>4412190.25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182905648.08000001</v>
      </c>
      <c r="D9" s="21">
        <f>data!C197</f>
        <v>3994960.0801025881</v>
      </c>
      <c r="E9" s="21">
        <f>data!D197</f>
        <v>0</v>
      </c>
      <c r="F9" s="21">
        <f>data!E197</f>
        <v>186900608.16010261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82484703.579999998</v>
      </c>
      <c r="D11" s="21">
        <f>data!C199</f>
        <v>145240.41</v>
      </c>
      <c r="E11" s="21">
        <f>data!D199</f>
        <v>0</v>
      </c>
      <c r="F11" s="21">
        <f>data!E199</f>
        <v>82629943.989999995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289061757.67000002</v>
      </c>
      <c r="D12" s="21">
        <f>data!C200</f>
        <v>5492329.8399999999</v>
      </c>
      <c r="E12" s="21">
        <f>data!D200</f>
        <v>-2468677.5200000005</v>
      </c>
      <c r="F12" s="21">
        <f>data!E200</f>
        <v>297022765.02999997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50485420.579999998</v>
      </c>
      <c r="D14" s="21">
        <f>data!C202</f>
        <v>4030151.24</v>
      </c>
      <c r="E14" s="21">
        <f>data!D202</f>
        <v>925280.96</v>
      </c>
      <c r="F14" s="21">
        <f>data!E202</f>
        <v>53590290.859999999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6879788.9799999995</v>
      </c>
      <c r="D15" s="21">
        <f>data!C203</f>
        <v>4153800.3499999996</v>
      </c>
      <c r="E15" s="21">
        <f>data!D203</f>
        <v>0</v>
      </c>
      <c r="F15" s="21">
        <f>data!E203</f>
        <v>11033589.329999998</v>
      </c>
      <c r="M15" s="267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624106824.10000002</v>
      </c>
      <c r="D16" s="21">
        <f>data!C204</f>
        <v>17816481.920102589</v>
      </c>
      <c r="E16" s="21">
        <f>data!D204</f>
        <v>-1543396.5600000005</v>
      </c>
      <c r="F16" s="21">
        <f>data!E204</f>
        <v>643466702.58010268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3506388</v>
      </c>
      <c r="D24" s="21">
        <f>data!C209</f>
        <v>143722.04999999999</v>
      </c>
      <c r="E24" s="21">
        <f>data!D209</f>
        <v>0</v>
      </c>
      <c r="F24" s="21">
        <f>data!E209</f>
        <v>3650110.05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93263388.829999998</v>
      </c>
      <c r="D25" s="21">
        <f>data!C210</f>
        <v>6604442.3400000008</v>
      </c>
      <c r="E25" s="21">
        <f>data!D210</f>
        <v>-10828.55</v>
      </c>
      <c r="F25" s="21">
        <f>data!E210</f>
        <v>99878659.719999999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65077396.299999997</v>
      </c>
      <c r="D27" s="21">
        <f>data!C212</f>
        <v>1934885.71</v>
      </c>
      <c r="E27" s="21">
        <f>data!D212</f>
        <v>-32944.36</v>
      </c>
      <c r="F27" s="21">
        <f>data!E212</f>
        <v>67045226.369999997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224079656.38</v>
      </c>
      <c r="D28" s="21">
        <f>data!C213</f>
        <v>20292755.329999998</v>
      </c>
      <c r="E28" s="21">
        <f>data!D213</f>
        <v>3682862.1699999995</v>
      </c>
      <c r="F28" s="21">
        <f>data!E213</f>
        <v>240689549.53999999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21715740.859999999</v>
      </c>
      <c r="D30" s="21">
        <f>data!C215</f>
        <v>4142066.57</v>
      </c>
      <c r="E30" s="21">
        <f>data!D215</f>
        <v>-406163.58999999997</v>
      </c>
      <c r="F30" s="21">
        <f>data!E215</f>
        <v>26263971.02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407642570.37</v>
      </c>
      <c r="D32" s="21">
        <f>data!C217</f>
        <v>33117872</v>
      </c>
      <c r="E32" s="21">
        <f>data!D217</f>
        <v>3232925.6699999995</v>
      </c>
      <c r="F32" s="21">
        <f>data!E217</f>
        <v>437527516.69999993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St.Joseph Medical Center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-14546739.529999999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1237074914.4799998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551660258.6500001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110755647.53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509529987.64000028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24626588.260000002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2433647396.5600004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18138</v>
      </c>
      <c r="M16" s="267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26224729.02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39236666.799999997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65461395.819999993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3">
        <v>20</v>
      </c>
      <c r="B24" s="55">
        <v>5970</v>
      </c>
      <c r="C24" s="14" t="s">
        <v>357</v>
      </c>
      <c r="D24" s="14">
        <f>data!C238</f>
        <v>23225875.820000004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2507787928.6700006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St.Joseph Medical Center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138358032.7101922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466756593.0302428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358472834.37949997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42453121.167764612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17434088.546528045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1558283.0055777184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7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308087284.08080542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7877314.96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4412190.25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186900608.16010261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82629943.989999995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297022765.02999997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53590290.859999999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11033589.329999998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643466702.58010268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437527516.69999993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205939185.88010275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19458559.039999999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56352836.75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75811395.789999992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4345844.33946242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312148.37760945695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4657992.7170718769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594495858.46798003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St.Joseph Medical Center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9734980.8475426603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36255427.904639177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111178787.93052243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61457469.460000001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1820372.21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220447038.35270429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57061894.30566965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57061894.30566965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982494.88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3916108.34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1306929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6205532.2199999997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1820372.21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4385160.01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312601765.5422501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312601765.5422501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594495858.21062398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St.Joseph Medical Center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1895188306.6299999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1361613497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3256801803.6300001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2" t="s">
        <v>450</v>
      </c>
      <c r="C115" s="48">
        <f>data!C363</f>
        <v>-14546739.529999999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2433647396.5600004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65461395.819999993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23225875.820000004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2507787928.6700006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749013874.95999956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34254566.289999999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34254566.289999999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783268441.24999952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312834201.53000003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78092502.579999998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29499968.82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108763560.14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4511629.8899999997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188108217.96000004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33117872.43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17879177.98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6410935.1699999999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29735540.48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87668.11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8896387.1000000238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817937662.19000006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-34669220.940000534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1087835.78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-33581385.160000533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-33581385.160000533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St.Joseph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19380</v>
      </c>
      <c r="D9" s="14">
        <f>data!D59</f>
        <v>0</v>
      </c>
      <c r="E9" s="14">
        <f>data!E59</f>
        <v>78893.429999999993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183.34559386973183</v>
      </c>
      <c r="D10" s="26">
        <f>data!D60</f>
        <v>0</v>
      </c>
      <c r="E10" s="26">
        <f>data!E60</f>
        <v>571.15566570881219</v>
      </c>
      <c r="F10" s="26">
        <f>data!F60</f>
        <v>0</v>
      </c>
      <c r="G10" s="26">
        <f>data!G60</f>
        <v>0</v>
      </c>
      <c r="H10" s="26">
        <f>data!H60</f>
        <v>-2.7346743295019156E-3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18266659.819999997</v>
      </c>
      <c r="D11" s="14">
        <f>data!D61</f>
        <v>0</v>
      </c>
      <c r="E11" s="14">
        <f>data!E61</f>
        <v>46786374.739999995</v>
      </c>
      <c r="F11" s="14">
        <f>data!F61</f>
        <v>0</v>
      </c>
      <c r="G11" s="14">
        <f>data!G61</f>
        <v>0</v>
      </c>
      <c r="H11" s="14">
        <f>data!H61</f>
        <v>194.23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4792558</v>
      </c>
      <c r="D12" s="14">
        <f>data!D62</f>
        <v>0</v>
      </c>
      <c r="E12" s="14">
        <f>data!E62</f>
        <v>13998376</v>
      </c>
      <c r="F12" s="14">
        <f>data!F62</f>
        <v>0</v>
      </c>
      <c r="G12" s="14">
        <f>data!G62</f>
        <v>0</v>
      </c>
      <c r="H12" s="14">
        <f>data!H62</f>
        <v>15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4524322.7700000005</v>
      </c>
      <c r="D13" s="14">
        <f>data!D63</f>
        <v>0</v>
      </c>
      <c r="E13" s="14">
        <f>data!E63</f>
        <v>38750</v>
      </c>
      <c r="F13" s="14">
        <f>data!F63</f>
        <v>0</v>
      </c>
      <c r="G13" s="14">
        <f>data!G63</f>
        <v>0</v>
      </c>
      <c r="H13" s="14">
        <f>data!H63</f>
        <v>-7.2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2744290.66</v>
      </c>
      <c r="D14" s="14">
        <f>data!D64</f>
        <v>0</v>
      </c>
      <c r="E14" s="14">
        <f>data!E64</f>
        <v>3790408.7499999995</v>
      </c>
      <c r="F14" s="14">
        <f>data!F64</f>
        <v>0</v>
      </c>
      <c r="G14" s="14">
        <f>data!G64</f>
        <v>0</v>
      </c>
      <c r="H14" s="14">
        <f>data!H64</f>
        <v>1744.8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4284.0200000000004</v>
      </c>
      <c r="D15" s="14">
        <f>data!D65</f>
        <v>0</v>
      </c>
      <c r="E15" s="14">
        <f>data!E65</f>
        <v>6741.4299999999994</v>
      </c>
      <c r="F15" s="14">
        <f>data!F65</f>
        <v>0</v>
      </c>
      <c r="G15" s="14">
        <f>data!G65</f>
        <v>0</v>
      </c>
      <c r="H15" s="14">
        <f>data!H65</f>
        <v>4.2300000000000004</v>
      </c>
      <c r="I15" s="14">
        <f>data!I65</f>
        <v>0</v>
      </c>
      <c r="M15" s="266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337581.18999999994</v>
      </c>
      <c r="D16" s="14">
        <f>data!D66</f>
        <v>0</v>
      </c>
      <c r="E16" s="14">
        <f>data!E66</f>
        <v>2540625.1099999994</v>
      </c>
      <c r="F16" s="14">
        <f>data!F66</f>
        <v>0</v>
      </c>
      <c r="G16" s="14">
        <f>data!G66</f>
        <v>0</v>
      </c>
      <c r="H16" s="14">
        <f>data!H66</f>
        <v>200.84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1422742</v>
      </c>
      <c r="D17" s="14">
        <f>data!D67</f>
        <v>0</v>
      </c>
      <c r="E17" s="14">
        <f>data!E67</f>
        <v>2851829</v>
      </c>
      <c r="F17" s="14">
        <f>data!F67</f>
        <v>0</v>
      </c>
      <c r="G17" s="14">
        <f>data!G67</f>
        <v>0</v>
      </c>
      <c r="H17" s="14">
        <f>data!H67</f>
        <v>184390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29499.56</v>
      </c>
      <c r="D18" s="14">
        <f>data!D68</f>
        <v>0</v>
      </c>
      <c r="E18" s="14">
        <f>data!E68</f>
        <v>62111.73</v>
      </c>
      <c r="F18" s="14">
        <f>data!F68</f>
        <v>0</v>
      </c>
      <c r="G18" s="14">
        <f>data!G68</f>
        <v>0</v>
      </c>
      <c r="H18" s="14">
        <f>data!H68</f>
        <v>896.99000000000024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168452.53999999998</v>
      </c>
      <c r="D19" s="14">
        <f>data!D69</f>
        <v>0</v>
      </c>
      <c r="E19" s="14">
        <f>data!E69</f>
        <v>159072.32000000001</v>
      </c>
      <c r="F19" s="14">
        <f>data!F69</f>
        <v>0</v>
      </c>
      <c r="G19" s="14">
        <f>data!G69</f>
        <v>0</v>
      </c>
      <c r="H19" s="14">
        <f>data!H69</f>
        <v>50.46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-37500</v>
      </c>
      <c r="D20" s="14">
        <f>-data!D70</f>
        <v>0</v>
      </c>
      <c r="E20" s="14">
        <f>-data!E70</f>
        <v>-45500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32252890.559999995</v>
      </c>
      <c r="D21" s="14">
        <f>data!D71</f>
        <v>0</v>
      </c>
      <c r="E21" s="14">
        <f>data!E71</f>
        <v>70188789.079999998</v>
      </c>
      <c r="F21" s="14">
        <f>data!F71</f>
        <v>0</v>
      </c>
      <c r="G21" s="14">
        <f>data!G71</f>
        <v>0</v>
      </c>
      <c r="H21" s="14">
        <f>data!H71</f>
        <v>187489.34999999998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12124930</v>
      </c>
      <c r="D23" s="48">
        <f>+data!M669</f>
        <v>0</v>
      </c>
      <c r="E23" s="48">
        <f>+data!M670</f>
        <v>35571249</v>
      </c>
      <c r="F23" s="48">
        <f>+data!M671</f>
        <v>0</v>
      </c>
      <c r="G23" s="48">
        <f>+data!M672</f>
        <v>0</v>
      </c>
      <c r="H23" s="48">
        <f>+data!M673</f>
        <v>277065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119685099.56999999</v>
      </c>
      <c r="D24" s="14">
        <f>data!D73</f>
        <v>0</v>
      </c>
      <c r="E24" s="14">
        <f>data!E73</f>
        <v>282298886.99999994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474875.44000000006</v>
      </c>
      <c r="D25" s="14">
        <f>data!D74</f>
        <v>0</v>
      </c>
      <c r="E25" s="14">
        <f>data!E74</f>
        <v>30547891.829999998</v>
      </c>
      <c r="F25" s="14">
        <f>data!F74</f>
        <v>0</v>
      </c>
      <c r="G25" s="14">
        <f>data!G74</f>
        <v>0</v>
      </c>
      <c r="H25" s="14">
        <f>data!H74</f>
        <v>2500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120159975.00999999</v>
      </c>
      <c r="D26" s="14">
        <f>data!D75</f>
        <v>0</v>
      </c>
      <c r="E26" s="14">
        <f>data!E75</f>
        <v>312846778.82999992</v>
      </c>
      <c r="F26" s="14">
        <f>data!F75</f>
        <v>0</v>
      </c>
      <c r="G26" s="14">
        <f>data!G75</f>
        <v>0</v>
      </c>
      <c r="H26" s="14">
        <f>data!H75</f>
        <v>2500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20827</v>
      </c>
      <c r="D28" s="14">
        <f>data!D76</f>
        <v>0</v>
      </c>
      <c r="E28" s="14">
        <f>data!E76</f>
        <v>104971.58749999999</v>
      </c>
      <c r="F28" s="14">
        <f>data!F76</f>
        <v>0</v>
      </c>
      <c r="G28" s="14">
        <f>data!G76</f>
        <v>0</v>
      </c>
      <c r="H28" s="14">
        <f>data!H76</f>
        <v>2001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71410</v>
      </c>
      <c r="D29" s="14">
        <f>data!D77</f>
        <v>0</v>
      </c>
      <c r="E29" s="14">
        <f>data!E77</f>
        <v>218750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8692.8921721879487</v>
      </c>
      <c r="D30" s="14">
        <f>data!D78</f>
        <v>0</v>
      </c>
      <c r="E30" s="14">
        <f>data!E78</f>
        <v>43813.640528203403</v>
      </c>
      <c r="F30" s="14">
        <f>data!F78</f>
        <v>0</v>
      </c>
      <c r="G30" s="14">
        <f>data!G78</f>
        <v>0</v>
      </c>
      <c r="H30" s="14">
        <f>data!H78</f>
        <v>835.1888047509525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345707.79000000004</v>
      </c>
      <c r="D31" s="14">
        <f>data!D79</f>
        <v>0</v>
      </c>
      <c r="E31" s="14">
        <f>data!E79</f>
        <v>724155.6399999999</v>
      </c>
      <c r="F31" s="14">
        <f>data!F79</f>
        <v>0</v>
      </c>
      <c r="G31" s="14">
        <f>data!G79</f>
        <v>0</v>
      </c>
      <c r="H31" s="14">
        <f>data!H79</f>
        <v>1055.27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127.74430555555557</v>
      </c>
      <c r="D32" s="84">
        <f>data!D80</f>
        <v>0</v>
      </c>
      <c r="E32" s="84">
        <f>data!E80</f>
        <v>325.9204310344827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St.Joseph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5196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19036</v>
      </c>
      <c r="I41" s="14">
        <f>data!P59</f>
        <v>1620184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55.08290229885057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141.39351532567048</v>
      </c>
      <c r="I42" s="26">
        <f>data!P60</f>
        <v>227.30309865900381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5274899.4800000004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13475552.289999999</v>
      </c>
      <c r="I43" s="14">
        <f>data!P61</f>
        <v>24347365.700000003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1475397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3730096</v>
      </c>
      <c r="I44" s="14">
        <f>data!P62</f>
        <v>5804694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937314.63999999978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1668658.8</v>
      </c>
      <c r="I45" s="14">
        <f>data!P63</f>
        <v>4619142.45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966892.63000000012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1450510.05</v>
      </c>
      <c r="I46" s="14">
        <f>data!P64</f>
        <v>45165029.420000024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1659.4799999999998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4044.28</v>
      </c>
      <c r="I47" s="14">
        <f>data!P65</f>
        <v>9661.57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490970.17000000004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756292.9700000002</v>
      </c>
      <c r="I48" s="14">
        <f>data!P66</f>
        <v>4395251.0100000007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209263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762813</v>
      </c>
      <c r="I49" s="14">
        <f>data!P67</f>
        <v>7212076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481.42999999999989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188003.09999999998</v>
      </c>
      <c r="I50" s="14">
        <f>data!P68</f>
        <v>716535.25999999989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71641.679999999993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71987.079999999987</v>
      </c>
      <c r="I51" s="14">
        <f>data!P69</f>
        <v>1031400.67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-27350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-36189.800000000003</v>
      </c>
      <c r="I52" s="14">
        <f>-data!P70</f>
        <v>-17821.7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9401169.5099999998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22071767.77</v>
      </c>
      <c r="I53" s="14">
        <f>data!P71</f>
        <v>93283334.380000025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3265864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9579988</v>
      </c>
      <c r="I55" s="48">
        <f>+data!M681</f>
        <v>41744928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54372390.479999997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139916023.98000005</v>
      </c>
      <c r="I56" s="14">
        <f>data!P73</f>
        <v>508837305.32999986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162.94999999999999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11117689.470000001</v>
      </c>
      <c r="I57" s="14">
        <f>data!P74</f>
        <v>427480466.15999991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54372553.43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151033713.45000005</v>
      </c>
      <c r="I58" s="14">
        <f>data!P75</f>
        <v>936317771.48999977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2522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17618.916666666668</v>
      </c>
      <c r="I60" s="14">
        <f>data!P76</f>
        <v>89564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2249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1052.6467594112455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7353.8840339030321</v>
      </c>
      <c r="I62" s="14">
        <f>data!P78</f>
        <v>37382.733687513399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290596.8</v>
      </c>
      <c r="I63" s="14">
        <f>data!P79</f>
        <v>656624.01000000013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34.008108237547887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85.407466475095788</v>
      </c>
      <c r="I64" s="26">
        <f>data!P80</f>
        <v>92.592643678160925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St.Joseph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637605</v>
      </c>
      <c r="D73" s="48">
        <f>data!R59</f>
        <v>0</v>
      </c>
      <c r="E73" s="212"/>
      <c r="F73" s="212"/>
      <c r="G73" s="14">
        <f>data!U59</f>
        <v>1389157</v>
      </c>
      <c r="H73" s="14">
        <f>data!V59</f>
        <v>0</v>
      </c>
      <c r="I73" s="14">
        <f>data!W59</f>
        <v>7629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18.523170498084294</v>
      </c>
      <c r="D74" s="26">
        <f>data!R60</f>
        <v>0</v>
      </c>
      <c r="E74" s="26">
        <f>data!S60</f>
        <v>40.103093869731808</v>
      </c>
      <c r="F74" s="26">
        <f>data!T60</f>
        <v>13.055340038314176</v>
      </c>
      <c r="G74" s="26">
        <f>data!U60</f>
        <v>87.297701149425279</v>
      </c>
      <c r="H74" s="26">
        <f>data!V60</f>
        <v>22.211637931034485</v>
      </c>
      <c r="I74" s="26">
        <f>data!W60</f>
        <v>8.7453256704980831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1959924.2</v>
      </c>
      <c r="D75" s="14">
        <f>data!R61</f>
        <v>0</v>
      </c>
      <c r="E75" s="14">
        <f>data!S61</f>
        <v>1818333.47</v>
      </c>
      <c r="F75" s="14">
        <f>data!T61</f>
        <v>1611617.87</v>
      </c>
      <c r="G75" s="14">
        <f>data!U61</f>
        <v>7280052.8900000006</v>
      </c>
      <c r="H75" s="14">
        <f>data!V61</f>
        <v>2924265.3500000006</v>
      </c>
      <c r="I75" s="14">
        <f>data!W61</f>
        <v>895590.95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509138</v>
      </c>
      <c r="D76" s="14">
        <f>data!R62</f>
        <v>0</v>
      </c>
      <c r="E76" s="14">
        <f>data!S62</f>
        <v>809252</v>
      </c>
      <c r="F76" s="14">
        <f>data!T62</f>
        <v>386352</v>
      </c>
      <c r="G76" s="14">
        <f>data!U62</f>
        <v>2071463</v>
      </c>
      <c r="H76" s="14">
        <f>data!V62</f>
        <v>604229</v>
      </c>
      <c r="I76" s="14">
        <f>data!W62</f>
        <v>228622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77528.13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140604.29</v>
      </c>
      <c r="D78" s="14">
        <f>data!R64</f>
        <v>0</v>
      </c>
      <c r="E78" s="14">
        <f>data!S64</f>
        <v>-1184727.4200000011</v>
      </c>
      <c r="F78" s="14">
        <f>data!T64</f>
        <v>1045941.0999999999</v>
      </c>
      <c r="G78" s="14">
        <f>data!U64</f>
        <v>7182558.2699999996</v>
      </c>
      <c r="H78" s="14">
        <f>data!V64</f>
        <v>11883004.460000003</v>
      </c>
      <c r="I78" s="14">
        <f>data!W64</f>
        <v>158538.31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480.87</v>
      </c>
      <c r="D79" s="14">
        <f>data!R65</f>
        <v>0</v>
      </c>
      <c r="E79" s="14">
        <f>data!S65</f>
        <v>0</v>
      </c>
      <c r="F79" s="14">
        <f>data!T65</f>
        <v>656.35</v>
      </c>
      <c r="G79" s="14">
        <f>data!U65</f>
        <v>61143.880000000005</v>
      </c>
      <c r="H79" s="14">
        <f>data!V65</f>
        <v>2691.75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26438.699999999997</v>
      </c>
      <c r="D80" s="14">
        <f>data!R66</f>
        <v>0</v>
      </c>
      <c r="E80" s="14">
        <f>data!S66</f>
        <v>187873.32754150004</v>
      </c>
      <c r="F80" s="14">
        <f>data!T66</f>
        <v>1037314.73</v>
      </c>
      <c r="G80" s="14">
        <f>data!U66</f>
        <v>4161682.3799999994</v>
      </c>
      <c r="H80" s="14">
        <f>data!V66</f>
        <v>1126145.1199999999</v>
      </c>
      <c r="I80" s="14">
        <f>data!W66</f>
        <v>241678.10999999996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39686</v>
      </c>
      <c r="D81" s="14">
        <f>data!R67</f>
        <v>0</v>
      </c>
      <c r="E81" s="14">
        <f>data!S67</f>
        <v>248073</v>
      </c>
      <c r="F81" s="14">
        <f>data!T67</f>
        <v>42353</v>
      </c>
      <c r="G81" s="14">
        <f>data!U67</f>
        <v>466522</v>
      </c>
      <c r="H81" s="14">
        <f>data!V67</f>
        <v>982083</v>
      </c>
      <c r="I81" s="14">
        <f>data!W67</f>
        <v>130355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2842.04</v>
      </c>
      <c r="D82" s="14">
        <f>data!R68</f>
        <v>0</v>
      </c>
      <c r="E82" s="14">
        <f>data!S68</f>
        <v>147234.01</v>
      </c>
      <c r="F82" s="14">
        <f>data!T68</f>
        <v>404.2299999999999</v>
      </c>
      <c r="G82" s="14">
        <f>data!U68</f>
        <v>453090.60000000003</v>
      </c>
      <c r="H82" s="14">
        <f>data!V68</f>
        <v>1813.34</v>
      </c>
      <c r="I82" s="14">
        <f>data!W68</f>
        <v>4228.8599999999997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22930.39</v>
      </c>
      <c r="D83" s="14">
        <f>data!R69</f>
        <v>0</v>
      </c>
      <c r="E83" s="14">
        <f>data!S69</f>
        <v>99314.35</v>
      </c>
      <c r="F83" s="14">
        <f>data!T69</f>
        <v>2976.2000000000003</v>
      </c>
      <c r="G83" s="14">
        <f>data!U69</f>
        <v>130241.04000000002</v>
      </c>
      <c r="H83" s="14">
        <f>data!V69</f>
        <v>56892.950000000004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-1259208.9099999999</v>
      </c>
      <c r="H84" s="14">
        <f>-data!V70</f>
        <v>-9336.84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2702044.4900000007</v>
      </c>
      <c r="D85" s="14">
        <f>data!R71</f>
        <v>0</v>
      </c>
      <c r="E85" s="14">
        <f>data!S71</f>
        <v>2125352.7375414986</v>
      </c>
      <c r="F85" s="14">
        <f>data!T71</f>
        <v>4127615.48</v>
      </c>
      <c r="G85" s="14">
        <f>data!U71</f>
        <v>20625073.280000001</v>
      </c>
      <c r="H85" s="14">
        <f>data!V71</f>
        <v>17571788.129999999</v>
      </c>
      <c r="I85" s="14">
        <f>data!W71</f>
        <v>1659013.23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1342122</v>
      </c>
      <c r="D87" s="48">
        <f>+data!M683</f>
        <v>0</v>
      </c>
      <c r="E87" s="48">
        <f>+data!M684</f>
        <v>2668939</v>
      </c>
      <c r="F87" s="48">
        <f>+data!M685</f>
        <v>1129953</v>
      </c>
      <c r="G87" s="48">
        <f>+data!M686</f>
        <v>8061170</v>
      </c>
      <c r="H87" s="48">
        <f>+data!M687</f>
        <v>5889713</v>
      </c>
      <c r="I87" s="48">
        <f>+data!M688</f>
        <v>828778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14481645.849999998</v>
      </c>
      <c r="D88" s="14">
        <f>data!R73</f>
        <v>0</v>
      </c>
      <c r="E88" s="14">
        <f>data!S73</f>
        <v>0</v>
      </c>
      <c r="F88" s="14">
        <f>data!T73</f>
        <v>15096869.370000001</v>
      </c>
      <c r="G88" s="14">
        <f>data!U73</f>
        <v>110385137.61</v>
      </c>
      <c r="H88" s="14">
        <f>data!V73</f>
        <v>63469770.059999995</v>
      </c>
      <c r="I88" s="14">
        <f>data!W73</f>
        <v>16638940.440000001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12600331.810000001</v>
      </c>
      <c r="D89" s="14">
        <f>data!R74</f>
        <v>0</v>
      </c>
      <c r="E89" s="14">
        <f>data!S74</f>
        <v>0</v>
      </c>
      <c r="F89" s="14">
        <f>data!T74</f>
        <v>1055945.1200000001</v>
      </c>
      <c r="G89" s="14">
        <f>data!U74</f>
        <v>39765352.859999999</v>
      </c>
      <c r="H89" s="14">
        <f>data!V74</f>
        <v>101921137.84999999</v>
      </c>
      <c r="I89" s="14">
        <f>data!W74</f>
        <v>25285966.109999999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27081977.659999996</v>
      </c>
      <c r="D90" s="14">
        <f>data!R75</f>
        <v>0</v>
      </c>
      <c r="E90" s="14">
        <f>data!S75</f>
        <v>0</v>
      </c>
      <c r="F90" s="14">
        <f>data!T75</f>
        <v>16152814.490000002</v>
      </c>
      <c r="G90" s="14">
        <f>data!U75</f>
        <v>150150490.47</v>
      </c>
      <c r="H90" s="14">
        <f>data!V75</f>
        <v>165390907.91</v>
      </c>
      <c r="I90" s="14">
        <f>data!W75</f>
        <v>41924906.549999997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2369</v>
      </c>
      <c r="D92" s="14">
        <f>data!R76</f>
        <v>0</v>
      </c>
      <c r="E92" s="14">
        <f>data!S76</f>
        <v>17441</v>
      </c>
      <c r="F92" s="14">
        <f>data!T76</f>
        <v>0</v>
      </c>
      <c r="G92" s="14">
        <f>data!U76</f>
        <v>16657</v>
      </c>
      <c r="H92" s="14">
        <f>data!V76</f>
        <v>3310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22502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988.78674585457588</v>
      </c>
      <c r="D94" s="14">
        <f>data!R78</f>
        <v>0</v>
      </c>
      <c r="E94" s="14">
        <f>data!S78</f>
        <v>7279.6241597508051</v>
      </c>
      <c r="F94" s="14">
        <f>data!T78</f>
        <v>0</v>
      </c>
      <c r="G94" s="14">
        <f>data!U78</f>
        <v>6952.3937634865633</v>
      </c>
      <c r="H94" s="14">
        <f>data!V78</f>
        <v>1381.5466985135695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55426.79</v>
      </c>
      <c r="D95" s="14">
        <f>data!R79</f>
        <v>0</v>
      </c>
      <c r="E95" s="14">
        <f>data!S79</f>
        <v>13732.35</v>
      </c>
      <c r="F95" s="14">
        <f>data!T79</f>
        <v>0</v>
      </c>
      <c r="G95" s="14">
        <f>data!U79</f>
        <v>6961.1100000000006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13.131843869731801</v>
      </c>
      <c r="D96" s="84">
        <f>data!R80</f>
        <v>0</v>
      </c>
      <c r="E96" s="84">
        <f>data!S80</f>
        <v>0</v>
      </c>
      <c r="F96" s="84">
        <f>data!T80</f>
        <v>11.417318007662836</v>
      </c>
      <c r="G96" s="84">
        <f>data!U80</f>
        <v>4.7244204980842914</v>
      </c>
      <c r="H96" s="84">
        <f>data!V80</f>
        <v>6.0359003831417626</v>
      </c>
      <c r="I96" s="84">
        <f>data!W80</f>
        <v>3.5919540229885057E-3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St.Joseph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29436</v>
      </c>
      <c r="D105" s="14">
        <f>data!Y59</f>
        <v>193418</v>
      </c>
      <c r="E105" s="14">
        <f>data!Z59</f>
        <v>0</v>
      </c>
      <c r="F105" s="14">
        <f>data!AA59</f>
        <v>5412</v>
      </c>
      <c r="G105" s="212"/>
      <c r="H105" s="14">
        <f>data!AC59</f>
        <v>63642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10.021522988505748</v>
      </c>
      <c r="D106" s="26">
        <f>data!Y60</f>
        <v>53.103970306513418</v>
      </c>
      <c r="E106" s="26">
        <f>data!Z60</f>
        <v>0</v>
      </c>
      <c r="F106" s="26">
        <f>data!AA60</f>
        <v>5.8303591954022993</v>
      </c>
      <c r="G106" s="26">
        <f>data!AB60</f>
        <v>83.97872126436782</v>
      </c>
      <c r="H106" s="26">
        <f>data!AC60</f>
        <v>28.983505747126436</v>
      </c>
      <c r="I106" s="26">
        <f>data!AD60</f>
        <v>1.0017624521072794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1190720.94</v>
      </c>
      <c r="D107" s="14">
        <f>data!Y61</f>
        <v>4823707.9499999993</v>
      </c>
      <c r="E107" s="14">
        <f>data!Z61</f>
        <v>0</v>
      </c>
      <c r="F107" s="14">
        <f>data!AA61</f>
        <v>627684.91</v>
      </c>
      <c r="G107" s="14">
        <f>data!AB61</f>
        <v>8326683.4300000006</v>
      </c>
      <c r="H107" s="14">
        <f>data!AC61</f>
        <v>2727443.11</v>
      </c>
      <c r="I107" s="14">
        <f>data!AD61</f>
        <v>143297.57999999999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274822</v>
      </c>
      <c r="D108" s="14">
        <f>data!Y62</f>
        <v>1360259</v>
      </c>
      <c r="E108" s="14">
        <f>data!Z62</f>
        <v>0</v>
      </c>
      <c r="F108" s="14">
        <f>data!AA62</f>
        <v>163904</v>
      </c>
      <c r="G108" s="14">
        <f>data!AB62</f>
        <v>2257147</v>
      </c>
      <c r="H108" s="14">
        <f>data!AC62</f>
        <v>741759</v>
      </c>
      <c r="I108" s="14">
        <f>data!AD62</f>
        <v>32601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50620.2</v>
      </c>
      <c r="E109" s="14">
        <f>data!Z63</f>
        <v>0</v>
      </c>
      <c r="F109" s="14">
        <f>data!AA63</f>
        <v>0</v>
      </c>
      <c r="G109" s="14">
        <f>data!AB63</f>
        <v>7941</v>
      </c>
      <c r="H109" s="14">
        <f>data!AC63</f>
        <v>4271.25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304470.85000000003</v>
      </c>
      <c r="D110" s="14">
        <f>data!Y64</f>
        <v>3510254.4499999993</v>
      </c>
      <c r="E110" s="14">
        <f>data!Z64</f>
        <v>0</v>
      </c>
      <c r="F110" s="14">
        <f>data!AA64</f>
        <v>744660.15999999992</v>
      </c>
      <c r="G110" s="14">
        <f>data!AB64</f>
        <v>15813970.800000001</v>
      </c>
      <c r="H110" s="14">
        <f>data!AC64</f>
        <v>759066.53</v>
      </c>
      <c r="I110" s="14">
        <f>data!AD64</f>
        <v>53393.829999999994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282.28999999999996</v>
      </c>
      <c r="D111" s="14">
        <f>data!Y65</f>
        <v>4070.1200000000003</v>
      </c>
      <c r="E111" s="14">
        <f>data!Z65</f>
        <v>0</v>
      </c>
      <c r="F111" s="14">
        <f>data!AA65</f>
        <v>0</v>
      </c>
      <c r="G111" s="14">
        <f>data!AB65</f>
        <v>5885.880000000001</v>
      </c>
      <c r="H111" s="14">
        <f>data!AC65</f>
        <v>782.13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289685.12</v>
      </c>
      <c r="D112" s="14">
        <f>data!Y66</f>
        <v>1922682.7600000002</v>
      </c>
      <c r="E112" s="14">
        <f>data!Z66</f>
        <v>0</v>
      </c>
      <c r="F112" s="14">
        <f>data!AA66</f>
        <v>131642.94999999998</v>
      </c>
      <c r="G112" s="14">
        <f>data!AB66</f>
        <v>607592.69000000018</v>
      </c>
      <c r="H112" s="14">
        <f>data!AC66</f>
        <v>65464.169999999991</v>
      </c>
      <c r="I112" s="14">
        <f>data!AD66</f>
        <v>2736251.7899999996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155396</v>
      </c>
      <c r="D113" s="14">
        <f>data!Y67</f>
        <v>983902</v>
      </c>
      <c r="E113" s="14">
        <f>data!Z67</f>
        <v>0</v>
      </c>
      <c r="F113" s="14">
        <f>data!AA67</f>
        <v>5785</v>
      </c>
      <c r="G113" s="14">
        <f>data!AB67</f>
        <v>773477</v>
      </c>
      <c r="H113" s="14">
        <f>data!AC67</f>
        <v>238684</v>
      </c>
      <c r="I113" s="14">
        <f>data!AD67</f>
        <v>256563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542.94000000000005</v>
      </c>
      <c r="D114" s="14">
        <f>data!Y68</f>
        <v>38891.140000000007</v>
      </c>
      <c r="E114" s="14">
        <f>data!Z68</f>
        <v>0</v>
      </c>
      <c r="F114" s="14">
        <f>data!AA68</f>
        <v>276.85000000000002</v>
      </c>
      <c r="G114" s="14">
        <f>data!AB68</f>
        <v>170885.93</v>
      </c>
      <c r="H114" s="14">
        <f>data!AC68</f>
        <v>29830.949999999997</v>
      </c>
      <c r="I114" s="14">
        <f>data!AD68</f>
        <v>3144.5399999999995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1620</v>
      </c>
      <c r="D115" s="14">
        <f>data!Y69</f>
        <v>40353.67</v>
      </c>
      <c r="E115" s="14">
        <f>data!Z69</f>
        <v>0</v>
      </c>
      <c r="F115" s="14">
        <f>data!AA69</f>
        <v>10462.66</v>
      </c>
      <c r="G115" s="14">
        <f>data!AB69</f>
        <v>2291440.0700000003</v>
      </c>
      <c r="H115" s="14">
        <f>data!AC69</f>
        <v>16755.43</v>
      </c>
      <c r="I115" s="14">
        <f>data!AD69</f>
        <v>4028.8199999999997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-8967.5</v>
      </c>
      <c r="E116" s="14">
        <f>-data!Z70</f>
        <v>0</v>
      </c>
      <c r="F116" s="14">
        <f>-data!AA70</f>
        <v>0</v>
      </c>
      <c r="G116" s="14">
        <f>-data!AB70</f>
        <v>-4907776.54</v>
      </c>
      <c r="H116" s="14">
        <f>-data!AC70</f>
        <v>0</v>
      </c>
      <c r="I116" s="14">
        <f>-data!AD70</f>
        <v>-558378.37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2217540.14</v>
      </c>
      <c r="D117" s="14">
        <f>data!Y71</f>
        <v>12725773.789999997</v>
      </c>
      <c r="E117" s="14">
        <f>data!Z71</f>
        <v>0</v>
      </c>
      <c r="F117" s="14">
        <f>data!AA71</f>
        <v>1684416.5299999998</v>
      </c>
      <c r="G117" s="14">
        <f>data!AB71</f>
        <v>25347247.260000002</v>
      </c>
      <c r="H117" s="14">
        <f>data!AC71</f>
        <v>4584056.5699999994</v>
      </c>
      <c r="I117" s="14">
        <f>data!AD71</f>
        <v>2670902.1899999995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2203811</v>
      </c>
      <c r="D119" s="48">
        <f>+data!M690</f>
        <v>9502156</v>
      </c>
      <c r="E119" s="48">
        <f>+data!M691</f>
        <v>0</v>
      </c>
      <c r="F119" s="48">
        <f>+data!M692</f>
        <v>625265</v>
      </c>
      <c r="G119" s="48">
        <f>+data!M693</f>
        <v>11980786</v>
      </c>
      <c r="H119" s="48">
        <f>+data!M694</f>
        <v>1888154</v>
      </c>
      <c r="I119" s="48">
        <f>+data!M695</f>
        <v>2609519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73769463.849999994</v>
      </c>
      <c r="D120" s="14">
        <f>data!Y73</f>
        <v>58977875.639999993</v>
      </c>
      <c r="E120" s="14">
        <f>data!Z73</f>
        <v>0</v>
      </c>
      <c r="F120" s="14">
        <f>data!AA73</f>
        <v>3661644.86</v>
      </c>
      <c r="G120" s="14">
        <f>data!AB73</f>
        <v>284044300.67000002</v>
      </c>
      <c r="H120" s="14">
        <f>data!AC73</f>
        <v>61090155.020000003</v>
      </c>
      <c r="I120" s="14">
        <f>data!AD73</f>
        <v>9478967.4100000001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76235782.590000004</v>
      </c>
      <c r="D121" s="14">
        <f>data!Y74</f>
        <v>44158907.980000004</v>
      </c>
      <c r="E121" s="14">
        <f>data!Z74</f>
        <v>0</v>
      </c>
      <c r="F121" s="14">
        <f>data!AA74</f>
        <v>20132724.559999999</v>
      </c>
      <c r="G121" s="14">
        <f>data!AB74</f>
        <v>115633865.75999999</v>
      </c>
      <c r="H121" s="14">
        <f>data!AC74</f>
        <v>7612863.6500000004</v>
      </c>
      <c r="I121" s="14">
        <f>data!AD74</f>
        <v>558610.55000000005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150005246.44</v>
      </c>
      <c r="D122" s="14">
        <f>data!Y75</f>
        <v>103136783.62</v>
      </c>
      <c r="E122" s="14">
        <f>data!Z75</f>
        <v>0</v>
      </c>
      <c r="F122" s="14">
        <f>data!AA75</f>
        <v>23794369.419999998</v>
      </c>
      <c r="G122" s="14">
        <f>data!AB75</f>
        <v>399678166.43000001</v>
      </c>
      <c r="H122" s="14">
        <f>data!AC75</f>
        <v>68703018.670000002</v>
      </c>
      <c r="I122" s="14">
        <f>data!AD75</f>
        <v>10037577.960000001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46104</v>
      </c>
      <c r="E124" s="14">
        <f>data!Z76</f>
        <v>0</v>
      </c>
      <c r="F124" s="14">
        <f>data!AA76</f>
        <v>0</v>
      </c>
      <c r="G124" s="14">
        <f>data!AB76</f>
        <v>16636</v>
      </c>
      <c r="H124" s="14">
        <f>data!AC76</f>
        <v>981</v>
      </c>
      <c r="I124" s="14">
        <f>data!AD76</f>
        <v>16507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19243.150751743084</v>
      </c>
      <c r="E126" s="14">
        <f>data!Z78</f>
        <v>0</v>
      </c>
      <c r="F126" s="14">
        <f>data!AA78</f>
        <v>0</v>
      </c>
      <c r="G126" s="14">
        <f>data!AB78</f>
        <v>6943.628663586629</v>
      </c>
      <c r="H126" s="14">
        <f>data!AC78</f>
        <v>409.45538103982227</v>
      </c>
      <c r="I126" s="14">
        <f>data!AD78</f>
        <v>6889.7859070584564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105883.28</v>
      </c>
      <c r="E127" s="14">
        <f>data!Z79</f>
        <v>0</v>
      </c>
      <c r="F127" s="14">
        <f>data!AA79</f>
        <v>11443.61</v>
      </c>
      <c r="G127" s="14">
        <f>data!AB79</f>
        <v>0</v>
      </c>
      <c r="H127" s="14">
        <f>data!AC79</f>
        <v>0</v>
      </c>
      <c r="I127" s="14">
        <f>data!AD79</f>
        <v>18301.559999999998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5.4059099616858246</v>
      </c>
      <c r="E128" s="26">
        <f>data!Z80</f>
        <v>0</v>
      </c>
      <c r="F128" s="26">
        <f>data!AA80</f>
        <v>0</v>
      </c>
      <c r="G128" s="26">
        <f>data!AB80</f>
        <v>2.4217193486590038</v>
      </c>
      <c r="H128" s="26">
        <f>data!AC80</f>
        <v>0</v>
      </c>
      <c r="I128" s="26">
        <f>data!AD80</f>
        <v>1.1973180076628352E-4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St.Joseph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131582</v>
      </c>
      <c r="D137" s="14">
        <f>data!AF59</f>
        <v>0</v>
      </c>
      <c r="E137" s="14">
        <f>data!AG59</f>
        <v>46805.35</v>
      </c>
      <c r="F137" s="14">
        <f>data!AH59</f>
        <v>0</v>
      </c>
      <c r="G137" s="14">
        <f>data!AI59</f>
        <v>0</v>
      </c>
      <c r="H137" s="14">
        <f>data!AJ59</f>
        <v>546930.81000000006</v>
      </c>
      <c r="I137" s="14">
        <f>data!AK59</f>
        <v>58316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39.620517241379311</v>
      </c>
      <c r="D138" s="26">
        <f>data!AF60</f>
        <v>0</v>
      </c>
      <c r="E138" s="26">
        <f>data!AG60</f>
        <v>83.616733716475082</v>
      </c>
      <c r="F138" s="26">
        <f>data!AH60</f>
        <v>0</v>
      </c>
      <c r="G138" s="26">
        <f>data!AI60</f>
        <v>0</v>
      </c>
      <c r="H138" s="26">
        <f>data!AJ60</f>
        <v>835.44699999999989</v>
      </c>
      <c r="I138" s="26">
        <f>data!AK60</f>
        <v>15.497485632183908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3860240.5700000003</v>
      </c>
      <c r="D139" s="14">
        <f>data!AF61</f>
        <v>0</v>
      </c>
      <c r="E139" s="14">
        <f>data!AG61</f>
        <v>7249675.7099999981</v>
      </c>
      <c r="F139" s="14">
        <f>data!AH61</f>
        <v>0</v>
      </c>
      <c r="G139" s="14">
        <f>data!AI61</f>
        <v>0</v>
      </c>
      <c r="H139" s="14">
        <f>data!AJ61</f>
        <v>100769292.82000001</v>
      </c>
      <c r="I139" s="14">
        <f>data!AK61</f>
        <v>1546514.4700000002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1060999</v>
      </c>
      <c r="D140" s="14">
        <f>data!AF62</f>
        <v>0</v>
      </c>
      <c r="E140" s="14">
        <f>data!AG62</f>
        <v>2105440</v>
      </c>
      <c r="F140" s="14">
        <f>data!AH62</f>
        <v>0</v>
      </c>
      <c r="G140" s="14">
        <f>data!AI62</f>
        <v>0</v>
      </c>
      <c r="H140" s="14">
        <f>data!AJ62</f>
        <v>18328787</v>
      </c>
      <c r="I140" s="14">
        <f>data!AK62</f>
        <v>419256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6693295.8200000003</v>
      </c>
      <c r="F141" s="14">
        <f>data!AH63</f>
        <v>0</v>
      </c>
      <c r="G141" s="14">
        <f>data!AI63</f>
        <v>0</v>
      </c>
      <c r="H141" s="14">
        <f>data!AJ63</f>
        <v>1858047.4300000002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40821.839999999989</v>
      </c>
      <c r="D142" s="14">
        <f>data!AF64</f>
        <v>0</v>
      </c>
      <c r="E142" s="14">
        <f>data!AG64</f>
        <v>1590146.6700000002</v>
      </c>
      <c r="F142" s="14">
        <f>data!AH64</f>
        <v>0</v>
      </c>
      <c r="G142" s="14">
        <f>data!AI64</f>
        <v>0</v>
      </c>
      <c r="H142" s="14">
        <f>data!AJ64</f>
        <v>6643318.3399999999</v>
      </c>
      <c r="I142" s="14">
        <f>data!AK64</f>
        <v>2649.5699999999997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1367.29</v>
      </c>
      <c r="D143" s="14">
        <f>data!AF65</f>
        <v>0</v>
      </c>
      <c r="E143" s="14">
        <f>data!AG65</f>
        <v>3000.5</v>
      </c>
      <c r="F143" s="14">
        <f>data!AH65</f>
        <v>0</v>
      </c>
      <c r="G143" s="14">
        <f>data!AI65</f>
        <v>0</v>
      </c>
      <c r="H143" s="14">
        <f>data!AJ65</f>
        <v>428083.38</v>
      </c>
      <c r="I143" s="14">
        <f>data!AK65</f>
        <v>611.88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931665.96000000008</v>
      </c>
      <c r="D144" s="14">
        <f>data!AF66</f>
        <v>0</v>
      </c>
      <c r="E144" s="14">
        <f>data!AG66</f>
        <v>3881112.2559136292</v>
      </c>
      <c r="F144" s="14">
        <f>data!AH66</f>
        <v>0</v>
      </c>
      <c r="G144" s="14">
        <f>data!AI66</f>
        <v>0</v>
      </c>
      <c r="H144" s="14">
        <f>data!AJ66</f>
        <v>12954085.560000002</v>
      </c>
      <c r="I144" s="14">
        <f>data!AK66</f>
        <v>6773.7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180166</v>
      </c>
      <c r="D145" s="14">
        <f>data!AF67</f>
        <v>0</v>
      </c>
      <c r="E145" s="14">
        <f>data!AG67</f>
        <v>1054672</v>
      </c>
      <c r="F145" s="14">
        <f>data!AH67</f>
        <v>0</v>
      </c>
      <c r="G145" s="14">
        <f>data!AI67</f>
        <v>0</v>
      </c>
      <c r="H145" s="14">
        <f>data!AJ67</f>
        <v>4825011</v>
      </c>
      <c r="I145" s="14">
        <f>data!AK67</f>
        <v>87121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180857.05000000002</v>
      </c>
      <c r="D146" s="14">
        <f>data!AF68</f>
        <v>0</v>
      </c>
      <c r="E146" s="14">
        <f>data!AG68</f>
        <v>27611.200000000001</v>
      </c>
      <c r="F146" s="14">
        <f>data!AH68</f>
        <v>0</v>
      </c>
      <c r="G146" s="14">
        <f>data!AI68</f>
        <v>0</v>
      </c>
      <c r="H146" s="14">
        <f>data!AJ68</f>
        <v>8762685.5399999991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8962.51</v>
      </c>
      <c r="D147" s="14">
        <f>data!AF69</f>
        <v>0</v>
      </c>
      <c r="E147" s="14">
        <f>data!AG69</f>
        <v>92444.03</v>
      </c>
      <c r="F147" s="14">
        <f>data!AH69</f>
        <v>0</v>
      </c>
      <c r="G147" s="14">
        <f>data!AI69</f>
        <v>0</v>
      </c>
      <c r="H147" s="14">
        <f>data!AJ69</f>
        <v>5077399.8199999994</v>
      </c>
      <c r="I147" s="14">
        <f>data!AK69</f>
        <v>2538.5699999999997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2161.87</v>
      </c>
      <c r="D148" s="14">
        <f>-data!AF70</f>
        <v>0</v>
      </c>
      <c r="E148" s="14">
        <f>-data!AG70</f>
        <v>4080427.98</v>
      </c>
      <c r="F148" s="14">
        <f>-data!AH70</f>
        <v>0</v>
      </c>
      <c r="G148" s="14">
        <f>-data!AI70</f>
        <v>0</v>
      </c>
      <c r="H148" s="14">
        <f>-data!AJ70</f>
        <v>-8087502.6600000001</v>
      </c>
      <c r="I148" s="14">
        <f>-data!AK70</f>
        <v>-640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6267242.0899999999</v>
      </c>
      <c r="D149" s="14">
        <f>data!AF71</f>
        <v>0</v>
      </c>
      <c r="E149" s="14">
        <f>data!AG71</f>
        <v>26777826.16591363</v>
      </c>
      <c r="F149" s="14">
        <f>data!AH71</f>
        <v>0</v>
      </c>
      <c r="G149" s="14">
        <f>data!AI71</f>
        <v>0</v>
      </c>
      <c r="H149" s="14">
        <f>data!AJ71</f>
        <v>151559208.23000002</v>
      </c>
      <c r="I149" s="14">
        <f>data!AK71</f>
        <v>2064825.1900000002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2975299</v>
      </c>
      <c r="D151" s="48">
        <f>+data!M697</f>
        <v>0</v>
      </c>
      <c r="E151" s="48">
        <f>+data!M698</f>
        <v>10243592</v>
      </c>
      <c r="F151" s="48">
        <f>+data!M699</f>
        <v>0</v>
      </c>
      <c r="G151" s="48">
        <f>+data!M700</f>
        <v>0</v>
      </c>
      <c r="H151" s="48">
        <f>+data!M701</f>
        <v>38060111</v>
      </c>
      <c r="I151" s="48">
        <f>+data!M702</f>
        <v>1299782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9476589.2399999984</v>
      </c>
      <c r="D152" s="14">
        <f>data!AF73</f>
        <v>0</v>
      </c>
      <c r="E152" s="14">
        <f>data!AG73</f>
        <v>57629252.359999999</v>
      </c>
      <c r="F152" s="14">
        <f>data!AH73</f>
        <v>0</v>
      </c>
      <c r="G152" s="14">
        <f>data!AI73</f>
        <v>0</v>
      </c>
      <c r="H152" s="14">
        <f>data!AJ73</f>
        <v>84966.29</v>
      </c>
      <c r="I152" s="14">
        <f>data!AK73</f>
        <v>8215351.5199999996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15899091.610000005</v>
      </c>
      <c r="D153" s="14">
        <f>data!AF74</f>
        <v>0</v>
      </c>
      <c r="E153" s="14">
        <f>data!AG74</f>
        <v>114966426.55</v>
      </c>
      <c r="F153" s="14">
        <f>data!AH74</f>
        <v>0</v>
      </c>
      <c r="G153" s="14">
        <f>data!AI74</f>
        <v>0</v>
      </c>
      <c r="H153" s="14">
        <f>data!AJ74</f>
        <v>243416609.19999999</v>
      </c>
      <c r="I153" s="14">
        <f>data!AK74</f>
        <v>4198949.21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25375680.850000001</v>
      </c>
      <c r="D154" s="14">
        <f>data!AF75</f>
        <v>0</v>
      </c>
      <c r="E154" s="14">
        <f>data!AG75</f>
        <v>172595678.91</v>
      </c>
      <c r="F154" s="14">
        <f>data!AH75</f>
        <v>0</v>
      </c>
      <c r="G154" s="14">
        <f>data!AI75</f>
        <v>0</v>
      </c>
      <c r="H154" s="14">
        <f>data!AJ75</f>
        <v>243501575.48999998</v>
      </c>
      <c r="I154" s="14">
        <f>data!AK75</f>
        <v>12414300.73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11376</v>
      </c>
      <c r="D156" s="14">
        <f>data!AF76</f>
        <v>0</v>
      </c>
      <c r="E156" s="14">
        <f>data!AG76</f>
        <v>20182</v>
      </c>
      <c r="F156" s="14">
        <f>data!AH76</f>
        <v>0</v>
      </c>
      <c r="G156" s="14">
        <f>data!AI76</f>
        <v>0</v>
      </c>
      <c r="H156" s="14">
        <f>data!AJ76</f>
        <v>22003</v>
      </c>
      <c r="I156" s="14">
        <f>data!AK76</f>
        <v>5815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7046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4748.1798315076639</v>
      </c>
      <c r="D158" s="14">
        <f>data!AF78</f>
        <v>0</v>
      </c>
      <c r="E158" s="14">
        <f>data!AG78</f>
        <v>8423.6783895470871</v>
      </c>
      <c r="F158" s="14">
        <f>data!AH78</f>
        <v>0</v>
      </c>
      <c r="G158" s="14">
        <f>data!AI78</f>
        <v>0</v>
      </c>
      <c r="H158" s="14">
        <f>data!AJ78</f>
        <v>9183.7377665843105</v>
      </c>
      <c r="I158" s="14">
        <f>data!AK78</f>
        <v>2427.0979008629624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232849.2</v>
      </c>
      <c r="F159" s="14">
        <f>data!AH79</f>
        <v>0</v>
      </c>
      <c r="G159" s="14">
        <f>data!AI79</f>
        <v>0</v>
      </c>
      <c r="H159" s="14">
        <f>data!AJ79</f>
        <v>21130.79</v>
      </c>
      <c r="I159" s="14">
        <f>data!AK79</f>
        <v>21994.06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47.694329501915711</v>
      </c>
      <c r="F160" s="26">
        <f>data!AH80</f>
        <v>0</v>
      </c>
      <c r="G160" s="26">
        <f>data!AI80</f>
        <v>0</v>
      </c>
      <c r="H160" s="26">
        <f>data!AJ80</f>
        <v>154.62977444370759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St.Joseph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6502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1165</v>
      </c>
      <c r="H169" s="14">
        <f>data!AQ59</f>
        <v>0</v>
      </c>
      <c r="I169" s="14">
        <f>data!AR59</f>
        <v>387138.61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4.9475574712643677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337.33480363984677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469457.38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185506.66</v>
      </c>
      <c r="H171" s="14">
        <f>data!AQ61</f>
        <v>0</v>
      </c>
      <c r="I171" s="14">
        <f>data!AR61</f>
        <v>30184727.380000003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132769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8595797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313.99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17469.59</v>
      </c>
      <c r="H174" s="14">
        <f>data!AQ64</f>
        <v>0</v>
      </c>
      <c r="I174" s="14">
        <f>data!AR64</f>
        <v>1363941.8499999996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821.7399999999999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33743.730000000003</v>
      </c>
      <c r="H175" s="14">
        <f>data!AQ65</f>
        <v>0</v>
      </c>
      <c r="I175" s="14">
        <f>data!AR65</f>
        <v>386851.9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1474.38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21143.67</v>
      </c>
      <c r="H176" s="14">
        <f>data!AQ66</f>
        <v>0</v>
      </c>
      <c r="I176" s="14">
        <f>data!AR66</f>
        <v>10271906.222899998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59327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25560</v>
      </c>
      <c r="H177" s="14">
        <f>data!AQ67</f>
        <v>0</v>
      </c>
      <c r="I177" s="14">
        <f>data!AR67</f>
        <v>881570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110881.12999999999</v>
      </c>
      <c r="H178" s="14">
        <f>data!AQ68</f>
        <v>0</v>
      </c>
      <c r="I178" s="14">
        <f>data!AR68</f>
        <v>1609179.1800000002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5071.22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20069.28</v>
      </c>
      <c r="H179" s="14">
        <f>data!AQ69</f>
        <v>0</v>
      </c>
      <c r="I179" s="14">
        <f>data!AR69</f>
        <v>1671017.6299999994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-300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-1450335.36</v>
      </c>
      <c r="H180" s="14">
        <f>-data!AQ70</f>
        <v>0</v>
      </c>
      <c r="I180" s="14">
        <f>-data!AR70</f>
        <v>-337838.11000000004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668934.71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-1035961.3</v>
      </c>
      <c r="H181" s="14">
        <f>data!AQ71</f>
        <v>0</v>
      </c>
      <c r="I181" s="14">
        <f>data!AR71</f>
        <v>54627153.052900001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687584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39850</v>
      </c>
      <c r="H183" s="48">
        <f>+data!M708</f>
        <v>0</v>
      </c>
      <c r="I183" s="48">
        <f>+data!M709</f>
        <v>18580389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2590914.66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660789.37000000011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153419.63999999998</v>
      </c>
      <c r="H185" s="14">
        <f>data!AQ74</f>
        <v>0</v>
      </c>
      <c r="I185" s="14">
        <f>data!AR74</f>
        <v>66533631.49000001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3251704.0300000003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153419.63999999998</v>
      </c>
      <c r="H186" s="14">
        <f>data!AQ75</f>
        <v>0</v>
      </c>
      <c r="I186" s="14">
        <f>data!AR75</f>
        <v>66533631.49000001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4171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1797</v>
      </c>
      <c r="H188" s="14">
        <f>data!AQ76</f>
        <v>0</v>
      </c>
      <c r="I188" s="14">
        <f>data!AR76</f>
        <v>44604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1740.9157944109058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750.04212000872633</v>
      </c>
      <c r="H190" s="14">
        <f>data!AQ78</f>
        <v>0</v>
      </c>
      <c r="I190" s="14">
        <f>data!AR78</f>
        <v>18617.07218746201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99.757179118773948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St.Joseph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343452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39.738314176245211</v>
      </c>
      <c r="G202" s="26">
        <f>data!AW60</f>
        <v>0</v>
      </c>
      <c r="H202" s="26">
        <f>data!AX60</f>
        <v>0</v>
      </c>
      <c r="I202" s="26">
        <f>data!AY60</f>
        <v>110.88371168582376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3381727.8499999996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971685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8779621.5399999991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961895.29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9531.52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465926.23999999993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49018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1899875.51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-4190996.5900000003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-17799710.370000001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-5471426.0100000016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-381961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986755.41999999993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1199505.24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2186260.66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1394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581.83567907187785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11069.55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14.027231800766284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St.Joseph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584456</v>
      </c>
      <c r="D233" s="14">
        <f>data!BA59</f>
        <v>0</v>
      </c>
      <c r="E233" s="212"/>
      <c r="F233" s="212"/>
      <c r="G233" s="212"/>
      <c r="H233" s="14">
        <f>data!BE59</f>
        <v>850147.87416666653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5.013596743295019</v>
      </c>
      <c r="E234" s="26">
        <f>data!BB60</f>
        <v>0</v>
      </c>
      <c r="F234" s="26">
        <f>data!BC60</f>
        <v>11.268189655172414</v>
      </c>
      <c r="G234" s="26">
        <f>data!BD60</f>
        <v>0</v>
      </c>
      <c r="H234" s="26">
        <f>data!BE60</f>
        <v>18.508793103448273</v>
      </c>
      <c r="I234" s="26">
        <f>data!BF60</f>
        <v>97.229382183908044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4812524.7299999995</v>
      </c>
      <c r="D235" s="14">
        <f>data!BA61</f>
        <v>194427.71</v>
      </c>
      <c r="E235" s="14">
        <f>data!BB61</f>
        <v>0</v>
      </c>
      <c r="F235" s="14">
        <f>data!BC61</f>
        <v>515286.16999999993</v>
      </c>
      <c r="G235" s="14">
        <f>data!BD61</f>
        <v>0</v>
      </c>
      <c r="H235" s="14">
        <f>data!BE61</f>
        <v>1294775.4099999999</v>
      </c>
      <c r="I235" s="14">
        <f>data!BF61</f>
        <v>4328355.72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2214511</v>
      </c>
      <c r="D236" s="14">
        <f>data!BA62</f>
        <v>97070</v>
      </c>
      <c r="E236" s="14">
        <f>data!BB62</f>
        <v>0</v>
      </c>
      <c r="F236" s="14">
        <f>data!BC62</f>
        <v>228317</v>
      </c>
      <c r="G236" s="14">
        <f>data!BD62</f>
        <v>0</v>
      </c>
      <c r="H236" s="14">
        <f>data!BE62</f>
        <v>431718</v>
      </c>
      <c r="I236" s="14">
        <f>data!BF62</f>
        <v>1930826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3404607.6100000003</v>
      </c>
      <c r="D238" s="14">
        <f>data!BA64</f>
        <v>3843.21</v>
      </c>
      <c r="E238" s="14">
        <f>data!BB64</f>
        <v>0</v>
      </c>
      <c r="F238" s="14">
        <f>data!BC64</f>
        <v>426.88</v>
      </c>
      <c r="G238" s="14">
        <f>data!BD64</f>
        <v>131995.37999999998</v>
      </c>
      <c r="H238" s="14">
        <f>data!BE64</f>
        <v>-68003.160000000018</v>
      </c>
      <c r="I238" s="14">
        <f>data!BF64</f>
        <v>596106.69999999995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679.11</v>
      </c>
      <c r="D239" s="14">
        <f>data!BA65</f>
        <v>0</v>
      </c>
      <c r="E239" s="14">
        <f>data!BB65</f>
        <v>0</v>
      </c>
      <c r="F239" s="14">
        <f>data!BC65</f>
        <v>97.77</v>
      </c>
      <c r="G239" s="14">
        <f>data!BD65</f>
        <v>0</v>
      </c>
      <c r="H239" s="14">
        <f>data!BE65</f>
        <v>3534900.1799999997</v>
      </c>
      <c r="I239" s="14">
        <f>data!BF65</f>
        <v>809.5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2175074.79</v>
      </c>
      <c r="D240" s="14">
        <f>data!BA66</f>
        <v>8347.07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10816132.02</v>
      </c>
      <c r="I240" s="14">
        <f>data!BF66</f>
        <v>473476.14999999991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605204</v>
      </c>
      <c r="D241" s="14">
        <f>data!BA67</f>
        <v>60365</v>
      </c>
      <c r="E241" s="14">
        <f>data!BB67</f>
        <v>0</v>
      </c>
      <c r="F241" s="14">
        <f>data!BC67</f>
        <v>0</v>
      </c>
      <c r="G241" s="14">
        <f>data!BD67</f>
        <v>32943</v>
      </c>
      <c r="H241" s="14">
        <f>data!BE67</f>
        <v>4083483</v>
      </c>
      <c r="I241" s="14">
        <f>data!BF67</f>
        <v>57239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117127.12</v>
      </c>
      <c r="D242" s="14">
        <f>data!BA68</f>
        <v>0</v>
      </c>
      <c r="E242" s="14">
        <f>data!BB68</f>
        <v>0</v>
      </c>
      <c r="F242" s="14">
        <f>data!BC68</f>
        <v>1800.6100000000001</v>
      </c>
      <c r="G242" s="14">
        <f>data!BD68</f>
        <v>2146493.66</v>
      </c>
      <c r="H242" s="14">
        <f>data!BE68</f>
        <v>2337026.7200000011</v>
      </c>
      <c r="I242" s="14">
        <f>data!BF68</f>
        <v>3707.05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112538.02</v>
      </c>
      <c r="D243" s="14">
        <f>data!BA69</f>
        <v>0</v>
      </c>
      <c r="E243" s="14">
        <f>data!BB69</f>
        <v>0</v>
      </c>
      <c r="F243" s="14">
        <f>data!BC69</f>
        <v>763.43000000000006</v>
      </c>
      <c r="G243" s="14">
        <f>data!BD69</f>
        <v>0</v>
      </c>
      <c r="H243" s="14">
        <f>data!BE69</f>
        <v>284255.77</v>
      </c>
      <c r="I243" s="14">
        <f>data!BF69</f>
        <v>7252.67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-3279693.01</v>
      </c>
      <c r="D244" s="14">
        <f>-data!BA70</f>
        <v>0</v>
      </c>
      <c r="E244" s="14">
        <f>-data!BB70</f>
        <v>0</v>
      </c>
      <c r="F244" s="14">
        <f>-data!BC70</f>
        <v>-2601</v>
      </c>
      <c r="G244" s="14">
        <f>-data!BD70</f>
        <v>0</v>
      </c>
      <c r="H244" s="14">
        <f>-data!BE70</f>
        <v>-26.21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10162573.369999997</v>
      </c>
      <c r="D245" s="14">
        <f>data!BA71</f>
        <v>364052.99</v>
      </c>
      <c r="E245" s="14">
        <f>data!BB71</f>
        <v>0</v>
      </c>
      <c r="F245" s="14">
        <f>data!BC71</f>
        <v>744090.86</v>
      </c>
      <c r="G245" s="14">
        <f>data!BD71</f>
        <v>2311432.04</v>
      </c>
      <c r="H245" s="14">
        <f>data!BE71</f>
        <v>22714261.73</v>
      </c>
      <c r="I245" s="14">
        <f>data!BF71</f>
        <v>7397772.79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19038.41</v>
      </c>
      <c r="D252" s="85">
        <f>data!BA76</f>
        <v>4244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174493</v>
      </c>
      <c r="I252" s="85">
        <f>data!BF76</f>
        <v>2066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1771.3849512059182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St.Joseph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187545.69000000003</v>
      </c>
      <c r="F270" s="14">
        <f>data!BJ64</f>
        <v>0</v>
      </c>
      <c r="G270" s="14">
        <f>data!BK64</f>
        <v>0</v>
      </c>
      <c r="H270" s="14">
        <f>data!BL64</f>
        <v>45698.289999999994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446.03999999999996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655.69</v>
      </c>
      <c r="F272" s="14">
        <f>data!BJ66</f>
        <v>0</v>
      </c>
      <c r="G272" s="14">
        <f>data!BK66</f>
        <v>7365007.1295641745</v>
      </c>
      <c r="H272" s="14">
        <f>data!BL66</f>
        <v>19792142.698511623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19032</v>
      </c>
      <c r="F273" s="14">
        <f>data!BJ67</f>
        <v>0</v>
      </c>
      <c r="G273" s="14">
        <f>data!BK67</f>
        <v>0</v>
      </c>
      <c r="H273" s="14">
        <f>data!BL67</f>
        <v>241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15787.18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11124.66</v>
      </c>
      <c r="F275" s="14">
        <f>data!BJ69</f>
        <v>0</v>
      </c>
      <c r="G275" s="14">
        <f>data!BK69</f>
        <v>0</v>
      </c>
      <c r="H275" s="14">
        <f>data!BL69</f>
        <v>3810.3399999999997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-378654.76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-160296.71999999997</v>
      </c>
      <c r="F277" s="14">
        <f>data!BJ71</f>
        <v>0</v>
      </c>
      <c r="G277" s="14">
        <f>data!BK71</f>
        <v>7365007.1295641745</v>
      </c>
      <c r="H277" s="14">
        <f>data!BL71</f>
        <v>19858125.548511621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1333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21495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556.37515079111427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St.Joseph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8.1639511494252872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2.8058093869731802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1398788.01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151445.33000000002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260649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2017</v>
      </c>
      <c r="H300" s="14">
        <f>data!BS62</f>
        <v>0</v>
      </c>
      <c r="I300" s="14">
        <f>data!BT62</f>
        <v>59942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62132.040000000008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120.71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6052.52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1600942.9530191498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2506249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21833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61323.94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487125.25999999995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1013416.5099999999</v>
      </c>
      <c r="H307" s="14">
        <f>data!BS69</f>
        <v>0</v>
      </c>
      <c r="I307" s="14">
        <f>data!BT69</f>
        <v>3566.7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-13400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-11425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6369862.7230191501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1015433.5099999999</v>
      </c>
      <c r="H309" s="14">
        <f>data!BS71</f>
        <v>0</v>
      </c>
      <c r="I309" s="14">
        <f>data!BT71</f>
        <v>225482.74000000002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168153.96000000002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1535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640.68706411429889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St.Joseph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58.841024904214557</v>
      </c>
      <c r="H330" s="26">
        <f>data!BZ60</f>
        <v>11.8478591954023</v>
      </c>
      <c r="I330" s="26">
        <f>data!CA60</f>
        <v>6.1524281609195404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4955560.18</v>
      </c>
      <c r="H331" s="86">
        <f>data!BZ61</f>
        <v>887312.97</v>
      </c>
      <c r="I331" s="86">
        <f>data!CA61</f>
        <v>654677.07000000007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1480131</v>
      </c>
      <c r="H332" s="86">
        <f>data!BZ62</f>
        <v>282929</v>
      </c>
      <c r="I332" s="86">
        <f>data!CA62</f>
        <v>171910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5635.17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2244.5500000000002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3114854.0479523898</v>
      </c>
      <c r="E336" s="86">
        <f>data!BW66</f>
        <v>344529.09580771497</v>
      </c>
      <c r="F336" s="86">
        <f>data!BX66</f>
        <v>-463944.14201183501</v>
      </c>
      <c r="G336" s="86">
        <f>data!BY66</f>
        <v>909986.39833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134484</v>
      </c>
      <c r="E337" s="86">
        <f>data!BW67</f>
        <v>0</v>
      </c>
      <c r="F337" s="86">
        <f>data!BX67</f>
        <v>0</v>
      </c>
      <c r="G337" s="86">
        <f>data!BY67</f>
        <v>17434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5953.8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3592.66</v>
      </c>
      <c r="H339" s="86">
        <f>data!BZ69</f>
        <v>625</v>
      </c>
      <c r="I339" s="86">
        <f>data!CA69</f>
        <v>0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3249338.0479523898</v>
      </c>
      <c r="E341" s="14">
        <f>data!BW71</f>
        <v>344529.09580771497</v>
      </c>
      <c r="F341" s="14">
        <f>data!BX71</f>
        <v>-463944.14201183501</v>
      </c>
      <c r="G341" s="14">
        <f>data!BY71</f>
        <v>7380537.7583299996</v>
      </c>
      <c r="H341" s="14">
        <f>data!BZ71</f>
        <v>1170866.97</v>
      </c>
      <c r="I341" s="14">
        <f>data!CA71</f>
        <v>826587.07000000007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9455</v>
      </c>
      <c r="E348" s="85">
        <f>data!BW76</f>
        <v>0</v>
      </c>
      <c r="F348" s="85">
        <f>data!BX76</f>
        <v>0</v>
      </c>
      <c r="G348" s="85">
        <f>data!BY76</f>
        <v>978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3946.3818835183683</v>
      </c>
      <c r="E350" s="85">
        <f>data!BW78</f>
        <v>0</v>
      </c>
      <c r="F350" s="85">
        <f>data!BX78</f>
        <v>0</v>
      </c>
      <c r="G350" s="85">
        <f>data!BY78</f>
        <v>408.20322391126012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St.Joseph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3.4031800766283524</v>
      </c>
      <c r="E362" s="217"/>
      <c r="F362" s="211"/>
      <c r="G362" s="211"/>
      <c r="H362" s="211"/>
      <c r="I362" s="87">
        <f>data!CE60</f>
        <v>3241.4544904214549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3513536.48</v>
      </c>
      <c r="E363" s="218"/>
      <c r="F363" s="219"/>
      <c r="G363" s="219"/>
      <c r="H363" s="219"/>
      <c r="I363" s="86">
        <f>data!CE61</f>
        <v>312834201.53000009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77065</v>
      </c>
      <c r="E364" s="218"/>
      <c r="F364" s="219"/>
      <c r="G364" s="219"/>
      <c r="H364" s="219"/>
      <c r="I364" s="86">
        <f>data!CE62</f>
        <v>78092502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240461.99</v>
      </c>
      <c r="E365" s="218"/>
      <c r="F365" s="219"/>
      <c r="G365" s="219"/>
      <c r="H365" s="219"/>
      <c r="I365" s="86">
        <f>data!CE63</f>
        <v>29499968.819999997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-757717.4600000002</v>
      </c>
      <c r="E366" s="218"/>
      <c r="F366" s="219"/>
      <c r="G366" s="219"/>
      <c r="H366" s="219"/>
      <c r="I366" s="86">
        <f>data!CE64</f>
        <v>108763560.14000003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4511629.8899999987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92381553.047601104</v>
      </c>
      <c r="E368" s="218"/>
      <c r="F368" s="219"/>
      <c r="G368" s="219"/>
      <c r="H368" s="219"/>
      <c r="I368" s="86">
        <f>data!CE66</f>
        <v>188108218.07512945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1450932</v>
      </c>
      <c r="E369" s="218"/>
      <c r="F369" s="219"/>
      <c r="G369" s="219"/>
      <c r="H369" s="219"/>
      <c r="I369" s="86">
        <f>data!CE67</f>
        <v>33117876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-1251845.2100000002</v>
      </c>
      <c r="E370" s="218"/>
      <c r="F370" s="219"/>
      <c r="G370" s="219"/>
      <c r="H370" s="219"/>
      <c r="I370" s="86">
        <f>data!CE68</f>
        <v>17879177.98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102189.28</v>
      </c>
      <c r="E371" s="86">
        <f>data!CD69</f>
        <v>36234143.759999998</v>
      </c>
      <c r="F371" s="219"/>
      <c r="G371" s="219"/>
      <c r="H371" s="219"/>
      <c r="I371" s="86">
        <f>data!CE69</f>
        <v>45130530.859999992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-67000</v>
      </c>
      <c r="E372" s="227">
        <f>data!CD70</f>
        <v>0</v>
      </c>
      <c r="F372" s="220"/>
      <c r="G372" s="220"/>
      <c r="H372" s="220"/>
      <c r="I372" s="14">
        <f>-data!CE70</f>
        <v>-34254566.289999999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95689175.127601117</v>
      </c>
      <c r="E373" s="86">
        <f>data!CD71</f>
        <v>36234143.759999998</v>
      </c>
      <c r="F373" s="219"/>
      <c r="G373" s="219"/>
      <c r="H373" s="219"/>
      <c r="I373" s="14">
        <f>data!CE71</f>
        <v>783683099.00512969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1895188306.6299996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1361613496.9999998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3256801803.6299992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850147.87416666653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343452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203014.94999999998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2516931.8100000005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1024.9222936007957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BQ25" transitionEvaluation="1" transitionEntry="1" codeName="Sheet10">
    <pageSetUpPr autoPageBreaks="0" fitToPage="1"/>
  </sheetPr>
  <dimension ref="A1:CF817"/>
  <sheetViews>
    <sheetView showGridLines="0" topLeftCell="BQ25" zoomScale="75" workbookViewId="0">
      <selection activeCell="CI60" sqref="CI60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5.5546875" style="250" customWidth="1"/>
    <col min="5" max="16384" width="11.77734375" style="180"/>
  </cols>
  <sheetData>
    <row r="1" spans="1:6" ht="12.75" customHeight="1" x14ac:dyDescent="0.2">
      <c r="A1" s="231" t="s">
        <v>1232</v>
      </c>
      <c r="B1" s="232"/>
      <c r="C1" s="232"/>
      <c r="D1" s="284"/>
      <c r="E1" s="232"/>
      <c r="F1" s="232"/>
    </row>
    <row r="2" spans="1:6" ht="12.75" customHeight="1" x14ac:dyDescent="0.2">
      <c r="A2" s="232" t="s">
        <v>1233</v>
      </c>
      <c r="B2" s="232"/>
      <c r="C2" s="233"/>
      <c r="D2" s="284"/>
      <c r="E2" s="232"/>
      <c r="F2" s="232"/>
    </row>
    <row r="3" spans="1:6" ht="12.75" customHeight="1" x14ac:dyDescent="0.2">
      <c r="A3" s="199"/>
      <c r="C3" s="234"/>
    </row>
    <row r="4" spans="1:6" ht="12.75" customHeight="1" x14ac:dyDescent="0.2">
      <c r="C4" s="234"/>
    </row>
    <row r="5" spans="1:6" ht="12.75" customHeight="1" x14ac:dyDescent="0.2">
      <c r="A5" s="199" t="s">
        <v>1258</v>
      </c>
      <c r="C5" s="234"/>
    </row>
    <row r="6" spans="1:6" ht="12.75" customHeight="1" x14ac:dyDescent="0.2">
      <c r="A6" s="199" t="s">
        <v>0</v>
      </c>
      <c r="C6" s="234"/>
    </row>
    <row r="7" spans="1:6" ht="12.75" customHeight="1" x14ac:dyDescent="0.2">
      <c r="A7" s="199" t="s">
        <v>1</v>
      </c>
      <c r="C7" s="234"/>
    </row>
    <row r="8" spans="1:6" ht="12.75" customHeight="1" x14ac:dyDescent="0.2">
      <c r="C8" s="234"/>
    </row>
    <row r="9" spans="1:6" ht="12.75" customHeight="1" x14ac:dyDescent="0.2">
      <c r="C9" s="234"/>
    </row>
    <row r="10" spans="1:6" ht="12.75" customHeight="1" x14ac:dyDescent="0.2">
      <c r="A10" s="198" t="s">
        <v>1228</v>
      </c>
      <c r="C10" s="234"/>
    </row>
    <row r="11" spans="1:6" ht="12.75" customHeight="1" x14ac:dyDescent="0.2">
      <c r="A11" s="198" t="s">
        <v>1231</v>
      </c>
      <c r="C11" s="234"/>
    </row>
    <row r="12" spans="1:6" ht="12.75" customHeight="1" x14ac:dyDescent="0.2">
      <c r="C12" s="234"/>
    </row>
    <row r="13" spans="1:6" ht="12.75" customHeight="1" x14ac:dyDescent="0.2">
      <c r="C13" s="234"/>
    </row>
    <row r="14" spans="1:6" ht="12.75" customHeight="1" x14ac:dyDescent="0.2">
      <c r="A14" s="199" t="s">
        <v>2</v>
      </c>
      <c r="C14" s="234"/>
    </row>
    <row r="15" spans="1:6" ht="12.75" customHeight="1" x14ac:dyDescent="0.2">
      <c r="A15" s="199"/>
      <c r="C15" s="234"/>
    </row>
    <row r="16" spans="1:6" ht="12.75" customHeight="1" x14ac:dyDescent="0.2">
      <c r="A16" s="180" t="s">
        <v>1260</v>
      </c>
      <c r="C16" s="234"/>
      <c r="F16" s="281" t="s">
        <v>1259</v>
      </c>
    </row>
    <row r="17" spans="1:6" ht="12.75" customHeight="1" x14ac:dyDescent="0.2">
      <c r="A17" s="180" t="s">
        <v>1230</v>
      </c>
      <c r="C17" s="281" t="s">
        <v>1259</v>
      </c>
    </row>
    <row r="18" spans="1:6" ht="12.75" customHeight="1" x14ac:dyDescent="0.2">
      <c r="A18" s="226"/>
      <c r="C18" s="234"/>
    </row>
    <row r="19" spans="1:6" ht="12.75" customHeight="1" x14ac:dyDescent="0.2">
      <c r="C19" s="234"/>
    </row>
    <row r="20" spans="1:6" ht="12.75" customHeight="1" x14ac:dyDescent="0.2">
      <c r="A20" s="271" t="s">
        <v>1234</v>
      </c>
      <c r="B20" s="271"/>
      <c r="C20" s="282"/>
      <c r="D20" s="285"/>
      <c r="E20" s="271"/>
      <c r="F20" s="271"/>
    </row>
    <row r="21" spans="1:6" ht="22.5" customHeight="1" x14ac:dyDescent="0.2">
      <c r="A21" s="199"/>
      <c r="C21" s="234"/>
    </row>
    <row r="22" spans="1:6" ht="12.6" customHeight="1" x14ac:dyDescent="0.2">
      <c r="A22" s="235" t="s">
        <v>1254</v>
      </c>
      <c r="B22" s="236"/>
      <c r="C22" s="237"/>
      <c r="D22" s="286"/>
      <c r="E22" s="235"/>
    </row>
    <row r="23" spans="1:6" ht="12.6" customHeight="1" x14ac:dyDescent="0.2">
      <c r="B23" s="199"/>
      <c r="C23" s="234"/>
    </row>
    <row r="24" spans="1:6" ht="12.6" customHeight="1" x14ac:dyDescent="0.2">
      <c r="A24" s="238" t="s">
        <v>3</v>
      </c>
      <c r="C24" s="234"/>
    </row>
    <row r="25" spans="1:6" ht="12.6" customHeight="1" x14ac:dyDescent="0.2">
      <c r="A25" s="198" t="s">
        <v>1235</v>
      </c>
      <c r="C25" s="234"/>
    </row>
    <row r="26" spans="1:6" ht="12.6" customHeight="1" x14ac:dyDescent="0.2">
      <c r="A26" s="199" t="s">
        <v>4</v>
      </c>
      <c r="C26" s="234"/>
    </row>
    <row r="27" spans="1:6" ht="12.6" customHeight="1" x14ac:dyDescent="0.2">
      <c r="A27" s="198" t="s">
        <v>1236</v>
      </c>
      <c r="C27" s="234"/>
    </row>
    <row r="28" spans="1:6" ht="12.6" customHeight="1" x14ac:dyDescent="0.2">
      <c r="A28" s="199" t="s">
        <v>5</v>
      </c>
      <c r="C28" s="234"/>
    </row>
    <row r="29" spans="1:6" ht="12.6" customHeight="1" x14ac:dyDescent="0.2">
      <c r="A29" s="198"/>
      <c r="C29" s="234"/>
    </row>
    <row r="30" spans="1:6" ht="12.6" customHeight="1" x14ac:dyDescent="0.2">
      <c r="A30" s="180" t="s">
        <v>6</v>
      </c>
      <c r="C30" s="234"/>
    </row>
    <row r="31" spans="1:6" ht="12.6" customHeight="1" x14ac:dyDescent="0.2">
      <c r="A31" s="199" t="s">
        <v>7</v>
      </c>
      <c r="C31" s="234"/>
    </row>
    <row r="32" spans="1:6" ht="12.6" customHeight="1" x14ac:dyDescent="0.2">
      <c r="A32" s="199" t="s">
        <v>8</v>
      </c>
      <c r="C32" s="234"/>
    </row>
    <row r="33" spans="1:83" ht="12.6" customHeight="1" x14ac:dyDescent="0.2">
      <c r="A33" s="198" t="s">
        <v>1237</v>
      </c>
      <c r="C33" s="234"/>
    </row>
    <row r="34" spans="1:83" ht="12.6" customHeight="1" x14ac:dyDescent="0.2">
      <c r="A34" s="199" t="s">
        <v>9</v>
      </c>
      <c r="C34" s="234"/>
    </row>
    <row r="35" spans="1:83" ht="12.6" customHeight="1" x14ac:dyDescent="0.2">
      <c r="A35" s="199"/>
      <c r="C35" s="234"/>
    </row>
    <row r="36" spans="1:83" ht="12.6" customHeight="1" x14ac:dyDescent="0.2">
      <c r="A36" s="198" t="s">
        <v>1238</v>
      </c>
      <c r="C36" s="234"/>
    </row>
    <row r="37" spans="1:83" ht="12.6" customHeight="1" x14ac:dyDescent="0.2">
      <c r="A37" s="199" t="s">
        <v>1229</v>
      </c>
      <c r="C37" s="234"/>
    </row>
    <row r="38" spans="1:83" ht="12" customHeight="1" x14ac:dyDescent="0.2">
      <c r="A38" s="198"/>
      <c r="C38" s="234"/>
    </row>
    <row r="39" spans="1:83" ht="12.6" customHeight="1" x14ac:dyDescent="0.2">
      <c r="A39" s="199"/>
      <c r="C39" s="234"/>
    </row>
    <row r="40" spans="1:83" ht="12" customHeight="1" x14ac:dyDescent="0.2">
      <c r="A40" s="199"/>
      <c r="C40" s="234"/>
    </row>
    <row r="41" spans="1:83" ht="12" customHeight="1" x14ac:dyDescent="0.2">
      <c r="A41" s="199"/>
      <c r="B41" s="197"/>
      <c r="C41" s="239"/>
      <c r="D41" s="287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">
      <c r="A42" s="199"/>
      <c r="C42" s="239"/>
      <c r="D42" s="287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">
      <c r="A43" s="199"/>
      <c r="C43" s="234"/>
      <c r="F43" s="181"/>
    </row>
    <row r="44" spans="1:83" ht="12" customHeight="1" x14ac:dyDescent="0.2">
      <c r="A44" s="175"/>
      <c r="B44" s="175"/>
      <c r="C44" s="182" t="s">
        <v>10</v>
      </c>
      <c r="D44" s="288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2" t="s">
        <v>91</v>
      </c>
      <c r="C45" s="182" t="s">
        <v>92</v>
      </c>
      <c r="D45" s="288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288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72957136.220000014</v>
      </c>
      <c r="C47" s="184">
        <v>4184646.1199999996</v>
      </c>
      <c r="D47" s="184">
        <v>0</v>
      </c>
      <c r="E47" s="184">
        <v>9340558.8800000027</v>
      </c>
      <c r="F47" s="184">
        <v>0</v>
      </c>
      <c r="G47" s="184">
        <v>0</v>
      </c>
      <c r="H47" s="184">
        <v>1046706.2100000002</v>
      </c>
      <c r="I47" s="184">
        <v>0</v>
      </c>
      <c r="J47" s="184">
        <v>1299250.28</v>
      </c>
      <c r="K47" s="184">
        <v>0</v>
      </c>
      <c r="L47" s="184">
        <v>0</v>
      </c>
      <c r="M47" s="184">
        <v>0</v>
      </c>
      <c r="N47" s="184">
        <v>0</v>
      </c>
      <c r="O47" s="184">
        <v>3409815.2700000005</v>
      </c>
      <c r="P47" s="184">
        <v>4612561.21</v>
      </c>
      <c r="Q47" s="184">
        <v>485552.95000000007</v>
      </c>
      <c r="R47" s="184">
        <v>0</v>
      </c>
      <c r="S47" s="184">
        <v>1148598.0500000003</v>
      </c>
      <c r="T47" s="184">
        <v>372786.55</v>
      </c>
      <c r="U47" s="184">
        <v>2283358.16</v>
      </c>
      <c r="V47" s="184">
        <v>225848.06</v>
      </c>
      <c r="W47" s="184">
        <v>0</v>
      </c>
      <c r="X47" s="184">
        <v>257826.36</v>
      </c>
      <c r="Y47" s="184">
        <v>1561992.5199999998</v>
      </c>
      <c r="Z47" s="184">
        <v>0</v>
      </c>
      <c r="AA47" s="184">
        <v>166095.84999999998</v>
      </c>
      <c r="AB47" s="184">
        <v>2364282.8899999997</v>
      </c>
      <c r="AC47" s="184">
        <v>663572.39999999991</v>
      </c>
      <c r="AD47" s="184">
        <v>35956.869999999995</v>
      </c>
      <c r="AE47" s="184">
        <v>873207.86</v>
      </c>
      <c r="AF47" s="184">
        <v>0</v>
      </c>
      <c r="AG47" s="184">
        <v>2010299.3899999997</v>
      </c>
      <c r="AH47" s="184">
        <v>0</v>
      </c>
      <c r="AI47" s="184">
        <v>3109381.26</v>
      </c>
      <c r="AJ47" s="184">
        <v>16896915.050000001</v>
      </c>
      <c r="AK47" s="184">
        <v>350358.42999999993</v>
      </c>
      <c r="AL47" s="184">
        <v>110781.09999999998</v>
      </c>
      <c r="AM47" s="184">
        <v>0</v>
      </c>
      <c r="AN47" s="184">
        <v>0</v>
      </c>
      <c r="AO47" s="184">
        <v>0</v>
      </c>
      <c r="AP47" s="184">
        <v>52768.27</v>
      </c>
      <c r="AQ47" s="184">
        <v>0</v>
      </c>
      <c r="AR47" s="184">
        <v>8137459.4400000013</v>
      </c>
      <c r="AS47" s="184">
        <v>0</v>
      </c>
      <c r="AT47" s="184">
        <v>0</v>
      </c>
      <c r="AU47" s="184">
        <v>0</v>
      </c>
      <c r="AV47" s="184">
        <v>471128.52</v>
      </c>
      <c r="AW47" s="184">
        <v>0</v>
      </c>
      <c r="AX47" s="184">
        <v>0</v>
      </c>
      <c r="AY47" s="184">
        <v>0</v>
      </c>
      <c r="AZ47" s="184">
        <v>2083014.04</v>
      </c>
      <c r="BA47" s="184">
        <v>103901.68000000001</v>
      </c>
      <c r="BB47" s="184">
        <v>0</v>
      </c>
      <c r="BC47" s="184">
        <v>204360.47999999998</v>
      </c>
      <c r="BD47" s="184">
        <v>0</v>
      </c>
      <c r="BE47" s="184">
        <v>411137.51</v>
      </c>
      <c r="BF47" s="184">
        <v>1498020.54</v>
      </c>
      <c r="BG47" s="184">
        <v>0</v>
      </c>
      <c r="BH47" s="184">
        <v>0</v>
      </c>
      <c r="BI47" s="184">
        <v>17547.150000000001</v>
      </c>
      <c r="BJ47" s="184">
        <v>0</v>
      </c>
      <c r="BK47" s="184">
        <v>0</v>
      </c>
      <c r="BL47" s="184">
        <v>0</v>
      </c>
      <c r="BM47" s="184">
        <v>0</v>
      </c>
      <c r="BN47" s="184">
        <v>1640668.02</v>
      </c>
      <c r="BO47" s="184">
        <v>0</v>
      </c>
      <c r="BP47" s="184">
        <v>0</v>
      </c>
      <c r="BQ47" s="184">
        <v>0</v>
      </c>
      <c r="BR47" s="184">
        <v>2458.3700000059684</v>
      </c>
      <c r="BS47" s="184">
        <v>0</v>
      </c>
      <c r="BT47" s="184">
        <v>75612.740000000005</v>
      </c>
      <c r="BU47" s="184">
        <v>0</v>
      </c>
      <c r="BV47" s="184">
        <v>0</v>
      </c>
      <c r="BW47" s="184">
        <v>0</v>
      </c>
      <c r="BX47" s="184">
        <v>0</v>
      </c>
      <c r="BY47" s="184">
        <v>1114728.1000000001</v>
      </c>
      <c r="BZ47" s="184">
        <v>0</v>
      </c>
      <c r="CA47" s="184">
        <v>160198.82</v>
      </c>
      <c r="CB47" s="184">
        <v>22849.369999999995</v>
      </c>
      <c r="CC47" s="184">
        <v>150931.45000000001</v>
      </c>
      <c r="CD47" s="195"/>
      <c r="CE47" s="195">
        <f>SUM(C47:CC47)</f>
        <v>72957136.220000029</v>
      </c>
    </row>
    <row r="48" spans="1:83" ht="12.6" customHeight="1" x14ac:dyDescent="0.2">
      <c r="A48" s="175" t="s">
        <v>205</v>
      </c>
      <c r="B48" s="183"/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72957136.220000014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v>21368435.399999999</v>
      </c>
      <c r="C51" s="184">
        <v>999665.71999999986</v>
      </c>
      <c r="D51" s="184">
        <v>0</v>
      </c>
      <c r="E51" s="184">
        <v>1359911.7000000002</v>
      </c>
      <c r="F51" s="184">
        <v>0</v>
      </c>
      <c r="G51" s="184">
        <v>0</v>
      </c>
      <c r="H51" s="184">
        <v>155966.25</v>
      </c>
      <c r="I51" s="184">
        <v>0</v>
      </c>
      <c r="J51" s="184">
        <v>172689.15999999997</v>
      </c>
      <c r="K51" s="184">
        <v>0</v>
      </c>
      <c r="L51" s="184">
        <v>0</v>
      </c>
      <c r="M51" s="184">
        <v>0</v>
      </c>
      <c r="N51" s="184">
        <v>0</v>
      </c>
      <c r="O51" s="184">
        <v>489897.88000000006</v>
      </c>
      <c r="P51" s="184">
        <v>8662401.3500000015</v>
      </c>
      <c r="Q51" s="184">
        <v>17866.759999999998</v>
      </c>
      <c r="R51" s="184">
        <v>0</v>
      </c>
      <c r="S51" s="184">
        <v>76650.45</v>
      </c>
      <c r="T51" s="184">
        <v>28955.43</v>
      </c>
      <c r="U51" s="184">
        <v>506103.95000000013</v>
      </c>
      <c r="V51" s="184">
        <v>350623.56000000006</v>
      </c>
      <c r="W51" s="184">
        <v>0</v>
      </c>
      <c r="X51" s="184">
        <v>14032.36</v>
      </c>
      <c r="Y51" s="184">
        <v>471193.47</v>
      </c>
      <c r="Z51" s="184">
        <v>0</v>
      </c>
      <c r="AA51" s="184">
        <v>5425.81</v>
      </c>
      <c r="AB51" s="184">
        <v>536995.03</v>
      </c>
      <c r="AC51" s="184">
        <v>199070.89</v>
      </c>
      <c r="AD51" s="184">
        <v>19986.709999999901</v>
      </c>
      <c r="AE51" s="184">
        <v>18349.810000000005</v>
      </c>
      <c r="AF51" s="184">
        <v>0</v>
      </c>
      <c r="AG51" s="184">
        <v>750172.42</v>
      </c>
      <c r="AH51" s="184">
        <v>0</v>
      </c>
      <c r="AI51" s="184">
        <v>31703.77</v>
      </c>
      <c r="AJ51" s="184">
        <v>4207014.330000001</v>
      </c>
      <c r="AK51" s="184">
        <v>4633.55</v>
      </c>
      <c r="AL51" s="184">
        <v>0</v>
      </c>
      <c r="AM51" s="184">
        <v>0</v>
      </c>
      <c r="AN51" s="184">
        <v>0</v>
      </c>
      <c r="AO51" s="184">
        <v>0</v>
      </c>
      <c r="AP51" s="184">
        <v>195.72</v>
      </c>
      <c r="AQ51" s="184">
        <v>0</v>
      </c>
      <c r="AR51" s="184">
        <v>244907.91000000003</v>
      </c>
      <c r="AS51" s="184">
        <v>0</v>
      </c>
      <c r="AT51" s="184">
        <v>0</v>
      </c>
      <c r="AU51" s="184">
        <v>0</v>
      </c>
      <c r="AV51" s="184">
        <v>32484.900000000005</v>
      </c>
      <c r="AW51" s="184">
        <v>0</v>
      </c>
      <c r="AX51" s="184">
        <v>0</v>
      </c>
      <c r="AY51" s="184">
        <v>0</v>
      </c>
      <c r="AZ51" s="184">
        <v>295289.90000000002</v>
      </c>
      <c r="BA51" s="184">
        <v>0</v>
      </c>
      <c r="BB51" s="184">
        <v>0</v>
      </c>
      <c r="BC51" s="184">
        <v>0</v>
      </c>
      <c r="BD51" s="184">
        <v>0</v>
      </c>
      <c r="BE51" s="184">
        <v>1559932.8099999998</v>
      </c>
      <c r="BF51" s="184">
        <v>35011.160000000003</v>
      </c>
      <c r="BG51" s="184">
        <v>0</v>
      </c>
      <c r="BH51" s="184">
        <v>0</v>
      </c>
      <c r="BI51" s="184">
        <v>71.64</v>
      </c>
      <c r="BJ51" s="184">
        <v>0</v>
      </c>
      <c r="BK51" s="184">
        <v>0</v>
      </c>
      <c r="BL51" s="184">
        <v>241.48</v>
      </c>
      <c r="BM51" s="184">
        <v>0</v>
      </c>
      <c r="BN51" s="184">
        <v>117466.43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3523.09</v>
      </c>
      <c r="BZ51" s="184">
        <v>0</v>
      </c>
      <c r="CA51" s="184">
        <v>0</v>
      </c>
      <c r="CB51" s="184">
        <v>0</v>
      </c>
      <c r="CC51" s="184">
        <v>2</v>
      </c>
      <c r="CD51" s="195"/>
      <c r="CE51" s="195">
        <f>SUM(C51:CD51)</f>
        <v>21368437.399999999</v>
      </c>
    </row>
    <row r="52" spans="1:84" ht="12.6" customHeight="1" x14ac:dyDescent="0.2">
      <c r="A52" s="171" t="s">
        <v>208</v>
      </c>
      <c r="B52" s="195">
        <v>12494394.879999999</v>
      </c>
      <c r="C52" s="195">
        <f>ROUND((B52/(CE76+CF76)*C76),0)</f>
        <v>306089</v>
      </c>
      <c r="D52" s="195">
        <f>ROUND((B52/(CE76+CF76)*D76),0)</f>
        <v>0</v>
      </c>
      <c r="E52" s="195">
        <f>ROUND((B52/(CE76+CF76)*E76),0)</f>
        <v>1542739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29408</v>
      </c>
      <c r="I52" s="195">
        <f>ROUND((B52/(CE76+CF76)*I76),0)</f>
        <v>0</v>
      </c>
      <c r="J52" s="195">
        <f>ROUND((B52/(CE76+CF76)*J76),0)</f>
        <v>37065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258940</v>
      </c>
      <c r="P52" s="195">
        <f>ROUND((B52/(CE76+CF76)*P76),0)</f>
        <v>1316298</v>
      </c>
      <c r="Q52" s="195">
        <f>ROUND((B52/(CE76+CF76)*Q76),0)</f>
        <v>34817</v>
      </c>
      <c r="R52" s="195">
        <f>ROUND((B52/(CE76+CF76)*R76),0)</f>
        <v>0</v>
      </c>
      <c r="S52" s="195">
        <f>ROUND((B52/(CE76+CF76)*S76),0)</f>
        <v>256326</v>
      </c>
      <c r="T52" s="195">
        <f>ROUND((B52/(CE76+CF76)*T76),0)</f>
        <v>0</v>
      </c>
      <c r="U52" s="195">
        <f>ROUND((B52/(CE76+CF76)*U76),0)</f>
        <v>244803</v>
      </c>
      <c r="V52" s="195">
        <f>ROUND((B52/(CE76+CF76)*V76),0)</f>
        <v>48646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677578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244495</v>
      </c>
      <c r="AC52" s="195">
        <f>ROUND((B52/(CE76+CF76)*AC76),0)</f>
        <v>14417</v>
      </c>
      <c r="AD52" s="195">
        <f>ROUND((B52/(CE76+CF76)*AD76),0)</f>
        <v>242599</v>
      </c>
      <c r="AE52" s="195">
        <f>ROUND((B52/(CE76+CF76)*AE76),0)</f>
        <v>167190</v>
      </c>
      <c r="AF52" s="195">
        <f>ROUND((B52/(CE76+CF76)*AF76),0)</f>
        <v>0</v>
      </c>
      <c r="AG52" s="195">
        <f>ROUND((B52/(CE76+CF76)*AG76),0)</f>
        <v>296609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323372</v>
      </c>
      <c r="AK52" s="195">
        <f>ROUND((B52/(CE76+CF76)*AK76),0)</f>
        <v>85461</v>
      </c>
      <c r="AL52" s="195">
        <f>ROUND((B52/(CE76+CF76)*AL76),0)</f>
        <v>61300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26410</v>
      </c>
      <c r="AQ52" s="195">
        <f>ROUND((B52/(CE76+CF76)*AQ76),0)</f>
        <v>0</v>
      </c>
      <c r="AR52" s="195">
        <f>ROUND((B52/(CE76+CF76)*AR76),0)</f>
        <v>655533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20487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279802</v>
      </c>
      <c r="BA52" s="195">
        <f>ROUND((B52/(CE76+CF76)*BA76),0)</f>
        <v>62373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2564476</v>
      </c>
      <c r="BF52" s="195">
        <f>ROUND((B52/(CE76+CF76)*BF76),0)</f>
        <v>30363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19591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2493873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138958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14373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12494391</v>
      </c>
    </row>
    <row r="53" spans="1:84" ht="12.6" customHeight="1" x14ac:dyDescent="0.2">
      <c r="A53" s="175" t="s">
        <v>206</v>
      </c>
      <c r="B53" s="195">
        <f>B51+B52</f>
        <v>33862830.280000001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9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288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288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288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288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">
      <c r="A59" s="171" t="s">
        <v>233</v>
      </c>
      <c r="B59" s="175"/>
      <c r="C59" s="184">
        <f>18261+6981</f>
        <v>25242</v>
      </c>
      <c r="D59" s="184">
        <v>0</v>
      </c>
      <c r="E59" s="184">
        <v>75484</v>
      </c>
      <c r="F59" s="184"/>
      <c r="G59" s="184"/>
      <c r="H59" s="184">
        <v>6214.29</v>
      </c>
      <c r="I59" s="184"/>
      <c r="J59" s="184">
        <v>10866</v>
      </c>
      <c r="K59" s="184"/>
      <c r="L59" s="184"/>
      <c r="M59" s="184"/>
      <c r="N59" s="184"/>
      <c r="O59" s="184">
        <v>19875</v>
      </c>
      <c r="P59" s="185">
        <v>1757258</v>
      </c>
      <c r="Q59" s="185">
        <v>1201215</v>
      </c>
      <c r="R59" s="185"/>
      <c r="S59" s="246"/>
      <c r="T59" s="246"/>
      <c r="U59" s="222">
        <v>1372424</v>
      </c>
      <c r="V59" s="185"/>
      <c r="W59" s="185">
        <v>7418</v>
      </c>
      <c r="X59" s="185">
        <v>30284</v>
      </c>
      <c r="Y59" s="185">
        <v>200111</v>
      </c>
      <c r="Z59" s="185"/>
      <c r="AA59" s="185">
        <v>6052</v>
      </c>
      <c r="AB59" s="246"/>
      <c r="AC59" s="185">
        <v>63420</v>
      </c>
      <c r="AD59" s="185"/>
      <c r="AE59" s="185">
        <v>143127</v>
      </c>
      <c r="AF59" s="185"/>
      <c r="AG59" s="185">
        <v>49565</v>
      </c>
      <c r="AH59" s="185"/>
      <c r="AI59" s="185">
        <v>14617</v>
      </c>
      <c r="AJ59" s="185">
        <v>36043</v>
      </c>
      <c r="AK59" s="185">
        <v>52005</v>
      </c>
      <c r="AL59" s="185">
        <v>6844</v>
      </c>
      <c r="AM59" s="185"/>
      <c r="AN59" s="185"/>
      <c r="AO59" s="185"/>
      <c r="AP59" s="185">
        <v>1085</v>
      </c>
      <c r="AQ59" s="185"/>
      <c r="AR59" s="185">
        <v>386436</v>
      </c>
      <c r="AS59" s="185"/>
      <c r="AT59" s="185"/>
      <c r="AU59" s="185"/>
      <c r="AV59" s="246"/>
      <c r="AW59" s="246"/>
      <c r="AX59" s="246"/>
      <c r="AY59" s="185">
        <v>416105</v>
      </c>
      <c r="AZ59" s="185">
        <v>930126</v>
      </c>
      <c r="BA59" s="246"/>
      <c r="BB59" s="246"/>
      <c r="BC59" s="246"/>
      <c r="BD59" s="246"/>
      <c r="BE59" s="289">
        <v>850148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">
      <c r="A60" s="248" t="s">
        <v>234</v>
      </c>
      <c r="B60" s="175"/>
      <c r="C60" s="186">
        <v>175.31244230769232</v>
      </c>
      <c r="D60" s="290">
        <v>0</v>
      </c>
      <c r="E60" s="186">
        <v>414.27</v>
      </c>
      <c r="F60" s="186">
        <v>0</v>
      </c>
      <c r="G60" s="186">
        <v>0</v>
      </c>
      <c r="H60" s="186">
        <v>41.52</v>
      </c>
      <c r="I60" s="186">
        <v>0</v>
      </c>
      <c r="J60" s="186">
        <v>52.89</v>
      </c>
      <c r="K60" s="186">
        <v>0</v>
      </c>
      <c r="L60" s="186">
        <v>0</v>
      </c>
      <c r="M60" s="186">
        <v>0</v>
      </c>
      <c r="N60" s="186">
        <v>0</v>
      </c>
      <c r="O60" s="186">
        <v>140.78</v>
      </c>
      <c r="P60" s="186">
        <v>193.74</v>
      </c>
      <c r="Q60" s="186">
        <v>19.22</v>
      </c>
      <c r="R60" s="186">
        <v>0</v>
      </c>
      <c r="S60" s="186">
        <v>61.56</v>
      </c>
      <c r="T60" s="186">
        <v>13.67</v>
      </c>
      <c r="U60" s="186">
        <v>107.64</v>
      </c>
      <c r="V60" s="186">
        <v>8.73</v>
      </c>
      <c r="W60" s="186">
        <v>0</v>
      </c>
      <c r="X60" s="186">
        <v>10.210000000000001</v>
      </c>
      <c r="Y60" s="186">
        <v>65.819999999999993</v>
      </c>
      <c r="Z60" s="186">
        <v>0</v>
      </c>
      <c r="AA60" s="186">
        <v>6.6844807692307686</v>
      </c>
      <c r="AB60" s="186">
        <v>93.66</v>
      </c>
      <c r="AC60" s="186">
        <v>27.84</v>
      </c>
      <c r="AD60" s="186">
        <v>1</v>
      </c>
      <c r="AE60" s="186">
        <v>34.799999999999997</v>
      </c>
      <c r="AF60" s="186">
        <v>0</v>
      </c>
      <c r="AG60" s="186">
        <v>88.140609999999995</v>
      </c>
      <c r="AH60" s="186">
        <v>0</v>
      </c>
      <c r="AI60" s="186">
        <v>137.12</v>
      </c>
      <c r="AJ60" s="291">
        <f>36.4+786.38</f>
        <v>822.78</v>
      </c>
      <c r="AK60" s="186">
        <v>13.93</v>
      </c>
      <c r="AL60" s="186">
        <v>4.58</v>
      </c>
      <c r="AM60" s="186">
        <v>0</v>
      </c>
      <c r="AN60" s="186">
        <v>0</v>
      </c>
      <c r="AO60" s="186">
        <v>0</v>
      </c>
      <c r="AP60" s="186">
        <v>2.12</v>
      </c>
      <c r="AQ60" s="186">
        <v>0</v>
      </c>
      <c r="AR60" s="186">
        <v>349.81</v>
      </c>
      <c r="AS60" s="186">
        <v>0</v>
      </c>
      <c r="AT60" s="186">
        <v>0</v>
      </c>
      <c r="AU60" s="186">
        <v>0</v>
      </c>
      <c r="AV60" s="186">
        <v>21.72</v>
      </c>
      <c r="AW60" s="186">
        <v>0</v>
      </c>
      <c r="AX60" s="186">
        <v>0</v>
      </c>
      <c r="AY60" s="186">
        <v>0</v>
      </c>
      <c r="AZ60" s="186">
        <v>113.94</v>
      </c>
      <c r="BA60" s="186">
        <v>5.86</v>
      </c>
      <c r="BB60" s="186">
        <v>0</v>
      </c>
      <c r="BC60" s="186">
        <v>11.32</v>
      </c>
      <c r="BD60" s="186">
        <v>0</v>
      </c>
      <c r="BE60" s="186">
        <v>19.3</v>
      </c>
      <c r="BF60" s="186">
        <v>81.48</v>
      </c>
      <c r="BG60" s="186">
        <v>0</v>
      </c>
      <c r="BH60" s="186">
        <v>0</v>
      </c>
      <c r="BI60" s="186">
        <v>0.94</v>
      </c>
      <c r="BJ60" s="186">
        <v>0</v>
      </c>
      <c r="BK60" s="186">
        <v>0</v>
      </c>
      <c r="BL60" s="186">
        <v>0</v>
      </c>
      <c r="BM60" s="186">
        <v>0</v>
      </c>
      <c r="BN60" s="186">
        <v>72.72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3.66</v>
      </c>
      <c r="BU60" s="186">
        <v>0</v>
      </c>
      <c r="BV60" s="186">
        <v>0</v>
      </c>
      <c r="BW60" s="186">
        <v>0</v>
      </c>
      <c r="BX60" s="186">
        <v>0</v>
      </c>
      <c r="BY60" s="186">
        <v>45.1</v>
      </c>
      <c r="BZ60" s="186">
        <v>0</v>
      </c>
      <c r="CA60" s="186">
        <v>6.15</v>
      </c>
      <c r="CB60" s="186">
        <v>1.03</v>
      </c>
      <c r="CC60" s="186">
        <v>0.02</v>
      </c>
      <c r="CD60" s="247" t="s">
        <v>221</v>
      </c>
      <c r="CE60" s="249">
        <f t="shared" ref="CE60:CE70" si="0">SUM(C60:CD60)</f>
        <v>3271.0675330769232</v>
      </c>
    </row>
    <row r="61" spans="1:84" ht="12.6" customHeight="1" x14ac:dyDescent="0.2">
      <c r="A61" s="171" t="s">
        <v>235</v>
      </c>
      <c r="B61" s="175"/>
      <c r="C61" s="184">
        <v>15474955.470000001</v>
      </c>
      <c r="D61" s="184">
        <v>0</v>
      </c>
      <c r="E61" s="184">
        <v>33021779.859999999</v>
      </c>
      <c r="F61" s="184">
        <v>0</v>
      </c>
      <c r="G61" s="184">
        <v>0</v>
      </c>
      <c r="H61" s="184">
        <v>3544422.6700000004</v>
      </c>
      <c r="I61" s="184">
        <v>0</v>
      </c>
      <c r="J61" s="184">
        <v>4880841.3599999994</v>
      </c>
      <c r="K61" s="184">
        <v>0</v>
      </c>
      <c r="L61" s="184">
        <v>0</v>
      </c>
      <c r="M61" s="184">
        <v>0</v>
      </c>
      <c r="N61" s="184">
        <v>0</v>
      </c>
      <c r="O61" s="184">
        <v>12678471.380000001</v>
      </c>
      <c r="P61" s="184">
        <v>17801520.699999999</v>
      </c>
      <c r="Q61" s="184">
        <v>1872427.8099999998</v>
      </c>
      <c r="R61" s="184">
        <v>0</v>
      </c>
      <c r="S61" s="184">
        <v>3074684.5699999994</v>
      </c>
      <c r="T61" s="184">
        <v>1558230.45</v>
      </c>
      <c r="U61" s="184">
        <v>7735600.3699999982</v>
      </c>
      <c r="V61" s="184">
        <v>1078529.9899999998</v>
      </c>
      <c r="W61" s="184">
        <v>0</v>
      </c>
      <c r="X61" s="184">
        <v>992689.6</v>
      </c>
      <c r="Y61" s="184">
        <v>5762355.2599999998</v>
      </c>
      <c r="Z61" s="184">
        <v>0</v>
      </c>
      <c r="AA61" s="184">
        <v>625535.66999999993</v>
      </c>
      <c r="AB61" s="184">
        <v>9343537.5200000014</v>
      </c>
      <c r="AC61" s="184">
        <v>2481453.7800000003</v>
      </c>
      <c r="AD61" s="184">
        <v>137735.64999999997</v>
      </c>
      <c r="AE61" s="184">
        <v>3356016.35</v>
      </c>
      <c r="AF61" s="184">
        <v>0</v>
      </c>
      <c r="AG61" s="184">
        <v>7022829.4900000002</v>
      </c>
      <c r="AH61" s="184">
        <v>0</v>
      </c>
      <c r="AI61" s="184">
        <v>10578525.52</v>
      </c>
      <c r="AJ61" s="184">
        <v>93652697.530000016</v>
      </c>
      <c r="AK61" s="184">
        <v>1365509.5800000003</v>
      </c>
      <c r="AL61" s="184">
        <v>413283.99999999994</v>
      </c>
      <c r="AM61" s="184">
        <v>0</v>
      </c>
      <c r="AN61" s="184">
        <v>0</v>
      </c>
      <c r="AO61" s="184">
        <v>0</v>
      </c>
      <c r="AP61" s="184">
        <v>460747.88</v>
      </c>
      <c r="AQ61" s="184">
        <v>0</v>
      </c>
      <c r="AR61" s="184">
        <v>29404282.200000003</v>
      </c>
      <c r="AS61" s="184">
        <v>0</v>
      </c>
      <c r="AT61" s="184">
        <v>0</v>
      </c>
      <c r="AU61" s="184">
        <v>0</v>
      </c>
      <c r="AV61" s="184">
        <v>1823994.17</v>
      </c>
      <c r="AW61" s="184">
        <v>0</v>
      </c>
      <c r="AX61" s="184">
        <v>0</v>
      </c>
      <c r="AY61" s="184">
        <v>0</v>
      </c>
      <c r="AZ61" s="184">
        <v>4839545.24</v>
      </c>
      <c r="BA61" s="184">
        <v>225088.59</v>
      </c>
      <c r="BB61" s="184">
        <v>0</v>
      </c>
      <c r="BC61" s="184">
        <v>456900.00999999995</v>
      </c>
      <c r="BD61" s="184">
        <v>0</v>
      </c>
      <c r="BE61" s="184">
        <v>1291032.9099999999</v>
      </c>
      <c r="BF61" s="184">
        <v>3866548.8600000003</v>
      </c>
      <c r="BG61" s="184">
        <v>0</v>
      </c>
      <c r="BH61" s="184">
        <v>0</v>
      </c>
      <c r="BI61" s="184">
        <v>32292.29</v>
      </c>
      <c r="BJ61" s="184">
        <v>0</v>
      </c>
      <c r="BK61" s="184">
        <v>0</v>
      </c>
      <c r="BL61" s="184">
        <v>0</v>
      </c>
      <c r="BM61" s="184">
        <v>0</v>
      </c>
      <c r="BN61" s="184">
        <v>6168848.7300000004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220952.77999999997</v>
      </c>
      <c r="BU61" s="184">
        <v>0</v>
      </c>
      <c r="BV61" s="184">
        <v>0</v>
      </c>
      <c r="BW61" s="184">
        <v>0</v>
      </c>
      <c r="BX61" s="184">
        <v>0</v>
      </c>
      <c r="BY61" s="184">
        <v>4228048.5999999996</v>
      </c>
      <c r="BZ61" s="184">
        <v>0</v>
      </c>
      <c r="CA61" s="184">
        <v>629821.42000000016</v>
      </c>
      <c r="CB61" s="184">
        <v>75731.930000000008</v>
      </c>
      <c r="CC61" s="184">
        <v>2045939.07</v>
      </c>
      <c r="CD61" s="247" t="s">
        <v>221</v>
      </c>
      <c r="CE61" s="195">
        <f t="shared" si="0"/>
        <v>294223409.26000011</v>
      </c>
      <c r="CF61" s="250"/>
    </row>
    <row r="62" spans="1:84" ht="12.6" customHeight="1" x14ac:dyDescent="0.2">
      <c r="A62" s="171" t="s">
        <v>3</v>
      </c>
      <c r="B62" s="175"/>
      <c r="C62" s="195">
        <f>C47+C48</f>
        <v>4184646.1199999996</v>
      </c>
      <c r="D62" s="195">
        <f t="shared" ref="D62:BO62" si="1">D47+D48</f>
        <v>0</v>
      </c>
      <c r="E62" s="195">
        <f t="shared" si="1"/>
        <v>9340558.8800000027</v>
      </c>
      <c r="F62" s="195">
        <f t="shared" si="1"/>
        <v>0</v>
      </c>
      <c r="G62" s="195">
        <f t="shared" si="1"/>
        <v>0</v>
      </c>
      <c r="H62" s="195">
        <f t="shared" si="1"/>
        <v>1046706.2100000002</v>
      </c>
      <c r="I62" s="195">
        <f t="shared" si="1"/>
        <v>0</v>
      </c>
      <c r="J62" s="195">
        <f t="shared" si="1"/>
        <v>1299250.28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3409815.2700000005</v>
      </c>
      <c r="P62" s="195">
        <f t="shared" si="1"/>
        <v>4612561.21</v>
      </c>
      <c r="Q62" s="195">
        <f t="shared" si="1"/>
        <v>485552.95000000007</v>
      </c>
      <c r="R62" s="195">
        <f t="shared" si="1"/>
        <v>0</v>
      </c>
      <c r="S62" s="195">
        <f t="shared" si="1"/>
        <v>1148598.0500000003</v>
      </c>
      <c r="T62" s="195">
        <f t="shared" si="1"/>
        <v>372786.55</v>
      </c>
      <c r="U62" s="195">
        <f t="shared" si="1"/>
        <v>2283358.16</v>
      </c>
      <c r="V62" s="195">
        <f t="shared" si="1"/>
        <v>225848.06</v>
      </c>
      <c r="W62" s="195">
        <f t="shared" si="1"/>
        <v>0</v>
      </c>
      <c r="X62" s="195">
        <f t="shared" si="1"/>
        <v>257826.36</v>
      </c>
      <c r="Y62" s="195">
        <f t="shared" si="1"/>
        <v>1561992.5199999998</v>
      </c>
      <c r="Z62" s="195">
        <f t="shared" si="1"/>
        <v>0</v>
      </c>
      <c r="AA62" s="195">
        <f t="shared" si="1"/>
        <v>166095.84999999998</v>
      </c>
      <c r="AB62" s="195">
        <f t="shared" si="1"/>
        <v>2364282.8899999997</v>
      </c>
      <c r="AC62" s="195">
        <f t="shared" si="1"/>
        <v>663572.39999999991</v>
      </c>
      <c r="AD62" s="195">
        <f t="shared" si="1"/>
        <v>35956.869999999995</v>
      </c>
      <c r="AE62" s="195">
        <f t="shared" si="1"/>
        <v>873207.86</v>
      </c>
      <c r="AF62" s="195">
        <f t="shared" si="1"/>
        <v>0</v>
      </c>
      <c r="AG62" s="195">
        <f t="shared" si="1"/>
        <v>2010299.3899999997</v>
      </c>
      <c r="AH62" s="195">
        <f t="shared" si="1"/>
        <v>0</v>
      </c>
      <c r="AI62" s="195">
        <f t="shared" si="1"/>
        <v>3109381.26</v>
      </c>
      <c r="AJ62" s="195">
        <f t="shared" si="1"/>
        <v>16896915.050000001</v>
      </c>
      <c r="AK62" s="195">
        <f t="shared" si="1"/>
        <v>350358.42999999993</v>
      </c>
      <c r="AL62" s="195">
        <f t="shared" si="1"/>
        <v>110781.09999999998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52768.27</v>
      </c>
      <c r="AQ62" s="195">
        <f t="shared" si="1"/>
        <v>0</v>
      </c>
      <c r="AR62" s="195">
        <f t="shared" si="1"/>
        <v>8137459.4400000013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471128.52</v>
      </c>
      <c r="AW62" s="195">
        <f t="shared" si="1"/>
        <v>0</v>
      </c>
      <c r="AX62" s="195">
        <f t="shared" si="1"/>
        <v>0</v>
      </c>
      <c r="AY62" s="195">
        <f t="shared" si="1"/>
        <v>0</v>
      </c>
      <c r="AZ62" s="195">
        <f t="shared" si="1"/>
        <v>2083014.04</v>
      </c>
      <c r="BA62" s="195">
        <f t="shared" si="1"/>
        <v>103901.68000000001</v>
      </c>
      <c r="BB62" s="195">
        <f t="shared" si="1"/>
        <v>0</v>
      </c>
      <c r="BC62" s="195">
        <f t="shared" si="1"/>
        <v>204360.47999999998</v>
      </c>
      <c r="BD62" s="195">
        <f t="shared" si="1"/>
        <v>0</v>
      </c>
      <c r="BE62" s="195">
        <f t="shared" si="1"/>
        <v>411137.51</v>
      </c>
      <c r="BF62" s="195">
        <f t="shared" si="1"/>
        <v>1498020.54</v>
      </c>
      <c r="BG62" s="195">
        <f t="shared" si="1"/>
        <v>0</v>
      </c>
      <c r="BH62" s="195">
        <f t="shared" si="1"/>
        <v>0</v>
      </c>
      <c r="BI62" s="195">
        <f t="shared" si="1"/>
        <v>17547.150000000001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1640668.02</v>
      </c>
      <c r="BO62" s="195">
        <f t="shared" si="1"/>
        <v>0</v>
      </c>
      <c r="BP62" s="195">
        <f t="shared" ref="BP62:CC62" si="2">BP47+BP48</f>
        <v>0</v>
      </c>
      <c r="BQ62" s="195">
        <f t="shared" si="2"/>
        <v>0</v>
      </c>
      <c r="BR62" s="195">
        <f t="shared" si="2"/>
        <v>2458.3700000059684</v>
      </c>
      <c r="BS62" s="195">
        <f t="shared" si="2"/>
        <v>0</v>
      </c>
      <c r="BT62" s="195">
        <f t="shared" si="2"/>
        <v>75612.740000000005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1114728.1000000001</v>
      </c>
      <c r="BZ62" s="195">
        <f t="shared" si="2"/>
        <v>0</v>
      </c>
      <c r="CA62" s="195">
        <f t="shared" si="2"/>
        <v>160198.82</v>
      </c>
      <c r="CB62" s="195">
        <f t="shared" si="2"/>
        <v>22849.369999999995</v>
      </c>
      <c r="CC62" s="195">
        <f t="shared" si="2"/>
        <v>150931.45000000001</v>
      </c>
      <c r="CD62" s="247" t="s">
        <v>221</v>
      </c>
      <c r="CE62" s="195">
        <f t="shared" si="0"/>
        <v>72957136.220000029</v>
      </c>
      <c r="CF62" s="250"/>
    </row>
    <row r="63" spans="1:84" ht="12.6" customHeight="1" x14ac:dyDescent="0.2">
      <c r="A63" s="171" t="s">
        <v>236</v>
      </c>
      <c r="B63" s="175"/>
      <c r="C63" s="184">
        <v>3640872.44</v>
      </c>
      <c r="D63" s="184">
        <v>0</v>
      </c>
      <c r="E63" s="184">
        <v>46500</v>
      </c>
      <c r="F63" s="184">
        <v>0</v>
      </c>
      <c r="G63" s="184">
        <v>0</v>
      </c>
      <c r="H63" s="184">
        <v>347585.45</v>
      </c>
      <c r="I63" s="184">
        <v>0</v>
      </c>
      <c r="J63" s="184">
        <v>918288.31</v>
      </c>
      <c r="K63" s="184">
        <v>0</v>
      </c>
      <c r="L63" s="184">
        <v>0</v>
      </c>
      <c r="M63" s="184">
        <v>0</v>
      </c>
      <c r="N63" s="184">
        <v>0</v>
      </c>
      <c r="O63" s="184">
        <v>1613325.77</v>
      </c>
      <c r="P63" s="184">
        <v>4918424.7000000011</v>
      </c>
      <c r="Q63" s="184">
        <v>0</v>
      </c>
      <c r="R63" s="184">
        <v>0</v>
      </c>
      <c r="S63" s="184">
        <v>0</v>
      </c>
      <c r="T63" s="184">
        <v>0</v>
      </c>
      <c r="U63" s="184">
        <v>95688.42</v>
      </c>
      <c r="V63" s="184">
        <v>0</v>
      </c>
      <c r="W63" s="184">
        <v>0</v>
      </c>
      <c r="X63" s="184">
        <v>0</v>
      </c>
      <c r="Y63" s="184">
        <v>65835</v>
      </c>
      <c r="Z63" s="184">
        <v>0</v>
      </c>
      <c r="AA63" s="184">
        <v>0</v>
      </c>
      <c r="AB63" s="184">
        <v>11932.5</v>
      </c>
      <c r="AC63" s="184">
        <v>58313.8</v>
      </c>
      <c r="AD63" s="184">
        <v>0</v>
      </c>
      <c r="AE63" s="184">
        <v>0</v>
      </c>
      <c r="AF63" s="184">
        <v>0</v>
      </c>
      <c r="AG63" s="184">
        <v>7086819.5700000003</v>
      </c>
      <c r="AH63" s="184">
        <v>0</v>
      </c>
      <c r="AI63" s="184">
        <v>0</v>
      </c>
      <c r="AJ63" s="184">
        <v>1959857.37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8024627.4500000002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220800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27461.57</v>
      </c>
      <c r="CD63" s="247" t="s">
        <v>221</v>
      </c>
      <c r="CE63" s="195">
        <f t="shared" si="0"/>
        <v>29036332.350000001</v>
      </c>
      <c r="CF63" s="250"/>
    </row>
    <row r="64" spans="1:84" ht="12.6" customHeight="1" x14ac:dyDescent="0.2">
      <c r="A64" s="171" t="s">
        <v>237</v>
      </c>
      <c r="B64" s="175"/>
      <c r="C64" s="184">
        <v>2673376.6900000004</v>
      </c>
      <c r="D64" s="184">
        <v>0</v>
      </c>
      <c r="E64" s="184">
        <v>3614829.4299999997</v>
      </c>
      <c r="F64" s="184">
        <v>0</v>
      </c>
      <c r="G64" s="184">
        <v>0</v>
      </c>
      <c r="H64" s="184">
        <v>35209.789999999994</v>
      </c>
      <c r="I64" s="184">
        <v>0</v>
      </c>
      <c r="J64" s="184">
        <v>786296.46</v>
      </c>
      <c r="K64" s="184">
        <v>0</v>
      </c>
      <c r="L64" s="184">
        <v>0</v>
      </c>
      <c r="M64" s="184">
        <v>0</v>
      </c>
      <c r="N64" s="184">
        <v>0</v>
      </c>
      <c r="O64" s="184">
        <v>1498880.67</v>
      </c>
      <c r="P64" s="184">
        <v>48621250.450000197</v>
      </c>
      <c r="Q64" s="184">
        <v>138414.9</v>
      </c>
      <c r="R64" s="184">
        <v>0</v>
      </c>
      <c r="S64" s="184">
        <v>-473928.58999999985</v>
      </c>
      <c r="T64" s="184">
        <v>995925.56</v>
      </c>
      <c r="U64" s="184">
        <v>6843402.6200000001</v>
      </c>
      <c r="V64" s="184">
        <v>11893814.050000003</v>
      </c>
      <c r="W64" s="184">
        <v>0</v>
      </c>
      <c r="X64" s="184">
        <v>320998.67</v>
      </c>
      <c r="Y64" s="184">
        <v>3902490.3899999992</v>
      </c>
      <c r="Z64" s="184">
        <v>0</v>
      </c>
      <c r="AA64" s="184">
        <v>775914.56</v>
      </c>
      <c r="AB64" s="184">
        <v>16832556.860000003</v>
      </c>
      <c r="AC64" s="184">
        <v>741924.97000000009</v>
      </c>
      <c r="AD64" s="184">
        <v>58907.3</v>
      </c>
      <c r="AE64" s="184">
        <v>45942.380000000005</v>
      </c>
      <c r="AF64" s="184">
        <v>0</v>
      </c>
      <c r="AG64" s="184">
        <v>1608205.62</v>
      </c>
      <c r="AH64" s="184">
        <v>0</v>
      </c>
      <c r="AI64" s="184">
        <v>859121.20000000007</v>
      </c>
      <c r="AJ64" s="184">
        <v>6166694.6399999997</v>
      </c>
      <c r="AK64" s="184">
        <v>4387.9300000000012</v>
      </c>
      <c r="AL64" s="184">
        <v>1048.01</v>
      </c>
      <c r="AM64" s="184">
        <v>0</v>
      </c>
      <c r="AN64" s="184">
        <v>0</v>
      </c>
      <c r="AO64" s="184">
        <v>0</v>
      </c>
      <c r="AP64" s="184">
        <v>42245.260000000009</v>
      </c>
      <c r="AQ64" s="184">
        <v>0</v>
      </c>
      <c r="AR64" s="184">
        <v>1383453.9000000001</v>
      </c>
      <c r="AS64" s="184">
        <v>0</v>
      </c>
      <c r="AT64" s="184">
        <v>0</v>
      </c>
      <c r="AU64" s="184">
        <v>0</v>
      </c>
      <c r="AV64" s="184">
        <v>519740.61</v>
      </c>
      <c r="AW64" s="184">
        <v>0</v>
      </c>
      <c r="AX64" s="184">
        <v>0</v>
      </c>
      <c r="AY64" s="184">
        <v>0</v>
      </c>
      <c r="AZ64" s="184">
        <v>3139678.91</v>
      </c>
      <c r="BA64" s="184">
        <v>14107.19</v>
      </c>
      <c r="BB64" s="184">
        <v>0</v>
      </c>
      <c r="BC64" s="184">
        <v>2054.06</v>
      </c>
      <c r="BD64" s="184">
        <v>0</v>
      </c>
      <c r="BE64" s="184">
        <v>8370.4000000000033</v>
      </c>
      <c r="BF64" s="184">
        <v>547232.71000000008</v>
      </c>
      <c r="BG64" s="184">
        <v>0</v>
      </c>
      <c r="BH64" s="184">
        <v>0</v>
      </c>
      <c r="BI64" s="184">
        <v>243178.85999999996</v>
      </c>
      <c r="BJ64" s="184">
        <v>0</v>
      </c>
      <c r="BK64" s="184">
        <v>0</v>
      </c>
      <c r="BL64" s="184">
        <v>33372.85</v>
      </c>
      <c r="BM64" s="184">
        <v>0</v>
      </c>
      <c r="BN64" s="184">
        <v>5513.4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302.35000000000002</v>
      </c>
      <c r="BU64" s="184">
        <v>0</v>
      </c>
      <c r="BV64" s="184">
        <v>0</v>
      </c>
      <c r="BW64" s="184">
        <v>0</v>
      </c>
      <c r="BX64" s="184">
        <v>0</v>
      </c>
      <c r="BY64" s="184">
        <v>1822.54</v>
      </c>
      <c r="BZ64" s="184">
        <v>0</v>
      </c>
      <c r="CA64" s="184">
        <v>0</v>
      </c>
      <c r="CB64" s="184">
        <v>1668.7200000000003</v>
      </c>
      <c r="CC64" s="184">
        <v>11537.1</v>
      </c>
      <c r="CD64" s="247" t="s">
        <v>221</v>
      </c>
      <c r="CE64" s="195">
        <f t="shared" si="0"/>
        <v>113899943.42000021</v>
      </c>
      <c r="CF64" s="250"/>
    </row>
    <row r="65" spans="1:84" ht="12.6" customHeight="1" x14ac:dyDescent="0.2">
      <c r="A65" s="171" t="s">
        <v>238</v>
      </c>
      <c r="B65" s="175"/>
      <c r="C65" s="184">
        <v>3036.16</v>
      </c>
      <c r="D65" s="184">
        <v>0</v>
      </c>
      <c r="E65" s="184">
        <v>5532.6799999999994</v>
      </c>
      <c r="F65" s="184">
        <v>0</v>
      </c>
      <c r="G65" s="184">
        <v>0</v>
      </c>
      <c r="H65" s="184">
        <v>1228.7199999999998</v>
      </c>
      <c r="I65" s="184">
        <v>0</v>
      </c>
      <c r="J65" s="184">
        <v>1593.06</v>
      </c>
      <c r="K65" s="184">
        <v>0</v>
      </c>
      <c r="L65" s="184">
        <v>0</v>
      </c>
      <c r="M65" s="184">
        <v>0</v>
      </c>
      <c r="N65" s="184">
        <v>0</v>
      </c>
      <c r="O65" s="184">
        <v>4141.2499999999991</v>
      </c>
      <c r="P65" s="184">
        <v>11122.660000000002</v>
      </c>
      <c r="Q65" s="184">
        <v>809.21999999999991</v>
      </c>
      <c r="R65" s="184">
        <v>0</v>
      </c>
      <c r="S65" s="184">
        <v>0</v>
      </c>
      <c r="T65" s="184">
        <v>666.87</v>
      </c>
      <c r="U65" s="184">
        <v>239097.44999999998</v>
      </c>
      <c r="V65" s="184">
        <v>0</v>
      </c>
      <c r="W65" s="184">
        <v>0</v>
      </c>
      <c r="X65" s="184">
        <v>325.64999999999998</v>
      </c>
      <c r="Y65" s="184">
        <v>6047.76</v>
      </c>
      <c r="Z65" s="184">
        <v>0</v>
      </c>
      <c r="AA65" s="184">
        <v>0</v>
      </c>
      <c r="AB65" s="184">
        <v>5431.35</v>
      </c>
      <c r="AC65" s="184">
        <v>806.59</v>
      </c>
      <c r="AD65" s="184">
        <v>3645.2</v>
      </c>
      <c r="AE65" s="184">
        <v>1396.48</v>
      </c>
      <c r="AF65" s="184">
        <v>0</v>
      </c>
      <c r="AG65" s="184">
        <v>989.45</v>
      </c>
      <c r="AH65" s="184">
        <v>0</v>
      </c>
      <c r="AI65" s="184">
        <v>1738.85</v>
      </c>
      <c r="AJ65" s="184">
        <v>431194.55999999994</v>
      </c>
      <c r="AK65" s="184">
        <v>995.44</v>
      </c>
      <c r="AL65" s="184">
        <v>634.53</v>
      </c>
      <c r="AM65" s="184">
        <v>0</v>
      </c>
      <c r="AN65" s="184">
        <v>0</v>
      </c>
      <c r="AO65" s="184">
        <v>0</v>
      </c>
      <c r="AP65" s="184">
        <v>31998.120000000003</v>
      </c>
      <c r="AQ65" s="184">
        <v>0</v>
      </c>
      <c r="AR65" s="184">
        <v>349320.73000000004</v>
      </c>
      <c r="AS65" s="184">
        <v>0</v>
      </c>
      <c r="AT65" s="184">
        <v>0</v>
      </c>
      <c r="AU65" s="184">
        <v>0</v>
      </c>
      <c r="AV65" s="184">
        <v>9558.4599999999991</v>
      </c>
      <c r="AW65" s="184">
        <v>0</v>
      </c>
      <c r="AX65" s="184">
        <v>0</v>
      </c>
      <c r="AY65" s="184">
        <v>0</v>
      </c>
      <c r="AZ65" s="184">
        <v>2035.88</v>
      </c>
      <c r="BA65" s="184">
        <v>0</v>
      </c>
      <c r="BB65" s="184">
        <v>0</v>
      </c>
      <c r="BC65" s="184">
        <v>102.51</v>
      </c>
      <c r="BD65" s="184">
        <v>0</v>
      </c>
      <c r="BE65" s="184">
        <v>3263454.49</v>
      </c>
      <c r="BF65" s="184">
        <v>955.02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335.7</v>
      </c>
      <c r="BM65" s="184">
        <v>0</v>
      </c>
      <c r="BN65" s="184">
        <v>2592.25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1926.17</v>
      </c>
      <c r="BZ65" s="184">
        <v>0</v>
      </c>
      <c r="CA65" s="184">
        <v>0</v>
      </c>
      <c r="CB65" s="184">
        <v>0</v>
      </c>
      <c r="CC65" s="184">
        <v>24.299999999999997</v>
      </c>
      <c r="CD65" s="247" t="s">
        <v>221</v>
      </c>
      <c r="CE65" s="195">
        <f t="shared" si="0"/>
        <v>4382737.5599999996</v>
      </c>
      <c r="CF65" s="250"/>
    </row>
    <row r="66" spans="1:84" ht="12.6" customHeight="1" x14ac:dyDescent="0.2">
      <c r="A66" s="171" t="s">
        <v>239</v>
      </c>
      <c r="B66" s="175"/>
      <c r="C66" s="184">
        <v>205444.63</v>
      </c>
      <c r="D66" s="184">
        <v>0</v>
      </c>
      <c r="E66" s="184">
        <v>3072497.2115499997</v>
      </c>
      <c r="F66" s="184">
        <v>0</v>
      </c>
      <c r="G66" s="184">
        <v>170094.19945000001</v>
      </c>
      <c r="H66" s="184">
        <v>99220.95</v>
      </c>
      <c r="I66" s="184">
        <v>0</v>
      </c>
      <c r="J66" s="184">
        <v>422576.01000000007</v>
      </c>
      <c r="K66" s="184">
        <v>0</v>
      </c>
      <c r="L66" s="184">
        <v>0</v>
      </c>
      <c r="M66" s="184">
        <v>0</v>
      </c>
      <c r="N66" s="184">
        <v>0</v>
      </c>
      <c r="O66" s="184">
        <v>556763.72</v>
      </c>
      <c r="P66" s="184">
        <v>4718069.5893000001</v>
      </c>
      <c r="Q66" s="184">
        <v>19207.579999999998</v>
      </c>
      <c r="R66" s="184">
        <v>0</v>
      </c>
      <c r="S66" s="184">
        <v>843496.45262254984</v>
      </c>
      <c r="T66" s="184">
        <v>-556289.41129999992</v>
      </c>
      <c r="U66" s="184">
        <v>4049407.5500000007</v>
      </c>
      <c r="V66" s="184">
        <v>407200.12</v>
      </c>
      <c r="W66" s="184">
        <v>0</v>
      </c>
      <c r="X66" s="184">
        <v>261404.14</v>
      </c>
      <c r="Y66" s="184">
        <v>2238682.38</v>
      </c>
      <c r="Z66" s="184">
        <v>0</v>
      </c>
      <c r="AA66" s="184">
        <v>121850.64999999998</v>
      </c>
      <c r="AB66" s="184">
        <v>1635495.8600000003</v>
      </c>
      <c r="AC66" s="184">
        <v>185572.84999999998</v>
      </c>
      <c r="AD66" s="184">
        <v>2352568.5499999993</v>
      </c>
      <c r="AE66" s="184">
        <v>55982.900000000016</v>
      </c>
      <c r="AF66" s="184">
        <v>0</v>
      </c>
      <c r="AG66" s="184">
        <v>2346826.1134000001</v>
      </c>
      <c r="AH66" s="184">
        <v>0</v>
      </c>
      <c r="AI66" s="184">
        <v>168892.33</v>
      </c>
      <c r="AJ66" s="184">
        <v>12015378.529999999</v>
      </c>
      <c r="AK66" s="184">
        <v>5676.34</v>
      </c>
      <c r="AL66" s="184">
        <v>635</v>
      </c>
      <c r="AM66" s="184">
        <v>0</v>
      </c>
      <c r="AN66" s="184">
        <v>0</v>
      </c>
      <c r="AO66" s="184">
        <v>0</v>
      </c>
      <c r="AP66" s="184">
        <v>187531.88999999998</v>
      </c>
      <c r="AQ66" s="184">
        <v>0</v>
      </c>
      <c r="AR66" s="184">
        <v>12977747.67</v>
      </c>
      <c r="AS66" s="184">
        <v>0</v>
      </c>
      <c r="AT66" s="184">
        <v>0</v>
      </c>
      <c r="AU66" s="184">
        <v>0</v>
      </c>
      <c r="AV66" s="184">
        <v>3346249.3534599999</v>
      </c>
      <c r="AW66" s="184">
        <v>0</v>
      </c>
      <c r="AX66" s="184">
        <v>276736.07519999996</v>
      </c>
      <c r="AY66" s="184">
        <v>0</v>
      </c>
      <c r="AZ66" s="184">
        <v>2122057.3099999996</v>
      </c>
      <c r="BA66" s="184">
        <v>3119.02</v>
      </c>
      <c r="BB66" s="184">
        <v>0</v>
      </c>
      <c r="BC66" s="184">
        <v>0</v>
      </c>
      <c r="BD66" s="184">
        <v>0</v>
      </c>
      <c r="BE66" s="184">
        <v>16682406.0824</v>
      </c>
      <c r="BF66" s="184">
        <v>832307.57000000007</v>
      </c>
      <c r="BG66" s="184">
        <v>1191320.3351499999</v>
      </c>
      <c r="BH66" s="184">
        <v>5189987.8909999998</v>
      </c>
      <c r="BI66" s="184">
        <v>2122.39</v>
      </c>
      <c r="BJ66" s="184">
        <v>1239152.4813499996</v>
      </c>
      <c r="BK66" s="184">
        <v>8085774.038851345</v>
      </c>
      <c r="BL66" s="184">
        <v>7747443.6987800002</v>
      </c>
      <c r="BM66" s="184">
        <v>0</v>
      </c>
      <c r="BN66" s="184">
        <v>8680917.6969334725</v>
      </c>
      <c r="BO66" s="184">
        <v>903228.29629999993</v>
      </c>
      <c r="BP66" s="184">
        <v>4759957.9238999989</v>
      </c>
      <c r="BQ66" s="184">
        <v>0</v>
      </c>
      <c r="BR66" s="184">
        <v>3039001.8210499999</v>
      </c>
      <c r="BS66" s="184">
        <v>249573.94244999991</v>
      </c>
      <c r="BT66" s="184">
        <v>427796.48594999994</v>
      </c>
      <c r="BU66" s="184">
        <v>148855.08905000004</v>
      </c>
      <c r="BV66" s="184">
        <v>11140089.736275665</v>
      </c>
      <c r="BW66" s="184">
        <v>2193227.9204805247</v>
      </c>
      <c r="BX66" s="184">
        <v>11463193.24275312</v>
      </c>
      <c r="BY66" s="184">
        <v>415807.94144999998</v>
      </c>
      <c r="BZ66" s="184">
        <v>0</v>
      </c>
      <c r="CA66" s="184">
        <v>1321076.8644000001</v>
      </c>
      <c r="CB66" s="184">
        <v>159829.70585</v>
      </c>
      <c r="CC66" s="184">
        <v>41620756.132459573</v>
      </c>
      <c r="CD66" s="247" t="s">
        <v>221</v>
      </c>
      <c r="CE66" s="195">
        <f t="shared" si="0"/>
        <v>181803922.85051626</v>
      </c>
      <c r="CF66" s="250"/>
    </row>
    <row r="67" spans="1:84" ht="12.6" customHeight="1" x14ac:dyDescent="0.2">
      <c r="A67" s="171" t="s">
        <v>6</v>
      </c>
      <c r="B67" s="175"/>
      <c r="C67" s="195">
        <f>ROUND(C51+C52,0)</f>
        <v>1305755</v>
      </c>
      <c r="D67" s="195">
        <f>ROUND(D51+D52,0)</f>
        <v>0</v>
      </c>
      <c r="E67" s="195">
        <f t="shared" ref="E67:BP67" si="3">ROUND(E51+E52,0)</f>
        <v>2902651</v>
      </c>
      <c r="F67" s="195">
        <f t="shared" si="3"/>
        <v>0</v>
      </c>
      <c r="G67" s="195">
        <f t="shared" si="3"/>
        <v>0</v>
      </c>
      <c r="H67" s="195">
        <f t="shared" si="3"/>
        <v>185374</v>
      </c>
      <c r="I67" s="195">
        <f t="shared" si="3"/>
        <v>0</v>
      </c>
      <c r="J67" s="195">
        <f>ROUND(J51+J52,0)</f>
        <v>209754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748838</v>
      </c>
      <c r="P67" s="195">
        <f t="shared" si="3"/>
        <v>9978699</v>
      </c>
      <c r="Q67" s="195">
        <f t="shared" si="3"/>
        <v>52684</v>
      </c>
      <c r="R67" s="195">
        <f t="shared" si="3"/>
        <v>0</v>
      </c>
      <c r="S67" s="195">
        <f t="shared" si="3"/>
        <v>332976</v>
      </c>
      <c r="T67" s="195">
        <f t="shared" si="3"/>
        <v>28955</v>
      </c>
      <c r="U67" s="195">
        <f t="shared" si="3"/>
        <v>750907</v>
      </c>
      <c r="V67" s="195">
        <f t="shared" si="3"/>
        <v>399270</v>
      </c>
      <c r="W67" s="195">
        <f t="shared" si="3"/>
        <v>0</v>
      </c>
      <c r="X67" s="195">
        <f t="shared" si="3"/>
        <v>14032</v>
      </c>
      <c r="Y67" s="195">
        <f t="shared" si="3"/>
        <v>1148771</v>
      </c>
      <c r="Z67" s="195">
        <f t="shared" si="3"/>
        <v>0</v>
      </c>
      <c r="AA67" s="195">
        <f t="shared" si="3"/>
        <v>5426</v>
      </c>
      <c r="AB67" s="195">
        <f t="shared" si="3"/>
        <v>781490</v>
      </c>
      <c r="AC67" s="195">
        <f t="shared" si="3"/>
        <v>213488</v>
      </c>
      <c r="AD67" s="195">
        <f t="shared" si="3"/>
        <v>262586</v>
      </c>
      <c r="AE67" s="195">
        <f t="shared" si="3"/>
        <v>185540</v>
      </c>
      <c r="AF67" s="195">
        <f t="shared" si="3"/>
        <v>0</v>
      </c>
      <c r="AG67" s="195">
        <f t="shared" si="3"/>
        <v>1046781</v>
      </c>
      <c r="AH67" s="195">
        <f t="shared" si="3"/>
        <v>0</v>
      </c>
      <c r="AI67" s="195">
        <f t="shared" si="3"/>
        <v>31704</v>
      </c>
      <c r="AJ67" s="195">
        <f t="shared" si="3"/>
        <v>4530386</v>
      </c>
      <c r="AK67" s="195">
        <f t="shared" si="3"/>
        <v>90095</v>
      </c>
      <c r="AL67" s="195">
        <f t="shared" si="3"/>
        <v>61300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26606</v>
      </c>
      <c r="AQ67" s="195">
        <f t="shared" si="3"/>
        <v>0</v>
      </c>
      <c r="AR67" s="195">
        <f t="shared" si="3"/>
        <v>900441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52972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575092</v>
      </c>
      <c r="BA67" s="195">
        <f>ROUND(BA51+BA52,0)</f>
        <v>62373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4124409</v>
      </c>
      <c r="BF67" s="195">
        <f t="shared" si="3"/>
        <v>65374</v>
      </c>
      <c r="BG67" s="195">
        <f t="shared" si="3"/>
        <v>0</v>
      </c>
      <c r="BH67" s="195">
        <f t="shared" si="3"/>
        <v>0</v>
      </c>
      <c r="BI67" s="195">
        <f t="shared" si="3"/>
        <v>19663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2611339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138958</v>
      </c>
      <c r="BW67" s="195">
        <f t="shared" si="4"/>
        <v>0</v>
      </c>
      <c r="BX67" s="195">
        <f t="shared" si="4"/>
        <v>0</v>
      </c>
      <c r="BY67" s="195">
        <f t="shared" si="4"/>
        <v>17896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</v>
      </c>
      <c r="CD67" s="247" t="s">
        <v>221</v>
      </c>
      <c r="CE67" s="195">
        <f t="shared" si="0"/>
        <v>33862828</v>
      </c>
      <c r="CF67" s="250"/>
    </row>
    <row r="68" spans="1:84" ht="12.6" customHeight="1" x14ac:dyDescent="0.2">
      <c r="A68" s="171" t="s">
        <v>240</v>
      </c>
      <c r="B68" s="175"/>
      <c r="C68" s="184">
        <v>14390.639999999998</v>
      </c>
      <c r="D68" s="184">
        <v>0</v>
      </c>
      <c r="E68" s="184">
        <v>9569.8800000000047</v>
      </c>
      <c r="F68" s="184">
        <v>0</v>
      </c>
      <c r="G68" s="184">
        <v>0</v>
      </c>
      <c r="H68" s="184">
        <v>1353.56</v>
      </c>
      <c r="I68" s="184">
        <v>0</v>
      </c>
      <c r="J68" s="184">
        <v>1042.57</v>
      </c>
      <c r="K68" s="184">
        <v>0</v>
      </c>
      <c r="L68" s="184">
        <v>0</v>
      </c>
      <c r="M68" s="184">
        <v>0</v>
      </c>
      <c r="N68" s="184">
        <v>0</v>
      </c>
      <c r="O68" s="184">
        <v>187621.35</v>
      </c>
      <c r="P68" s="184">
        <v>901750.14</v>
      </c>
      <c r="Q68" s="184">
        <v>3100.59</v>
      </c>
      <c r="R68" s="184">
        <v>0</v>
      </c>
      <c r="S68" s="184">
        <v>11863.83</v>
      </c>
      <c r="T68" s="184">
        <v>468.12</v>
      </c>
      <c r="U68" s="184">
        <v>696025.39999999991</v>
      </c>
      <c r="V68" s="184">
        <v>667.02</v>
      </c>
      <c r="W68" s="184">
        <v>0</v>
      </c>
      <c r="X68" s="184">
        <v>1272.5</v>
      </c>
      <c r="Y68" s="184">
        <v>32388.59</v>
      </c>
      <c r="Z68" s="184">
        <v>0</v>
      </c>
      <c r="AA68" s="184">
        <v>284.82</v>
      </c>
      <c r="AB68" s="184">
        <v>97780.739999999991</v>
      </c>
      <c r="AC68" s="184">
        <v>102933.1</v>
      </c>
      <c r="AD68" s="184">
        <v>3108.94</v>
      </c>
      <c r="AE68" s="184">
        <v>158579.55999999997</v>
      </c>
      <c r="AF68" s="184">
        <v>0</v>
      </c>
      <c r="AG68" s="184">
        <v>34590.449999999997</v>
      </c>
      <c r="AH68" s="184">
        <v>0</v>
      </c>
      <c r="AI68" s="184">
        <v>-4468.9000000000024</v>
      </c>
      <c r="AJ68" s="184">
        <v>8725551.6199999992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161655.25</v>
      </c>
      <c r="AQ68" s="184">
        <v>0</v>
      </c>
      <c r="AR68" s="184">
        <v>1323106.3900000001</v>
      </c>
      <c r="AS68" s="184">
        <v>0</v>
      </c>
      <c r="AT68" s="184">
        <v>0</v>
      </c>
      <c r="AU68" s="184">
        <v>0</v>
      </c>
      <c r="AV68" s="184">
        <v>816845.41999999993</v>
      </c>
      <c r="AW68" s="184">
        <v>0</v>
      </c>
      <c r="AX68" s="184">
        <v>0</v>
      </c>
      <c r="AY68" s="184">
        <v>0</v>
      </c>
      <c r="AZ68" s="184">
        <v>100514.26</v>
      </c>
      <c r="BA68" s="184">
        <v>-15.47</v>
      </c>
      <c r="BB68" s="184">
        <v>0</v>
      </c>
      <c r="BC68" s="184">
        <v>1683.63</v>
      </c>
      <c r="BD68" s="184">
        <v>0</v>
      </c>
      <c r="BE68" s="184">
        <v>2489420.2799999993</v>
      </c>
      <c r="BF68" s="184">
        <v>9873.9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15804.48</v>
      </c>
      <c r="BM68" s="184">
        <v>0</v>
      </c>
      <c r="BN68" s="184">
        <v>78729.649999999994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13094.04</v>
      </c>
      <c r="BZ68" s="184">
        <v>0</v>
      </c>
      <c r="CA68" s="184">
        <v>0</v>
      </c>
      <c r="CB68" s="184">
        <v>21.46</v>
      </c>
      <c r="CC68" s="184">
        <v>8175.0300000000007</v>
      </c>
      <c r="CD68" s="247" t="s">
        <v>221</v>
      </c>
      <c r="CE68" s="195">
        <f t="shared" si="0"/>
        <v>15998782.84</v>
      </c>
      <c r="CF68" s="250"/>
    </row>
    <row r="69" spans="1:84" ht="12.6" customHeight="1" x14ac:dyDescent="0.2">
      <c r="A69" s="171" t="s">
        <v>241</v>
      </c>
      <c r="B69" s="175"/>
      <c r="C69" s="184">
        <v>76869.239999999991</v>
      </c>
      <c r="D69" s="184">
        <v>0</v>
      </c>
      <c r="E69" s="184">
        <v>160143.25000000003</v>
      </c>
      <c r="F69" s="184">
        <v>0</v>
      </c>
      <c r="G69" s="184">
        <v>0</v>
      </c>
      <c r="H69" s="184">
        <v>13921.37</v>
      </c>
      <c r="I69" s="184">
        <v>0</v>
      </c>
      <c r="J69" s="184">
        <v>62882.039999999994</v>
      </c>
      <c r="K69" s="184">
        <v>0</v>
      </c>
      <c r="L69" s="184">
        <v>0</v>
      </c>
      <c r="M69" s="184">
        <v>0</v>
      </c>
      <c r="N69" s="184">
        <v>0</v>
      </c>
      <c r="O69" s="184">
        <v>94611.94</v>
      </c>
      <c r="P69" s="184">
        <v>185764.20000000004</v>
      </c>
      <c r="Q69" s="184">
        <v>14010.660000000002</v>
      </c>
      <c r="R69" s="184">
        <v>0</v>
      </c>
      <c r="S69" s="184">
        <v>166827.09999999998</v>
      </c>
      <c r="T69" s="184">
        <v>3367.4000000000005</v>
      </c>
      <c r="U69" s="184">
        <v>203088.63000000003</v>
      </c>
      <c r="V69" s="184">
        <v>3572.5099999999998</v>
      </c>
      <c r="W69" s="184">
        <v>0</v>
      </c>
      <c r="X69" s="184">
        <v>66.06</v>
      </c>
      <c r="Y69" s="184">
        <v>8574.8599999999988</v>
      </c>
      <c r="Z69" s="184">
        <v>0</v>
      </c>
      <c r="AA69" s="184">
        <v>986.65</v>
      </c>
      <c r="AB69" s="184">
        <v>2887788.06</v>
      </c>
      <c r="AC69" s="184">
        <v>25350.43</v>
      </c>
      <c r="AD69" s="184">
        <v>39933.18</v>
      </c>
      <c r="AE69" s="184">
        <v>14847.359999999997</v>
      </c>
      <c r="AF69" s="184">
        <v>0</v>
      </c>
      <c r="AG69" s="184">
        <v>76167.97</v>
      </c>
      <c r="AH69" s="184">
        <v>0</v>
      </c>
      <c r="AI69" s="184">
        <v>68638.680000000022</v>
      </c>
      <c r="AJ69" s="184">
        <v>1854129.5299999998</v>
      </c>
      <c r="AK69" s="184">
        <v>6913.75</v>
      </c>
      <c r="AL69" s="184">
        <v>4374.21</v>
      </c>
      <c r="AM69" s="184">
        <v>0</v>
      </c>
      <c r="AN69" s="184">
        <v>0</v>
      </c>
      <c r="AO69" s="184">
        <v>0</v>
      </c>
      <c r="AP69" s="184">
        <v>6485.1300000000019</v>
      </c>
      <c r="AQ69" s="184">
        <v>0</v>
      </c>
      <c r="AR69" s="184">
        <v>1247918.54</v>
      </c>
      <c r="AS69" s="184">
        <v>0</v>
      </c>
      <c r="AT69" s="184">
        <v>0</v>
      </c>
      <c r="AU69" s="184">
        <v>0</v>
      </c>
      <c r="AV69" s="184">
        <v>951165.94999999984</v>
      </c>
      <c r="AW69" s="184">
        <v>0</v>
      </c>
      <c r="AX69" s="184">
        <v>0</v>
      </c>
      <c r="AY69" s="184">
        <v>0</v>
      </c>
      <c r="AZ69" s="184">
        <v>94262.040000000008</v>
      </c>
      <c r="BA69" s="184">
        <v>0</v>
      </c>
      <c r="BB69" s="184">
        <v>0</v>
      </c>
      <c r="BC69" s="184">
        <v>0</v>
      </c>
      <c r="BD69" s="184">
        <v>0</v>
      </c>
      <c r="BE69" s="184">
        <v>430686.08</v>
      </c>
      <c r="BF69" s="184">
        <v>4820.2599999999993</v>
      </c>
      <c r="BG69" s="184">
        <v>0</v>
      </c>
      <c r="BH69" s="184">
        <v>0</v>
      </c>
      <c r="BI69" s="184">
        <v>1180.19</v>
      </c>
      <c r="BJ69" s="184">
        <v>0</v>
      </c>
      <c r="BK69" s="184">
        <v>0</v>
      </c>
      <c r="BL69" s="184">
        <v>5422.31</v>
      </c>
      <c r="BM69" s="184">
        <v>0</v>
      </c>
      <c r="BN69" s="184">
        <v>493831.0400000001</v>
      </c>
      <c r="BO69" s="184">
        <v>0</v>
      </c>
      <c r="BP69" s="184">
        <v>0</v>
      </c>
      <c r="BQ69" s="184">
        <v>0</v>
      </c>
      <c r="BR69" s="184">
        <v>475.99</v>
      </c>
      <c r="BS69" s="184">
        <v>0</v>
      </c>
      <c r="BT69" s="184">
        <v>21148.780000000002</v>
      </c>
      <c r="BU69" s="184">
        <v>0</v>
      </c>
      <c r="BV69" s="184">
        <v>0</v>
      </c>
      <c r="BW69" s="184">
        <v>0</v>
      </c>
      <c r="BX69" s="184">
        <v>0</v>
      </c>
      <c r="BY69" s="184">
        <v>4525.71</v>
      </c>
      <c r="BZ69" s="184">
        <v>0</v>
      </c>
      <c r="CA69" s="184">
        <v>424</v>
      </c>
      <c r="CB69" s="184">
        <v>14720.68</v>
      </c>
      <c r="CC69" s="184">
        <v>-1150795.1700000002</v>
      </c>
      <c r="CD69" s="292">
        <f>7025576.56+164600.79+28745347.59</f>
        <v>35935524.939999998</v>
      </c>
      <c r="CE69" s="195">
        <f t="shared" si="0"/>
        <v>44034625.549999997</v>
      </c>
      <c r="CF69" s="250"/>
    </row>
    <row r="70" spans="1:84" ht="12.6" customHeight="1" x14ac:dyDescent="0.2">
      <c r="A70" s="171" t="s">
        <v>242</v>
      </c>
      <c r="B70" s="175"/>
      <c r="C70" s="184">
        <v>15000</v>
      </c>
      <c r="D70" s="184">
        <v>0</v>
      </c>
      <c r="E70" s="184">
        <v>13133.33</v>
      </c>
      <c r="F70" s="184">
        <v>0</v>
      </c>
      <c r="G70" s="184">
        <v>0</v>
      </c>
      <c r="H70" s="184">
        <v>8456.98</v>
      </c>
      <c r="I70" s="184">
        <v>0</v>
      </c>
      <c r="J70" s="184">
        <v>43220.77</v>
      </c>
      <c r="K70" s="184">
        <v>0</v>
      </c>
      <c r="L70" s="184">
        <v>0</v>
      </c>
      <c r="M70" s="184">
        <v>0</v>
      </c>
      <c r="N70" s="184">
        <v>0</v>
      </c>
      <c r="O70" s="184">
        <v>51324.39</v>
      </c>
      <c r="P70" s="184">
        <v>2000</v>
      </c>
      <c r="Q70" s="184">
        <v>0</v>
      </c>
      <c r="R70" s="184">
        <v>0</v>
      </c>
      <c r="S70" s="184">
        <v>0</v>
      </c>
      <c r="T70" s="184">
        <v>3133.34</v>
      </c>
      <c r="U70" s="184">
        <v>1696360.6800000002</v>
      </c>
      <c r="V70" s="184">
        <v>2901.18</v>
      </c>
      <c r="W70" s="184">
        <v>0</v>
      </c>
      <c r="X70" s="184">
        <v>0</v>
      </c>
      <c r="Y70" s="184">
        <v>42684.79</v>
      </c>
      <c r="Z70" s="184">
        <v>0</v>
      </c>
      <c r="AA70" s="184">
        <v>0</v>
      </c>
      <c r="AB70" s="184">
        <v>4805212.92</v>
      </c>
      <c r="AC70" s="184">
        <v>0</v>
      </c>
      <c r="AD70" s="184">
        <v>572604.43999999994</v>
      </c>
      <c r="AE70" s="184">
        <v>320</v>
      </c>
      <c r="AF70" s="184">
        <v>0</v>
      </c>
      <c r="AG70" s="184">
        <v>3133.33</v>
      </c>
      <c r="AH70" s="184">
        <v>0</v>
      </c>
      <c r="AI70" s="184">
        <v>9750</v>
      </c>
      <c r="AJ70" s="184">
        <v>5287438.4800000004</v>
      </c>
      <c r="AK70" s="184">
        <v>160</v>
      </c>
      <c r="AL70" s="184">
        <v>250</v>
      </c>
      <c r="AM70" s="184">
        <v>0</v>
      </c>
      <c r="AN70" s="184">
        <v>0</v>
      </c>
      <c r="AO70" s="184">
        <v>0</v>
      </c>
      <c r="AP70" s="184">
        <v>456078.43000000005</v>
      </c>
      <c r="AQ70" s="184">
        <v>0</v>
      </c>
      <c r="AR70" s="184">
        <v>338304.88999999996</v>
      </c>
      <c r="AS70" s="184">
        <v>0</v>
      </c>
      <c r="AT70" s="184">
        <v>0</v>
      </c>
      <c r="AU70" s="184">
        <v>0</v>
      </c>
      <c r="AV70" s="184">
        <v>4123399.5599999996</v>
      </c>
      <c r="AW70" s="184">
        <v>0</v>
      </c>
      <c r="AX70" s="184">
        <v>0</v>
      </c>
      <c r="AY70" s="184">
        <v>0</v>
      </c>
      <c r="AZ70" s="184">
        <v>3648038.2899999996</v>
      </c>
      <c r="BA70" s="184">
        <v>0</v>
      </c>
      <c r="BB70" s="184">
        <v>0</v>
      </c>
      <c r="BC70" s="184">
        <v>500</v>
      </c>
      <c r="BD70" s="184">
        <v>0</v>
      </c>
      <c r="BE70" s="184">
        <v>649.94000000000005</v>
      </c>
      <c r="BF70" s="184">
        <v>0</v>
      </c>
      <c r="BG70" s="184">
        <v>0</v>
      </c>
      <c r="BH70" s="184">
        <v>0</v>
      </c>
      <c r="BI70" s="184">
        <v>509705.63</v>
      </c>
      <c r="BJ70" s="184">
        <v>0</v>
      </c>
      <c r="BK70" s="184">
        <v>0</v>
      </c>
      <c r="BL70" s="184">
        <v>0</v>
      </c>
      <c r="BM70" s="184">
        <v>0</v>
      </c>
      <c r="BN70" s="184">
        <v>-3645522.48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20375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125022.39</v>
      </c>
      <c r="CC70" s="184">
        <v>0</v>
      </c>
      <c r="CD70" s="184">
        <v>0</v>
      </c>
      <c r="CE70" s="195">
        <f t="shared" si="0"/>
        <v>18133636.280000001</v>
      </c>
      <c r="CF70" s="250"/>
    </row>
    <row r="71" spans="1:84" ht="12.6" customHeight="1" x14ac:dyDescent="0.2">
      <c r="A71" s="171" t="s">
        <v>243</v>
      </c>
      <c r="B71" s="175"/>
      <c r="C71" s="195">
        <f>SUM(C61:C68)+C69-C70</f>
        <v>27564346.390000001</v>
      </c>
      <c r="D71" s="195">
        <f t="shared" ref="D71:AI71" si="5">SUM(D61:D69)-D70</f>
        <v>0</v>
      </c>
      <c r="E71" s="195">
        <f t="shared" si="5"/>
        <v>52160928.861550003</v>
      </c>
      <c r="F71" s="195">
        <f t="shared" si="5"/>
        <v>0</v>
      </c>
      <c r="G71" s="195">
        <f t="shared" si="5"/>
        <v>170094.19945000001</v>
      </c>
      <c r="H71" s="195">
        <f t="shared" si="5"/>
        <v>5266565.74</v>
      </c>
      <c r="I71" s="195">
        <f t="shared" si="5"/>
        <v>0</v>
      </c>
      <c r="J71" s="195">
        <f t="shared" si="5"/>
        <v>8539303.3199999984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20741144.960000005</v>
      </c>
      <c r="P71" s="195">
        <f t="shared" si="5"/>
        <v>91747162.649300203</v>
      </c>
      <c r="Q71" s="195">
        <f t="shared" si="5"/>
        <v>2586207.71</v>
      </c>
      <c r="R71" s="195">
        <f t="shared" si="5"/>
        <v>0</v>
      </c>
      <c r="S71" s="195">
        <f t="shared" si="5"/>
        <v>5104517.4126225486</v>
      </c>
      <c r="T71" s="195">
        <f t="shared" si="5"/>
        <v>2400977.1987000005</v>
      </c>
      <c r="U71" s="195">
        <f t="shared" si="5"/>
        <v>21200214.919999994</v>
      </c>
      <c r="V71" s="195">
        <f t="shared" si="5"/>
        <v>14006000.57</v>
      </c>
      <c r="W71" s="195">
        <f t="shared" si="5"/>
        <v>0</v>
      </c>
      <c r="X71" s="195">
        <f t="shared" si="5"/>
        <v>1848614.98</v>
      </c>
      <c r="Y71" s="195">
        <f t="shared" si="5"/>
        <v>14684452.969999999</v>
      </c>
      <c r="Z71" s="195">
        <f t="shared" si="5"/>
        <v>0</v>
      </c>
      <c r="AA71" s="195">
        <f t="shared" si="5"/>
        <v>1696094.2</v>
      </c>
      <c r="AB71" s="195">
        <f t="shared" si="5"/>
        <v>29155082.859999999</v>
      </c>
      <c r="AC71" s="195">
        <f t="shared" si="5"/>
        <v>4473415.92</v>
      </c>
      <c r="AD71" s="195">
        <f t="shared" si="5"/>
        <v>2321837.2499999995</v>
      </c>
      <c r="AE71" s="195">
        <f t="shared" si="5"/>
        <v>4691192.8900000006</v>
      </c>
      <c r="AF71" s="195">
        <f t="shared" si="5"/>
        <v>0</v>
      </c>
      <c r="AG71" s="195">
        <f t="shared" si="5"/>
        <v>21230375.7234</v>
      </c>
      <c r="AH71" s="195">
        <f t="shared" si="5"/>
        <v>0</v>
      </c>
      <c r="AI71" s="195">
        <f t="shared" si="5"/>
        <v>14803782.939999998</v>
      </c>
      <c r="AJ71" s="195">
        <f t="shared" ref="AJ71:BO71" si="6">SUM(AJ61:AJ69)-AJ70</f>
        <v>140945366.35000002</v>
      </c>
      <c r="AK71" s="195">
        <f t="shared" si="6"/>
        <v>1823776.4700000002</v>
      </c>
      <c r="AL71" s="195">
        <f t="shared" si="6"/>
        <v>591806.84999999986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513959.37</v>
      </c>
      <c r="AQ71" s="195">
        <f t="shared" si="6"/>
        <v>0</v>
      </c>
      <c r="AR71" s="195">
        <f t="shared" si="6"/>
        <v>55385424.979999997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11892882.373459999</v>
      </c>
      <c r="AW71" s="195">
        <f t="shared" si="6"/>
        <v>0</v>
      </c>
      <c r="AX71" s="195">
        <f t="shared" si="6"/>
        <v>276736.07519999996</v>
      </c>
      <c r="AY71" s="195">
        <f t="shared" si="6"/>
        <v>0</v>
      </c>
      <c r="AZ71" s="195">
        <f t="shared" si="6"/>
        <v>9308161.3900000025</v>
      </c>
      <c r="BA71" s="195">
        <f t="shared" si="6"/>
        <v>408574.01000000007</v>
      </c>
      <c r="BB71" s="195">
        <f t="shared" si="6"/>
        <v>0</v>
      </c>
      <c r="BC71" s="195">
        <f t="shared" si="6"/>
        <v>664600.69000000006</v>
      </c>
      <c r="BD71" s="195">
        <f t="shared" si="6"/>
        <v>0</v>
      </c>
      <c r="BE71" s="195">
        <f t="shared" si="6"/>
        <v>28700266.812399995</v>
      </c>
      <c r="BF71" s="195">
        <f t="shared" si="6"/>
        <v>6825132.8600000003</v>
      </c>
      <c r="BG71" s="195">
        <f t="shared" si="6"/>
        <v>1191320.3351499999</v>
      </c>
      <c r="BH71" s="195">
        <f t="shared" si="6"/>
        <v>5189987.8909999998</v>
      </c>
      <c r="BI71" s="195">
        <f t="shared" si="6"/>
        <v>-193721.75000000006</v>
      </c>
      <c r="BJ71" s="195">
        <f t="shared" si="6"/>
        <v>1239152.4813499996</v>
      </c>
      <c r="BK71" s="195">
        <f t="shared" si="6"/>
        <v>8085774.038851345</v>
      </c>
      <c r="BL71" s="195">
        <f t="shared" si="6"/>
        <v>7802620.0387800001</v>
      </c>
      <c r="BM71" s="195">
        <f t="shared" si="6"/>
        <v>0</v>
      </c>
      <c r="BN71" s="195">
        <f t="shared" si="6"/>
        <v>23548762.266933471</v>
      </c>
      <c r="BO71" s="195">
        <f t="shared" si="6"/>
        <v>903228.29629999993</v>
      </c>
      <c r="BP71" s="195">
        <f t="shared" ref="BP71:CC71" si="7">SUM(BP61:BP69)-BP70</f>
        <v>4759957.9238999989</v>
      </c>
      <c r="BQ71" s="195">
        <f t="shared" si="7"/>
        <v>0</v>
      </c>
      <c r="BR71" s="195">
        <f t="shared" si="7"/>
        <v>3041936.1810500063</v>
      </c>
      <c r="BS71" s="195">
        <f t="shared" si="7"/>
        <v>249573.94244999991</v>
      </c>
      <c r="BT71" s="195">
        <f t="shared" si="7"/>
        <v>725438.13594999991</v>
      </c>
      <c r="BU71" s="195">
        <f t="shared" si="7"/>
        <v>148855.08905000004</v>
      </c>
      <c r="BV71" s="195">
        <f t="shared" si="7"/>
        <v>11279047.736275665</v>
      </c>
      <c r="BW71" s="195">
        <f t="shared" si="7"/>
        <v>2193227.9204805247</v>
      </c>
      <c r="BX71" s="195">
        <f t="shared" si="7"/>
        <v>11463193.24275312</v>
      </c>
      <c r="BY71" s="195">
        <f t="shared" si="7"/>
        <v>5797849.101449999</v>
      </c>
      <c r="BZ71" s="195">
        <f t="shared" si="7"/>
        <v>0</v>
      </c>
      <c r="CA71" s="195">
        <f t="shared" si="7"/>
        <v>2111521.1044000005</v>
      </c>
      <c r="CB71" s="195">
        <f t="shared" si="7"/>
        <v>149799.47584999999</v>
      </c>
      <c r="CC71" s="195">
        <f t="shared" si="7"/>
        <v>42714031.482459575</v>
      </c>
      <c r="CD71" s="243">
        <f>CD69-CD70</f>
        <v>35935524.939999998</v>
      </c>
      <c r="CE71" s="195">
        <f>SUM(CE61:CE69)-CE70</f>
        <v>772066081.77051663</v>
      </c>
      <c r="CF71" s="250"/>
    </row>
    <row r="72" spans="1:84" ht="12.6" customHeight="1" x14ac:dyDescent="0.2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</row>
    <row r="73" spans="1:84" ht="12.6" customHeight="1" x14ac:dyDescent="0.2">
      <c r="A73" s="171" t="s">
        <v>245</v>
      </c>
      <c r="B73" s="175"/>
      <c r="C73" s="184">
        <v>103108242.73000002</v>
      </c>
      <c r="D73" s="184">
        <v>0</v>
      </c>
      <c r="E73" s="184">
        <v>223391974.67999995</v>
      </c>
      <c r="F73" s="184">
        <v>0</v>
      </c>
      <c r="G73" s="184">
        <v>0</v>
      </c>
      <c r="H73" s="184">
        <v>19919171.980000004</v>
      </c>
      <c r="I73" s="184">
        <v>0</v>
      </c>
      <c r="J73" s="184">
        <v>48143161.229999989</v>
      </c>
      <c r="K73" s="184">
        <v>0</v>
      </c>
      <c r="L73" s="184">
        <v>0</v>
      </c>
      <c r="M73" s="184">
        <v>0</v>
      </c>
      <c r="N73" s="184">
        <v>0</v>
      </c>
      <c r="O73" s="184">
        <v>132666706.41</v>
      </c>
      <c r="P73" s="184">
        <v>532433330.89999998</v>
      </c>
      <c r="Q73" s="184">
        <v>15198269.490000002</v>
      </c>
      <c r="R73" s="184">
        <v>0</v>
      </c>
      <c r="S73" s="184">
        <v>0</v>
      </c>
      <c r="T73" s="184">
        <v>12318367.75</v>
      </c>
      <c r="U73" s="184">
        <v>102211637.50999999</v>
      </c>
      <c r="V73" s="184">
        <v>34323895.439999998</v>
      </c>
      <c r="W73" s="184">
        <v>0</v>
      </c>
      <c r="X73" s="184">
        <v>66736788.920000009</v>
      </c>
      <c r="Y73" s="184">
        <v>66943845.68999999</v>
      </c>
      <c r="Z73" s="184">
        <v>0</v>
      </c>
      <c r="AA73" s="184">
        <v>4121080.9699999993</v>
      </c>
      <c r="AB73" s="184">
        <v>290419303.39999998</v>
      </c>
      <c r="AC73" s="184">
        <v>58993710.18</v>
      </c>
      <c r="AD73" s="184">
        <v>9194436.0200000014</v>
      </c>
      <c r="AE73" s="184">
        <v>8187153.1600000001</v>
      </c>
      <c r="AF73" s="184">
        <v>0</v>
      </c>
      <c r="AG73" s="184">
        <v>63076688.789999999</v>
      </c>
      <c r="AH73" s="184">
        <v>0</v>
      </c>
      <c r="AI73" s="184">
        <v>49686320.769999996</v>
      </c>
      <c r="AJ73" s="184">
        <v>59077.849999999991</v>
      </c>
      <c r="AK73" s="184">
        <v>6001370.1500000004</v>
      </c>
      <c r="AL73" s="184">
        <v>2343972.2800000003</v>
      </c>
      <c r="AM73" s="184">
        <v>0</v>
      </c>
      <c r="AN73" s="184">
        <v>0</v>
      </c>
      <c r="AO73" s="184">
        <v>0</v>
      </c>
      <c r="AP73" s="184">
        <v>23382.18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97014.870000000112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1849598903.3499999</v>
      </c>
      <c r="CF73" s="250"/>
    </row>
    <row r="74" spans="1:84" ht="12.6" customHeight="1" x14ac:dyDescent="0.2">
      <c r="A74" s="171" t="s">
        <v>246</v>
      </c>
      <c r="B74" s="175"/>
      <c r="C74" s="184">
        <v>426847.15</v>
      </c>
      <c r="D74" s="184">
        <v>0</v>
      </c>
      <c r="E74" s="184">
        <v>19206823.530000001</v>
      </c>
      <c r="F74" s="184">
        <v>0</v>
      </c>
      <c r="G74" s="184">
        <v>0</v>
      </c>
      <c r="H74" s="184">
        <v>1062923.55</v>
      </c>
      <c r="I74" s="184">
        <v>0</v>
      </c>
      <c r="J74" s="184">
        <v>628.8599999999999</v>
      </c>
      <c r="K74" s="184">
        <v>0</v>
      </c>
      <c r="L74" s="184">
        <v>0</v>
      </c>
      <c r="M74" s="184">
        <v>0</v>
      </c>
      <c r="N74" s="184">
        <v>0</v>
      </c>
      <c r="O74" s="184">
        <v>10888246.739999998</v>
      </c>
      <c r="P74" s="184">
        <v>436226191.91000003</v>
      </c>
      <c r="Q74" s="184">
        <v>11040690.049999999</v>
      </c>
      <c r="R74" s="184">
        <v>0</v>
      </c>
      <c r="S74" s="184">
        <v>0</v>
      </c>
      <c r="T74" s="184">
        <v>483811.59</v>
      </c>
      <c r="U74" s="184">
        <v>36947234.760000005</v>
      </c>
      <c r="V74" s="184">
        <v>68190952.560000002</v>
      </c>
      <c r="W74" s="184">
        <v>0</v>
      </c>
      <c r="X74" s="184">
        <v>77865351.310000002</v>
      </c>
      <c r="Y74" s="184">
        <v>67580171.530000001</v>
      </c>
      <c r="Z74" s="184">
        <v>0</v>
      </c>
      <c r="AA74" s="184">
        <v>20505251.740000002</v>
      </c>
      <c r="AB74" s="184">
        <v>115104425.08</v>
      </c>
      <c r="AC74" s="184">
        <v>7560155.5800000001</v>
      </c>
      <c r="AD74" s="184">
        <v>528707.83000000007</v>
      </c>
      <c r="AE74" s="184">
        <v>16138578.91</v>
      </c>
      <c r="AF74" s="184">
        <v>0</v>
      </c>
      <c r="AG74" s="184">
        <v>115548181.39</v>
      </c>
      <c r="AH74" s="184">
        <v>0</v>
      </c>
      <c r="AI74" s="184">
        <v>40292809.469999999</v>
      </c>
      <c r="AJ74" s="184">
        <v>244195161.88999999</v>
      </c>
      <c r="AK74" s="184">
        <v>4215701.87</v>
      </c>
      <c r="AL74" s="184">
        <v>783901.7</v>
      </c>
      <c r="AM74" s="184">
        <v>0</v>
      </c>
      <c r="AN74" s="184">
        <v>0</v>
      </c>
      <c r="AO74" s="184">
        <v>0</v>
      </c>
      <c r="AP74" s="184">
        <v>3812062.7</v>
      </c>
      <c r="AQ74" s="184">
        <v>0</v>
      </c>
      <c r="AR74" s="184">
        <v>72461817.030000001</v>
      </c>
      <c r="AS74" s="184">
        <v>0</v>
      </c>
      <c r="AT74" s="184">
        <v>0</v>
      </c>
      <c r="AU74" s="184">
        <v>0</v>
      </c>
      <c r="AV74" s="184">
        <v>244308.1400000001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1371310936.8700001</v>
      </c>
      <c r="CF74" s="250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103535089.88000003</v>
      </c>
      <c r="D75" s="195">
        <f t="shared" si="9"/>
        <v>0</v>
      </c>
      <c r="E75" s="195">
        <f t="shared" si="9"/>
        <v>242598798.20999995</v>
      </c>
      <c r="F75" s="195">
        <f t="shared" si="9"/>
        <v>0</v>
      </c>
      <c r="G75" s="195">
        <f t="shared" si="9"/>
        <v>0</v>
      </c>
      <c r="H75" s="195">
        <f t="shared" si="9"/>
        <v>20982095.530000005</v>
      </c>
      <c r="I75" s="195">
        <f t="shared" si="9"/>
        <v>0</v>
      </c>
      <c r="J75" s="195">
        <f t="shared" si="9"/>
        <v>48143790.089999989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143554953.15000001</v>
      </c>
      <c r="P75" s="195">
        <f t="shared" si="9"/>
        <v>968659522.80999994</v>
      </c>
      <c r="Q75" s="195">
        <f t="shared" si="9"/>
        <v>26238959.539999999</v>
      </c>
      <c r="R75" s="195">
        <f t="shared" si="9"/>
        <v>0</v>
      </c>
      <c r="S75" s="195">
        <f t="shared" si="9"/>
        <v>0</v>
      </c>
      <c r="T75" s="195">
        <f t="shared" si="9"/>
        <v>12802179.34</v>
      </c>
      <c r="U75" s="195">
        <f t="shared" si="9"/>
        <v>139158872.26999998</v>
      </c>
      <c r="V75" s="195">
        <f t="shared" si="9"/>
        <v>102514848</v>
      </c>
      <c r="W75" s="195">
        <f t="shared" si="9"/>
        <v>0</v>
      </c>
      <c r="X75" s="195">
        <f t="shared" si="9"/>
        <v>144602140.23000002</v>
      </c>
      <c r="Y75" s="195">
        <f t="shared" si="9"/>
        <v>134524017.22</v>
      </c>
      <c r="Z75" s="195">
        <f t="shared" si="9"/>
        <v>0</v>
      </c>
      <c r="AA75" s="195">
        <f t="shared" si="9"/>
        <v>24626332.710000001</v>
      </c>
      <c r="AB75" s="195">
        <f t="shared" si="9"/>
        <v>405523728.47999996</v>
      </c>
      <c r="AC75" s="195">
        <f t="shared" si="9"/>
        <v>66553865.759999998</v>
      </c>
      <c r="AD75" s="195">
        <f t="shared" si="9"/>
        <v>9723143.8500000015</v>
      </c>
      <c r="AE75" s="195">
        <f t="shared" si="9"/>
        <v>24325732.07</v>
      </c>
      <c r="AF75" s="195">
        <f t="shared" si="9"/>
        <v>0</v>
      </c>
      <c r="AG75" s="195">
        <f t="shared" si="9"/>
        <v>178624870.18000001</v>
      </c>
      <c r="AH75" s="195">
        <f t="shared" si="9"/>
        <v>0</v>
      </c>
      <c r="AI75" s="195">
        <f t="shared" si="9"/>
        <v>89979130.239999995</v>
      </c>
      <c r="AJ75" s="195">
        <f t="shared" si="9"/>
        <v>244254239.73999998</v>
      </c>
      <c r="AK75" s="195">
        <f t="shared" si="9"/>
        <v>10217072.02</v>
      </c>
      <c r="AL75" s="195">
        <f t="shared" si="9"/>
        <v>3127873.9800000004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3835444.8800000004</v>
      </c>
      <c r="AQ75" s="195">
        <f t="shared" si="9"/>
        <v>0</v>
      </c>
      <c r="AR75" s="195">
        <f t="shared" si="9"/>
        <v>72461817.030000001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341323.01000000024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3220909840.2200003</v>
      </c>
      <c r="CF75" s="250"/>
    </row>
    <row r="76" spans="1:84" ht="12.6" customHeight="1" x14ac:dyDescent="0.2">
      <c r="A76" s="171" t="s">
        <v>248</v>
      </c>
      <c r="B76" s="175"/>
      <c r="C76" s="292">
        <v>20827</v>
      </c>
      <c r="D76" s="292">
        <v>0</v>
      </c>
      <c r="E76" s="292">
        <v>104971.58749999999</v>
      </c>
      <c r="F76" s="292">
        <v>0</v>
      </c>
      <c r="G76" s="292">
        <v>0</v>
      </c>
      <c r="H76" s="292">
        <v>2001</v>
      </c>
      <c r="I76" s="292">
        <v>0</v>
      </c>
      <c r="J76" s="292">
        <v>2522</v>
      </c>
      <c r="K76" s="292">
        <v>0</v>
      </c>
      <c r="L76" s="292">
        <v>0</v>
      </c>
      <c r="M76" s="292">
        <v>0</v>
      </c>
      <c r="N76" s="292">
        <v>0</v>
      </c>
      <c r="O76" s="292">
        <v>17618.916666666668</v>
      </c>
      <c r="P76" s="292">
        <v>89564</v>
      </c>
      <c r="Q76" s="292">
        <v>2369</v>
      </c>
      <c r="R76" s="292">
        <v>0</v>
      </c>
      <c r="S76" s="292">
        <v>17441</v>
      </c>
      <c r="T76" s="292">
        <v>0</v>
      </c>
      <c r="U76" s="292">
        <v>16657</v>
      </c>
      <c r="V76" s="292">
        <v>3310</v>
      </c>
      <c r="W76" s="292">
        <v>0</v>
      </c>
      <c r="X76" s="292">
        <v>0</v>
      </c>
      <c r="Y76" s="292">
        <v>46104</v>
      </c>
      <c r="Z76" s="292">
        <v>0</v>
      </c>
      <c r="AA76" s="292">
        <v>0</v>
      </c>
      <c r="AB76" s="292">
        <v>16636</v>
      </c>
      <c r="AC76" s="292">
        <v>981</v>
      </c>
      <c r="AD76" s="292">
        <v>16507</v>
      </c>
      <c r="AE76" s="292">
        <v>11376</v>
      </c>
      <c r="AF76" s="292">
        <v>0</v>
      </c>
      <c r="AG76" s="292">
        <v>20182</v>
      </c>
      <c r="AH76" s="292">
        <v>0</v>
      </c>
      <c r="AI76" s="292">
        <v>0</v>
      </c>
      <c r="AJ76" s="292">
        <v>22003</v>
      </c>
      <c r="AK76" s="292">
        <v>5815</v>
      </c>
      <c r="AL76" s="292">
        <v>4171</v>
      </c>
      <c r="AM76" s="292">
        <v>0</v>
      </c>
      <c r="AN76" s="292">
        <v>0</v>
      </c>
      <c r="AO76" s="292">
        <v>0</v>
      </c>
      <c r="AP76" s="292">
        <v>1797</v>
      </c>
      <c r="AQ76" s="292">
        <v>0</v>
      </c>
      <c r="AR76" s="292">
        <v>44604</v>
      </c>
      <c r="AS76" s="292">
        <v>0</v>
      </c>
      <c r="AT76" s="292">
        <v>0</v>
      </c>
      <c r="AU76" s="292">
        <v>0</v>
      </c>
      <c r="AV76" s="292">
        <v>1394</v>
      </c>
      <c r="AW76" s="292">
        <v>0</v>
      </c>
      <c r="AX76" s="292">
        <v>0</v>
      </c>
      <c r="AY76" s="292">
        <v>0</v>
      </c>
      <c r="AZ76" s="292">
        <v>19038.408800000001</v>
      </c>
      <c r="BA76" s="292">
        <v>4244</v>
      </c>
      <c r="BB76" s="292">
        <v>0</v>
      </c>
      <c r="BC76" s="292">
        <v>0</v>
      </c>
      <c r="BD76" s="292">
        <v>0</v>
      </c>
      <c r="BE76" s="292">
        <v>174493</v>
      </c>
      <c r="BF76" s="292">
        <v>2066</v>
      </c>
      <c r="BG76" s="292">
        <v>0</v>
      </c>
      <c r="BH76" s="292">
        <v>0</v>
      </c>
      <c r="BI76" s="292">
        <v>1333</v>
      </c>
      <c r="BJ76" s="292">
        <v>0</v>
      </c>
      <c r="BK76" s="292">
        <v>0</v>
      </c>
      <c r="BL76" s="292">
        <v>0</v>
      </c>
      <c r="BM76" s="292">
        <v>0</v>
      </c>
      <c r="BN76" s="292">
        <v>169688.95833333331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9455</v>
      </c>
      <c r="BW76" s="292">
        <v>0</v>
      </c>
      <c r="BX76" s="292">
        <v>0</v>
      </c>
      <c r="BY76" s="292">
        <v>978</v>
      </c>
      <c r="BZ76" s="292">
        <v>0</v>
      </c>
      <c r="CA76" s="292">
        <v>0</v>
      </c>
      <c r="CB76" s="292">
        <v>0</v>
      </c>
      <c r="CC76" s="292" t="s">
        <v>1266</v>
      </c>
      <c r="CD76" s="247" t="s">
        <v>221</v>
      </c>
      <c r="CE76" s="195">
        <f t="shared" si="8"/>
        <v>850147.8713</v>
      </c>
      <c r="CF76" s="195">
        <f>+BE59-CE76</f>
        <v>0.12870000000111759</v>
      </c>
    </row>
    <row r="77" spans="1:84" ht="12.6" customHeight="1" x14ac:dyDescent="0.2">
      <c r="A77" s="171" t="s">
        <v>249</v>
      </c>
      <c r="B77" s="175"/>
      <c r="C77" s="184">
        <v>66835</v>
      </c>
      <c r="D77" s="184"/>
      <c r="E77" s="184">
        <f>141246+4430+77774</f>
        <v>223450</v>
      </c>
      <c r="F77" s="184"/>
      <c r="G77" s="184"/>
      <c r="H77" s="184">
        <v>20222</v>
      </c>
      <c r="I77" s="184"/>
      <c r="J77" s="184"/>
      <c r="K77" s="184"/>
      <c r="L77" s="184"/>
      <c r="M77" s="184"/>
      <c r="N77" s="184"/>
      <c r="O77" s="184"/>
      <c r="P77" s="184">
        <v>3618</v>
      </c>
      <c r="Q77" s="184"/>
      <c r="R77" s="184"/>
      <c r="S77" s="184"/>
      <c r="T77" s="184">
        <f>23029+40422</f>
        <v>63451</v>
      </c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9236</v>
      </c>
      <c r="AH77" s="292"/>
      <c r="AI77" s="292"/>
      <c r="AJ77" s="184"/>
      <c r="AK77" s="184"/>
      <c r="AL77" s="184"/>
      <c r="AM77" s="184"/>
      <c r="AN77" s="184"/>
      <c r="AO77" s="292"/>
      <c r="AP77" s="292"/>
      <c r="AQ77" s="292"/>
      <c r="AR77" s="292"/>
      <c r="AS77" s="292"/>
      <c r="AT77" s="292"/>
      <c r="AU77" s="292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>
        <v>29293</v>
      </c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416105</v>
      </c>
      <c r="CF77" s="195">
        <f>+AY59-CE77</f>
        <v>0</v>
      </c>
    </row>
    <row r="78" spans="1:84" ht="12" customHeight="1" x14ac:dyDescent="0.2">
      <c r="A78" s="171" t="s">
        <v>250</v>
      </c>
      <c r="B78" s="175"/>
      <c r="C78" s="184">
        <v>7279.9997250898814</v>
      </c>
      <c r="D78" s="184">
        <v>0</v>
      </c>
      <c r="E78" s="184">
        <v>36692.424647920896</v>
      </c>
      <c r="F78" s="184">
        <v>0</v>
      </c>
      <c r="G78" s="184">
        <v>0</v>
      </c>
      <c r="H78" s="184">
        <v>699.44204397680198</v>
      </c>
      <c r="I78" s="184">
        <v>0</v>
      </c>
      <c r="J78" s="184">
        <v>881.55563963492978</v>
      </c>
      <c r="K78" s="184">
        <v>0</v>
      </c>
      <c r="L78" s="184">
        <v>0</v>
      </c>
      <c r="M78" s="184">
        <v>0</v>
      </c>
      <c r="N78" s="184">
        <v>0</v>
      </c>
      <c r="O78" s="184">
        <v>6158.6262298801976</v>
      </c>
      <c r="P78" s="184">
        <v>31306.760233252517</v>
      </c>
      <c r="Q78" s="184">
        <v>828.0750635587425</v>
      </c>
      <c r="R78" s="184">
        <v>0</v>
      </c>
      <c r="S78" s="184">
        <v>6096.4361264364825</v>
      </c>
      <c r="T78" s="184">
        <v>0</v>
      </c>
      <c r="U78" s="184">
        <v>5822.391867327131</v>
      </c>
      <c r="V78" s="184">
        <v>1156.9980837397372</v>
      </c>
      <c r="W78" s="184">
        <v>0</v>
      </c>
      <c r="X78" s="184">
        <v>0</v>
      </c>
      <c r="Y78" s="184">
        <v>16115.480257624426</v>
      </c>
      <c r="Z78" s="184">
        <v>0</v>
      </c>
      <c r="AA78" s="184">
        <v>0</v>
      </c>
      <c r="AB78" s="184">
        <v>5815.0513961009874</v>
      </c>
      <c r="AC78" s="184">
        <v>342.90487013555355</v>
      </c>
      <c r="AD78" s="184">
        <v>5769.9599299975353</v>
      </c>
      <c r="AE78" s="184">
        <v>3976.4381270765107</v>
      </c>
      <c r="AF78" s="184">
        <v>0</v>
      </c>
      <c r="AG78" s="184">
        <v>7054.5423945726216</v>
      </c>
      <c r="AH78" s="184">
        <v>0</v>
      </c>
      <c r="AI78" s="184">
        <v>0</v>
      </c>
      <c r="AJ78" s="184">
        <v>7691.0661137539091</v>
      </c>
      <c r="AK78" s="184">
        <v>2032.6114371439796</v>
      </c>
      <c r="AL78" s="184">
        <v>1457.9574040116147</v>
      </c>
      <c r="AM78" s="184">
        <v>0</v>
      </c>
      <c r="AN78" s="184">
        <v>0</v>
      </c>
      <c r="AO78" s="184">
        <v>0</v>
      </c>
      <c r="AP78" s="184">
        <v>628.13460920855221</v>
      </c>
      <c r="AQ78" s="184">
        <v>0</v>
      </c>
      <c r="AR78" s="184">
        <v>15591.160884328472</v>
      </c>
      <c r="AS78" s="184">
        <v>0</v>
      </c>
      <c r="AT78" s="184">
        <v>0</v>
      </c>
      <c r="AU78" s="184">
        <v>0</v>
      </c>
      <c r="AV78" s="184">
        <v>487.26747091637276</v>
      </c>
      <c r="AW78" s="184">
        <v>0</v>
      </c>
      <c r="AX78" s="247" t="s">
        <v>221</v>
      </c>
      <c r="AY78" s="247" t="s">
        <v>221</v>
      </c>
      <c r="AZ78" s="247" t="s">
        <v>221</v>
      </c>
      <c r="BA78" s="184">
        <v>1483.4742801786842</v>
      </c>
      <c r="BB78" s="184">
        <v>0</v>
      </c>
      <c r="BC78" s="184">
        <v>0</v>
      </c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0</v>
      </c>
      <c r="BI78" s="184">
        <v>465.94514973567067</v>
      </c>
      <c r="BJ78" s="247" t="s">
        <v>221</v>
      </c>
      <c r="BK78" s="184">
        <v>0</v>
      </c>
      <c r="BL78" s="184">
        <v>0</v>
      </c>
      <c r="BM78" s="184">
        <v>0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0</v>
      </c>
      <c r="BT78" s="184">
        <v>0</v>
      </c>
      <c r="BU78" s="184">
        <v>0</v>
      </c>
      <c r="BV78" s="184">
        <v>3304.9597830088264</v>
      </c>
      <c r="BW78" s="184">
        <v>0</v>
      </c>
      <c r="BX78" s="184">
        <v>0</v>
      </c>
      <c r="BY78" s="184">
        <v>341.8562313889617</v>
      </c>
      <c r="BZ78" s="184">
        <v>0</v>
      </c>
      <c r="CA78" s="184">
        <v>0</v>
      </c>
      <c r="CB78" s="184">
        <v>0</v>
      </c>
      <c r="CC78" s="247" t="s">
        <v>221</v>
      </c>
      <c r="CD78" s="247" t="s">
        <v>221</v>
      </c>
      <c r="CE78" s="195">
        <f t="shared" si="8"/>
        <v>169481.52000000002</v>
      </c>
      <c r="CF78" s="195"/>
    </row>
    <row r="79" spans="1:84" ht="12.6" customHeight="1" x14ac:dyDescent="0.2">
      <c r="A79" s="171" t="s">
        <v>251</v>
      </c>
      <c r="B79" s="175"/>
      <c r="C79" s="223">
        <v>276905.26999999996</v>
      </c>
      <c r="D79" s="184">
        <v>0</v>
      </c>
      <c r="E79" s="223">
        <f>9214.87+807590.55</f>
        <v>816805.42</v>
      </c>
      <c r="F79" s="223" t="s">
        <v>1266</v>
      </c>
      <c r="G79" s="223" t="s">
        <v>1266</v>
      </c>
      <c r="H79" s="223">
        <v>26047.55</v>
      </c>
      <c r="I79" s="223" t="s">
        <v>1266</v>
      </c>
      <c r="J79" s="223" t="s">
        <v>1266</v>
      </c>
      <c r="K79" s="223" t="s">
        <v>1266</v>
      </c>
      <c r="L79" s="223" t="s">
        <v>1266</v>
      </c>
      <c r="M79" s="223" t="s">
        <v>1266</v>
      </c>
      <c r="N79" s="223" t="s">
        <v>1266</v>
      </c>
      <c r="O79" s="223">
        <v>295333.21000000002</v>
      </c>
      <c r="P79" s="223">
        <v>739794.85000000009</v>
      </c>
      <c r="Q79" s="223">
        <v>56493.479999999996</v>
      </c>
      <c r="R79" s="223" t="s">
        <v>1266</v>
      </c>
      <c r="S79" s="223">
        <v>16508.52</v>
      </c>
      <c r="T79" s="223" t="s">
        <v>1266</v>
      </c>
      <c r="U79" s="223">
        <v>9767.33</v>
      </c>
      <c r="V79" s="223" t="s">
        <v>1266</v>
      </c>
      <c r="W79" s="223" t="s">
        <v>1266</v>
      </c>
      <c r="X79" s="223" t="s">
        <v>1266</v>
      </c>
      <c r="Y79" s="223">
        <v>127482.87000000001</v>
      </c>
      <c r="Z79" s="223" t="s">
        <v>1266</v>
      </c>
      <c r="AA79" s="223">
        <v>12144.51</v>
      </c>
      <c r="AB79" s="223" t="s">
        <v>1266</v>
      </c>
      <c r="AC79" s="223" t="s">
        <v>1266</v>
      </c>
      <c r="AD79" s="223">
        <v>23578.48</v>
      </c>
      <c r="AE79" s="223" t="s">
        <v>1266</v>
      </c>
      <c r="AF79" s="223" t="s">
        <v>1266</v>
      </c>
      <c r="AG79" s="223">
        <v>307170.28999999998</v>
      </c>
      <c r="AH79" s="223" t="s">
        <v>1266</v>
      </c>
      <c r="AI79" s="223" t="s">
        <v>1266</v>
      </c>
      <c r="AJ79" s="223">
        <v>24057.88</v>
      </c>
      <c r="AK79" s="223">
        <v>22405.54</v>
      </c>
      <c r="AL79" s="223" t="s">
        <v>1266</v>
      </c>
      <c r="AM79" s="223" t="s">
        <v>1266</v>
      </c>
      <c r="AN79" s="223" t="s">
        <v>1266</v>
      </c>
      <c r="AO79" s="223" t="s">
        <v>1266</v>
      </c>
      <c r="AP79" s="223">
        <v>97.65</v>
      </c>
      <c r="AQ79" s="223" t="s">
        <v>1266</v>
      </c>
      <c r="AR79" s="223" t="s">
        <v>1266</v>
      </c>
      <c r="AS79" s="223" t="s">
        <v>1266</v>
      </c>
      <c r="AT79" s="223" t="s">
        <v>1266</v>
      </c>
      <c r="AU79" s="223" t="s">
        <v>1266</v>
      </c>
      <c r="AV79" s="223">
        <v>13119.97</v>
      </c>
      <c r="AW79" s="223" t="s">
        <v>1266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223" t="str">
        <f>IFERROR(VLOOKUP(VALUE(BH$55),#REF!, 2,FALSE),"")</f>
        <v/>
      </c>
      <c r="BI79" s="223" t="str">
        <f>IFERROR(VLOOKUP(VALUE(BI$55),#REF!, 2,FALSE),"")</f>
        <v/>
      </c>
      <c r="BJ79" s="247" t="s">
        <v>221</v>
      </c>
      <c r="BK79" s="223" t="str">
        <f>IFERROR(VLOOKUP(VALUE(BK$55),#REF!, 2,FALSE),"")</f>
        <v/>
      </c>
      <c r="BL79" s="223" t="str">
        <f>IFERROR(VLOOKUP(VALUE(BL$55),#REF!, 2,FALSE),"")</f>
        <v/>
      </c>
      <c r="BM79" s="223" t="str">
        <f>IFERROR(VLOOKUP(VALUE(BM$55),#REF!, 2,FALSE),"")</f>
        <v/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223" t="str">
        <f>IFERROR(VLOOKUP(VALUE(BS$55),#REF!, 2,FALSE),"")</f>
        <v/>
      </c>
      <c r="BT79" s="223" t="str">
        <f>IFERROR(VLOOKUP(VALUE(BT$55),#REF!, 2,FALSE),"")</f>
        <v/>
      </c>
      <c r="BU79" s="223" t="str">
        <f>IFERROR(VLOOKUP(VALUE(BU$55),#REF!, 2,FALSE),"")</f>
        <v/>
      </c>
      <c r="BV79" s="223" t="str">
        <f>IFERROR(VLOOKUP(VALUE(BV$55),#REF!, 2,FALSE),"")</f>
        <v/>
      </c>
      <c r="BW79" s="223" t="str">
        <f>IFERROR(VLOOKUP(VALUE(BW$55),#REF!, 2,FALSE),"")</f>
        <v/>
      </c>
      <c r="BX79" s="223" t="str">
        <f>IFERROR(VLOOKUP(VALUE(BX$55),#REF!, 2,FALSE),"")</f>
        <v/>
      </c>
      <c r="BY79" s="223" t="str">
        <f>IFERROR(VLOOKUP(VALUE(BY$55),#REF!, 2,FALSE),"")</f>
        <v/>
      </c>
      <c r="BZ79" s="223" t="str">
        <f>IFERROR(VLOOKUP(VALUE(BZ$55),#REF!, 2,FALSE),"")</f>
        <v/>
      </c>
      <c r="CA79" s="223" t="str">
        <f>IFERROR(VLOOKUP(VALUE(CA$55),#REF!, 2,FALSE),"")</f>
        <v/>
      </c>
      <c r="CB79" s="223" t="str">
        <f>IFERROR(VLOOKUP(VALUE(CB$55),#REF!, 2,FALSE),"")</f>
        <v/>
      </c>
      <c r="CC79" s="247" t="s">
        <v>221</v>
      </c>
      <c r="CD79" s="247" t="s">
        <v>221</v>
      </c>
      <c r="CE79" s="195">
        <f t="shared" si="8"/>
        <v>2767712.82</v>
      </c>
      <c r="CF79" s="195">
        <f>2773544.86-5832-CE79</f>
        <v>4.0000000037252903E-2</v>
      </c>
    </row>
    <row r="80" spans="1:84" ht="21" customHeight="1" x14ac:dyDescent="0.2">
      <c r="A80" s="171" t="s">
        <v>252</v>
      </c>
      <c r="B80" s="175"/>
      <c r="C80" s="187">
        <v>118.85188942307693</v>
      </c>
      <c r="D80" s="184">
        <v>0</v>
      </c>
      <c r="E80" s="187">
        <v>235.84392788461537</v>
      </c>
      <c r="F80" s="187">
        <v>0</v>
      </c>
      <c r="G80" s="187">
        <v>0</v>
      </c>
      <c r="H80" s="187">
        <v>17.554639423076924</v>
      </c>
      <c r="I80" s="187">
        <v>0</v>
      </c>
      <c r="J80" s="187">
        <v>32.354158653846149</v>
      </c>
      <c r="K80" s="187">
        <v>0</v>
      </c>
      <c r="L80" s="187">
        <v>0</v>
      </c>
      <c r="M80" s="187">
        <v>0</v>
      </c>
      <c r="N80" s="187">
        <v>0</v>
      </c>
      <c r="O80" s="187">
        <v>85.221831730769239</v>
      </c>
      <c r="P80" s="187">
        <v>76.822427884615394</v>
      </c>
      <c r="Q80" s="187">
        <v>13.578211538461538</v>
      </c>
      <c r="R80" s="187">
        <v>0</v>
      </c>
      <c r="S80" s="187">
        <v>0</v>
      </c>
      <c r="T80" s="187">
        <v>11.938725961538461</v>
      </c>
      <c r="U80" s="187">
        <v>4.6017596153846156</v>
      </c>
      <c r="V80" s="187">
        <v>4.5830144230769232</v>
      </c>
      <c r="W80" s="187">
        <v>0</v>
      </c>
      <c r="X80" s="187">
        <v>0</v>
      </c>
      <c r="Y80" s="187">
        <v>5.8228317307692308</v>
      </c>
      <c r="Z80" s="187">
        <v>0</v>
      </c>
      <c r="AA80" s="187">
        <v>0</v>
      </c>
      <c r="AB80" s="187">
        <v>2.394740384615385</v>
      </c>
      <c r="AC80" s="187">
        <v>6.610576923076923E-3</v>
      </c>
      <c r="AD80" s="187">
        <v>0</v>
      </c>
      <c r="AE80" s="187">
        <v>0</v>
      </c>
      <c r="AF80" s="187">
        <v>0</v>
      </c>
      <c r="AG80" s="187">
        <v>50.984418269230773</v>
      </c>
      <c r="AH80" s="187">
        <v>0</v>
      </c>
      <c r="AI80" s="187">
        <v>75.960841346153842</v>
      </c>
      <c r="AJ80" s="293">
        <f>16.03+129.83</f>
        <v>145.86000000000001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1.0880576923076923</v>
      </c>
      <c r="AQ80" s="187">
        <v>0</v>
      </c>
      <c r="AR80" s="187">
        <v>112.60193750000001</v>
      </c>
      <c r="AS80" s="187">
        <v>0</v>
      </c>
      <c r="AT80" s="187">
        <v>0</v>
      </c>
      <c r="AU80" s="187">
        <v>0</v>
      </c>
      <c r="AV80" s="187">
        <v>2.5847403846153849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998.65476442307704</v>
      </c>
      <c r="CF80" s="253"/>
    </row>
    <row r="81" spans="1:5" ht="12.6" customHeight="1" x14ac:dyDescent="0.2">
      <c r="A81" s="208" t="s">
        <v>253</v>
      </c>
      <c r="B81" s="208"/>
      <c r="C81" s="208"/>
      <c r="D81" s="294"/>
      <c r="E81" s="208"/>
    </row>
    <row r="82" spans="1:5" ht="12.6" customHeight="1" x14ac:dyDescent="0.2">
      <c r="A82" s="171" t="s">
        <v>254</v>
      </c>
      <c r="B82" s="172"/>
      <c r="C82" s="280" t="s">
        <v>1267</v>
      </c>
      <c r="D82" s="295"/>
      <c r="E82" s="175"/>
    </row>
    <row r="83" spans="1:5" ht="12.6" customHeight="1" x14ac:dyDescent="0.2">
      <c r="A83" s="173" t="s">
        <v>255</v>
      </c>
      <c r="B83" s="172" t="s">
        <v>256</v>
      </c>
      <c r="C83" s="225" t="s">
        <v>1269</v>
      </c>
      <c r="D83" s="295"/>
      <c r="E83" s="175"/>
    </row>
    <row r="84" spans="1:5" ht="12.6" customHeight="1" x14ac:dyDescent="0.2">
      <c r="A84" s="173" t="s">
        <v>257</v>
      </c>
      <c r="B84" s="172" t="s">
        <v>256</v>
      </c>
      <c r="C84" s="228" t="s">
        <v>1270</v>
      </c>
      <c r="D84" s="296"/>
      <c r="E84" s="204"/>
    </row>
    <row r="85" spans="1:5" ht="12.6" customHeight="1" x14ac:dyDescent="0.2">
      <c r="A85" s="173" t="s">
        <v>1251</v>
      </c>
      <c r="B85" s="172"/>
      <c r="C85" s="269" t="s">
        <v>1271</v>
      </c>
      <c r="D85" s="296"/>
      <c r="E85" s="204"/>
    </row>
    <row r="86" spans="1:5" ht="12.6" customHeight="1" x14ac:dyDescent="0.2">
      <c r="A86" s="173" t="s">
        <v>1252</v>
      </c>
      <c r="B86" s="172" t="s">
        <v>256</v>
      </c>
      <c r="C86" s="229" t="s">
        <v>1271</v>
      </c>
      <c r="D86" s="296"/>
      <c r="E86" s="204"/>
    </row>
    <row r="87" spans="1:5" ht="12.6" customHeight="1" x14ac:dyDescent="0.2">
      <c r="A87" s="173" t="s">
        <v>258</v>
      </c>
      <c r="B87" s="172" t="s">
        <v>256</v>
      </c>
      <c r="C87" s="228" t="s">
        <v>1272</v>
      </c>
      <c r="D87" s="296"/>
      <c r="E87" s="204"/>
    </row>
    <row r="88" spans="1:5" ht="12.6" customHeight="1" x14ac:dyDescent="0.2">
      <c r="A88" s="173" t="s">
        <v>259</v>
      </c>
      <c r="B88" s="172" t="s">
        <v>256</v>
      </c>
      <c r="C88" s="228" t="s">
        <v>1273</v>
      </c>
      <c r="D88" s="296"/>
      <c r="E88" s="204"/>
    </row>
    <row r="89" spans="1:5" ht="12.6" customHeight="1" x14ac:dyDescent="0.2">
      <c r="A89" s="173" t="s">
        <v>260</v>
      </c>
      <c r="B89" s="172" t="s">
        <v>256</v>
      </c>
      <c r="C89" s="228" t="s">
        <v>1274</v>
      </c>
      <c r="D89" s="296"/>
      <c r="E89" s="204"/>
    </row>
    <row r="90" spans="1:5" ht="12.6" customHeight="1" x14ac:dyDescent="0.2">
      <c r="A90" s="173" t="s">
        <v>261</v>
      </c>
      <c r="B90" s="172" t="s">
        <v>256</v>
      </c>
      <c r="C90" s="228" t="s">
        <v>1275</v>
      </c>
      <c r="D90" s="296"/>
      <c r="E90" s="204"/>
    </row>
    <row r="91" spans="1:5" ht="12.6" customHeight="1" x14ac:dyDescent="0.2">
      <c r="A91" s="173" t="s">
        <v>262</v>
      </c>
      <c r="B91" s="172" t="s">
        <v>256</v>
      </c>
      <c r="C91" s="228" t="s">
        <v>1276</v>
      </c>
      <c r="D91" s="296"/>
      <c r="E91" s="204"/>
    </row>
    <row r="92" spans="1:5" ht="12.6" customHeight="1" x14ac:dyDescent="0.2">
      <c r="A92" s="173" t="s">
        <v>263</v>
      </c>
      <c r="B92" s="172" t="s">
        <v>256</v>
      </c>
      <c r="C92" s="224" t="s">
        <v>1277</v>
      </c>
      <c r="D92" s="295"/>
      <c r="E92" s="175"/>
    </row>
    <row r="93" spans="1:5" ht="12.6" customHeight="1" x14ac:dyDescent="0.2">
      <c r="A93" s="173" t="s">
        <v>264</v>
      </c>
      <c r="B93" s="172" t="s">
        <v>256</v>
      </c>
      <c r="C93" s="268" t="s">
        <v>1277</v>
      </c>
      <c r="D93" s="295"/>
      <c r="E93" s="175"/>
    </row>
    <row r="94" spans="1:5" ht="12.6" customHeight="1" x14ac:dyDescent="0.2">
      <c r="A94" s="173"/>
      <c r="B94" s="173"/>
      <c r="C94" s="191"/>
      <c r="D94" s="195"/>
      <c r="E94" s="175"/>
    </row>
    <row r="95" spans="1:5" ht="12.6" customHeight="1" x14ac:dyDescent="0.2">
      <c r="A95" s="208" t="s">
        <v>265</v>
      </c>
      <c r="B95" s="208"/>
      <c r="C95" s="208"/>
      <c r="D95" s="294"/>
      <c r="E95" s="208"/>
    </row>
    <row r="96" spans="1:5" ht="12.6" customHeight="1" x14ac:dyDescent="0.2">
      <c r="A96" s="255" t="s">
        <v>266</v>
      </c>
      <c r="B96" s="255"/>
      <c r="C96" s="255"/>
      <c r="D96" s="297"/>
      <c r="E96" s="255"/>
    </row>
    <row r="97" spans="1:5" ht="12.6" customHeight="1" x14ac:dyDescent="0.2">
      <c r="A97" s="173" t="s">
        <v>267</v>
      </c>
      <c r="B97" s="172" t="s">
        <v>256</v>
      </c>
      <c r="C97" s="189"/>
      <c r="D97" s="19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9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95"/>
      <c r="E99" s="175"/>
    </row>
    <row r="100" spans="1:5" ht="12.6" customHeight="1" x14ac:dyDescent="0.2">
      <c r="A100" s="255" t="s">
        <v>269</v>
      </c>
      <c r="B100" s="255"/>
      <c r="C100" s="255"/>
      <c r="D100" s="297"/>
      <c r="E100" s="255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95"/>
      <c r="E101" s="175"/>
    </row>
    <row r="102" spans="1:5" ht="12.6" customHeight="1" x14ac:dyDescent="0.2">
      <c r="A102" s="173" t="s">
        <v>132</v>
      </c>
      <c r="B102" s="172" t="s">
        <v>256</v>
      </c>
      <c r="C102" s="221"/>
      <c r="D102" s="195"/>
      <c r="E102" s="175"/>
    </row>
    <row r="103" spans="1:5" ht="12.6" customHeight="1" x14ac:dyDescent="0.2">
      <c r="A103" s="255" t="s">
        <v>271</v>
      </c>
      <c r="B103" s="255"/>
      <c r="C103" s="255"/>
      <c r="D103" s="297"/>
      <c r="E103" s="255"/>
    </row>
    <row r="104" spans="1:5" ht="12.6" customHeight="1" x14ac:dyDescent="0.2">
      <c r="A104" s="173" t="s">
        <v>272</v>
      </c>
      <c r="B104" s="172" t="s">
        <v>256</v>
      </c>
      <c r="C104" s="189"/>
      <c r="D104" s="19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9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95"/>
      <c r="E106" s="175"/>
    </row>
    <row r="107" spans="1:5" ht="21.75" customHeight="1" x14ac:dyDescent="0.2">
      <c r="A107" s="173"/>
      <c r="B107" s="172"/>
      <c r="C107" s="190"/>
      <c r="D107" s="195"/>
      <c r="E107" s="175"/>
    </row>
    <row r="108" spans="1:5" ht="13.5" customHeight="1" x14ac:dyDescent="0.2">
      <c r="A108" s="207" t="s">
        <v>275</v>
      </c>
      <c r="B108" s="208"/>
      <c r="C108" s="208"/>
      <c r="D108" s="294"/>
      <c r="E108" s="208"/>
    </row>
    <row r="109" spans="1:5" ht="13.5" customHeight="1" x14ac:dyDescent="0.2">
      <c r="A109" s="173"/>
      <c r="B109" s="172"/>
      <c r="C109" s="190"/>
      <c r="D109" s="19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288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20309</v>
      </c>
      <c r="D111" s="298">
        <v>106940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298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298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4361</v>
      </c>
      <c r="D114" s="299">
        <v>10866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9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48</v>
      </c>
      <c r="D116" s="19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34</v>
      </c>
      <c r="D117" s="19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214</v>
      </c>
      <c r="D118" s="19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0</v>
      </c>
      <c r="D119" s="19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32</v>
      </c>
      <c r="D120" s="19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0</v>
      </c>
      <c r="D121" s="19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0</v>
      </c>
      <c r="D122" s="195"/>
      <c r="E122" s="175"/>
    </row>
    <row r="123" spans="1:5" ht="12.6" customHeight="1" x14ac:dyDescent="0.2">
      <c r="A123" s="173" t="s">
        <v>288</v>
      </c>
      <c r="B123" s="172" t="s">
        <v>256</v>
      </c>
      <c r="C123" s="189">
        <v>0</v>
      </c>
      <c r="D123" s="195"/>
      <c r="E123" s="175"/>
    </row>
    <row r="124" spans="1:5" ht="12.6" customHeight="1" x14ac:dyDescent="0.2">
      <c r="A124" s="173" t="s">
        <v>289</v>
      </c>
      <c r="B124" s="172"/>
      <c r="C124" s="189">
        <v>0</v>
      </c>
      <c r="D124" s="195"/>
      <c r="E124" s="175"/>
    </row>
    <row r="125" spans="1:5" ht="12.6" customHeight="1" x14ac:dyDescent="0.2">
      <c r="A125" s="173" t="s">
        <v>280</v>
      </c>
      <c r="B125" s="172" t="s">
        <v>256</v>
      </c>
      <c r="C125" s="189">
        <v>0</v>
      </c>
      <c r="D125" s="19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23</v>
      </c>
      <c r="D126" s="195"/>
      <c r="E126" s="175"/>
    </row>
    <row r="127" spans="1:5" ht="12.6" customHeight="1" x14ac:dyDescent="0.2">
      <c r="A127" s="173" t="s">
        <v>291</v>
      </c>
      <c r="B127" s="175"/>
      <c r="C127" s="191"/>
      <c r="D127" s="195"/>
      <c r="E127" s="175">
        <f>SUM(C116:C126)</f>
        <v>351</v>
      </c>
    </row>
    <row r="128" spans="1:5" ht="12.6" customHeight="1" x14ac:dyDescent="0.2">
      <c r="A128" s="173" t="s">
        <v>292</v>
      </c>
      <c r="B128" s="172" t="s">
        <v>256</v>
      </c>
      <c r="C128" s="189">
        <v>351</v>
      </c>
      <c r="D128" s="19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35</v>
      </c>
      <c r="D129" s="195"/>
      <c r="E129" s="175"/>
    </row>
    <row r="130" spans="1:6" ht="12.6" customHeight="1" x14ac:dyDescent="0.2">
      <c r="A130" s="173"/>
      <c r="B130" s="175"/>
      <c r="C130" s="191"/>
      <c r="D130" s="19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95"/>
      <c r="E131" s="175"/>
    </row>
    <row r="132" spans="1:6" ht="12.6" customHeight="1" x14ac:dyDescent="0.2">
      <c r="A132" s="173"/>
      <c r="B132" s="173"/>
      <c r="C132" s="191"/>
      <c r="D132" s="195"/>
      <c r="E132" s="175"/>
    </row>
    <row r="133" spans="1:6" ht="12.6" customHeight="1" x14ac:dyDescent="0.2">
      <c r="A133" s="173"/>
      <c r="B133" s="173"/>
      <c r="C133" s="191"/>
      <c r="D133" s="195"/>
      <c r="E133" s="175"/>
    </row>
    <row r="134" spans="1:6" ht="12.6" customHeight="1" x14ac:dyDescent="0.2">
      <c r="A134" s="173"/>
      <c r="B134" s="173"/>
      <c r="C134" s="191"/>
      <c r="D134" s="195"/>
      <c r="E134" s="175"/>
    </row>
    <row r="135" spans="1:6" ht="18" customHeight="1" x14ac:dyDescent="0.2">
      <c r="A135" s="173"/>
      <c r="B135" s="173"/>
      <c r="C135" s="191"/>
      <c r="D135" s="195"/>
      <c r="E135" s="175"/>
    </row>
    <row r="136" spans="1:6" ht="12.6" customHeight="1" x14ac:dyDescent="0.2">
      <c r="A136" s="208" t="s">
        <v>1240</v>
      </c>
      <c r="B136" s="207"/>
      <c r="C136" s="207"/>
      <c r="D136" s="300"/>
      <c r="E136" s="207"/>
    </row>
    <row r="137" spans="1:6" ht="12.6" customHeight="1" x14ac:dyDescent="0.2">
      <c r="A137" s="256" t="s">
        <v>295</v>
      </c>
      <c r="B137" s="176" t="s">
        <v>296</v>
      </c>
      <c r="C137" s="192" t="s">
        <v>297</v>
      </c>
      <c r="D137" s="301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f>4820+3788</f>
        <v>8608</v>
      </c>
      <c r="C138" s="189">
        <f>563+4203+3</f>
        <v>4769</v>
      </c>
      <c r="D138" s="298">
        <f>20309-8608-4769</f>
        <v>6932</v>
      </c>
      <c r="E138" s="175">
        <f>SUM(B138:D138)</f>
        <v>20309</v>
      </c>
    </row>
    <row r="139" spans="1:6" ht="12.6" customHeight="1" x14ac:dyDescent="0.2">
      <c r="A139" s="173" t="s">
        <v>215</v>
      </c>
      <c r="B139" s="174">
        <f>29391+24521</f>
        <v>53912</v>
      </c>
      <c r="C139" s="189">
        <f>2925+21419+3</f>
        <v>24347</v>
      </c>
      <c r="D139" s="298">
        <f>23870+200+3395+804+412</f>
        <v>28681</v>
      </c>
      <c r="E139" s="175">
        <f>SUM(B139:D139)</f>
        <v>106940</v>
      </c>
    </row>
    <row r="140" spans="1:6" ht="12.6" customHeight="1" x14ac:dyDescent="0.2">
      <c r="A140" s="173" t="s">
        <v>298</v>
      </c>
      <c r="B140" s="174"/>
      <c r="C140" s="174"/>
      <c r="D140" s="298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919775877.69000006</v>
      </c>
      <c r="C141" s="189">
        <v>388238722.38</v>
      </c>
      <c r="D141" s="298">
        <f>1849598903.35-919775877.69-388238722.38</f>
        <v>541584303.27999985</v>
      </c>
      <c r="E141" s="175">
        <f>SUM(B141:D141)</f>
        <v>1849598903.3499999</v>
      </c>
      <c r="F141" s="199"/>
    </row>
    <row r="142" spans="1:6" ht="12.6" customHeight="1" x14ac:dyDescent="0.2">
      <c r="A142" s="173" t="s">
        <v>246</v>
      </c>
      <c r="B142" s="174">
        <f>433538550.12+1032864.2+72756276.89+53950028.43+2481361.65</f>
        <v>563759081.28999996</v>
      </c>
      <c r="C142" s="189">
        <f>213025729.74+4839373.4+42704062.7+9630265.6+353151.09</f>
        <v>270552582.53000003</v>
      </c>
      <c r="D142" s="298">
        <f>(1086924100.52+12758654.31+201969605.24+66175180.91+3483395.89)-(433538550.12+213025729.74+1032864.2+4839373.4+72756276.89+42704062.7+53950028.43+9630265.6+2481361.65+353151.09)</f>
        <v>536999273.05000007</v>
      </c>
      <c r="E142" s="175">
        <f>SUM(B142:D142)</f>
        <v>1371310936.8699999</v>
      </c>
      <c r="F142" s="199"/>
    </row>
    <row r="143" spans="1:6" ht="12.6" customHeight="1" x14ac:dyDescent="0.2">
      <c r="A143" s="256" t="s">
        <v>299</v>
      </c>
      <c r="B143" s="176" t="s">
        <v>296</v>
      </c>
      <c r="C143" s="192" t="s">
        <v>297</v>
      </c>
      <c r="D143" s="301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298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298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298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298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298"/>
      <c r="E148" s="175">
        <f>SUM(B148:D148)</f>
        <v>0</v>
      </c>
    </row>
    <row r="149" spans="1:5" ht="12.6" customHeight="1" x14ac:dyDescent="0.2">
      <c r="A149" s="256" t="s">
        <v>300</v>
      </c>
      <c r="B149" s="176" t="s">
        <v>296</v>
      </c>
      <c r="C149" s="192" t="s">
        <v>297</v>
      </c>
      <c r="D149" s="301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298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298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298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298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298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302"/>
      <c r="E155" s="175"/>
    </row>
    <row r="156" spans="1:5" ht="12.6" customHeight="1" x14ac:dyDescent="0.2">
      <c r="A156" s="256" t="s">
        <v>301</v>
      </c>
      <c r="B156" s="176" t="s">
        <v>302</v>
      </c>
      <c r="C156" s="192" t="s">
        <v>303</v>
      </c>
      <c r="D156" s="195"/>
      <c r="E156" s="175"/>
    </row>
    <row r="157" spans="1:5" ht="12.6" customHeight="1" x14ac:dyDescent="0.2">
      <c r="A157" s="177" t="s">
        <v>304</v>
      </c>
      <c r="B157" s="174"/>
      <c r="C157" s="174"/>
      <c r="D157" s="195"/>
      <c r="E157" s="175"/>
    </row>
    <row r="158" spans="1:5" ht="12.6" customHeight="1" x14ac:dyDescent="0.2">
      <c r="A158" s="177"/>
      <c r="B158" s="178"/>
      <c r="C158" s="193"/>
      <c r="D158" s="195"/>
      <c r="E158" s="175"/>
    </row>
    <row r="159" spans="1:5" ht="12.6" customHeight="1" x14ac:dyDescent="0.2">
      <c r="A159" s="177"/>
      <c r="B159" s="177"/>
      <c r="C159" s="193"/>
      <c r="D159" s="302"/>
      <c r="E159" s="175"/>
    </row>
    <row r="160" spans="1:5" ht="12.6" customHeight="1" x14ac:dyDescent="0.2">
      <c r="A160" s="177"/>
      <c r="B160" s="177"/>
      <c r="C160" s="193"/>
      <c r="D160" s="302"/>
      <c r="E160" s="175"/>
    </row>
    <row r="161" spans="1:5" ht="12.6" customHeight="1" x14ac:dyDescent="0.2">
      <c r="A161" s="177"/>
      <c r="B161" s="177"/>
      <c r="C161" s="193"/>
      <c r="D161" s="302"/>
      <c r="E161" s="175"/>
    </row>
    <row r="162" spans="1:5" ht="21.75" customHeight="1" x14ac:dyDescent="0.2">
      <c r="A162" s="177"/>
      <c r="B162" s="177"/>
      <c r="C162" s="193"/>
      <c r="D162" s="302"/>
      <c r="E162" s="175"/>
    </row>
    <row r="163" spans="1:5" ht="11.45" customHeight="1" x14ac:dyDescent="0.2">
      <c r="A163" s="207" t="s">
        <v>305</v>
      </c>
      <c r="B163" s="208"/>
      <c r="C163" s="208"/>
      <c r="D163" s="294"/>
      <c r="E163" s="208"/>
    </row>
    <row r="164" spans="1:5" ht="11.45" customHeight="1" x14ac:dyDescent="0.2">
      <c r="A164" s="255" t="s">
        <v>306</v>
      </c>
      <c r="B164" s="255"/>
      <c r="C164" s="255"/>
      <c r="D164" s="297"/>
      <c r="E164" s="255"/>
    </row>
    <row r="165" spans="1:5" ht="11.45" customHeight="1" x14ac:dyDescent="0.2">
      <c r="A165" s="173" t="s">
        <v>307</v>
      </c>
      <c r="B165" s="172" t="s">
        <v>256</v>
      </c>
      <c r="C165" s="189">
        <f>14807442.76+4546766.3</f>
        <v>19354209.059999999</v>
      </c>
      <c r="D165" s="19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f>461285.91+73261.77</f>
        <v>534547.67999999993</v>
      </c>
      <c r="D166" s="19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f>2946959.64+175338.6</f>
        <v>3122298.24</v>
      </c>
      <c r="D167" s="19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f>27850718.48-3950671.11+72.25+927818.52+81011.8+1692930.63-626876.85+3.43+268353.59-267464.25+658322.37+6781701.23</f>
        <v>33415920.09</v>
      </c>
      <c r="D168" s="19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f>536642.73-390470.15+84834.78</f>
        <v>231007.35999999996</v>
      </c>
      <c r="D169" s="19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f>5737198.72+4068205.1+188893.99+3476859.61</f>
        <v>13471157.42</v>
      </c>
      <c r="D170" s="19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f>277930.16+116708.37+132119.26+9002.53-15+999952.61+15000+43414.67</f>
        <v>1594112.6</v>
      </c>
      <c r="D171" s="195"/>
      <c r="E171" s="175"/>
    </row>
    <row r="172" spans="1:5" ht="11.45" customHeight="1" x14ac:dyDescent="0.2">
      <c r="A172" s="173" t="s">
        <v>313</v>
      </c>
      <c r="B172" s="172" t="s">
        <v>256</v>
      </c>
      <c r="C172" s="189">
        <f>-104909.19+474424.79+864368.17</f>
        <v>1233883.77</v>
      </c>
      <c r="D172" s="195"/>
      <c r="E172" s="175"/>
    </row>
    <row r="173" spans="1:5" ht="11.45" customHeight="1" x14ac:dyDescent="0.2">
      <c r="A173" s="173" t="s">
        <v>203</v>
      </c>
      <c r="B173" s="175"/>
      <c r="C173" s="191"/>
      <c r="D173" s="195">
        <f>SUM(C165:C172)</f>
        <v>72957136.219999984</v>
      </c>
      <c r="E173" s="175"/>
    </row>
    <row r="174" spans="1:5" ht="11.45" customHeight="1" x14ac:dyDescent="0.2">
      <c r="A174" s="255" t="s">
        <v>314</v>
      </c>
      <c r="B174" s="255"/>
      <c r="C174" s="255"/>
      <c r="D174" s="297"/>
      <c r="E174" s="255"/>
    </row>
    <row r="175" spans="1:5" ht="11.45" customHeight="1" x14ac:dyDescent="0.2">
      <c r="A175" s="173" t="s">
        <v>315</v>
      </c>
      <c r="B175" s="172" t="s">
        <v>256</v>
      </c>
      <c r="C175" s="189">
        <f>9039724.79+2870747.84+1060000.83</f>
        <v>12970473.459999999</v>
      </c>
      <c r="D175" s="19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f>2309463.91+718845.47</f>
        <v>3028309.38</v>
      </c>
      <c r="D176" s="195"/>
      <c r="E176" s="175"/>
    </row>
    <row r="177" spans="1:5" ht="11.45" customHeight="1" x14ac:dyDescent="0.2">
      <c r="A177" s="173" t="s">
        <v>203</v>
      </c>
      <c r="B177" s="175"/>
      <c r="C177" s="191"/>
      <c r="D177" s="195">
        <f>SUM(C175:C176)</f>
        <v>15998782.84</v>
      </c>
      <c r="E177" s="175"/>
    </row>
    <row r="178" spans="1:5" ht="11.45" customHeight="1" x14ac:dyDescent="0.2">
      <c r="A178" s="255" t="s">
        <v>317</v>
      </c>
      <c r="B178" s="255"/>
      <c r="C178" s="255"/>
      <c r="D178" s="297"/>
      <c r="E178" s="255"/>
    </row>
    <row r="179" spans="1:5" ht="11.45" customHeight="1" x14ac:dyDescent="0.2">
      <c r="A179" s="173" t="s">
        <v>318</v>
      </c>
      <c r="B179" s="172" t="s">
        <v>256</v>
      </c>
      <c r="C179" s="189">
        <f>4911411.32+1530174.46+17692.4</f>
        <v>6459278.1800000006</v>
      </c>
      <c r="D179" s="19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f>767602.51-201304.13</f>
        <v>566298.38</v>
      </c>
      <c r="D180" s="195"/>
      <c r="E180" s="175"/>
    </row>
    <row r="181" spans="1:5" ht="11.45" customHeight="1" x14ac:dyDescent="0.2">
      <c r="A181" s="173" t="s">
        <v>203</v>
      </c>
      <c r="B181" s="175"/>
      <c r="C181" s="191"/>
      <c r="D181" s="195">
        <f>SUM(C179:C180)</f>
        <v>7025576.5600000005</v>
      </c>
      <c r="E181" s="175"/>
    </row>
    <row r="182" spans="1:5" ht="11.45" customHeight="1" x14ac:dyDescent="0.2">
      <c r="A182" s="255" t="s">
        <v>320</v>
      </c>
      <c r="B182" s="255"/>
      <c r="C182" s="255"/>
      <c r="D182" s="297"/>
      <c r="E182" s="255"/>
    </row>
    <row r="183" spans="1:5" ht="11.45" customHeight="1" x14ac:dyDescent="0.2">
      <c r="A183" s="173" t="s">
        <v>321</v>
      </c>
      <c r="B183" s="172" t="s">
        <v>256</v>
      </c>
      <c r="C183" s="189">
        <f>206489.85+53676.64+30354.97</f>
        <v>290521.45999999996</v>
      </c>
      <c r="D183" s="19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f>28454826.13</f>
        <v>28454826.129999999</v>
      </c>
      <c r="D184" s="19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95"/>
      <c r="E185" s="175"/>
    </row>
    <row r="186" spans="1:5" ht="11.45" customHeight="1" x14ac:dyDescent="0.2">
      <c r="A186" s="173" t="s">
        <v>203</v>
      </c>
      <c r="B186" s="175"/>
      <c r="C186" s="191"/>
      <c r="D186" s="195">
        <f>SUM(C183:C185)</f>
        <v>28745347.59</v>
      </c>
      <c r="E186" s="175"/>
    </row>
    <row r="187" spans="1:5" ht="11.45" customHeight="1" x14ac:dyDescent="0.2">
      <c r="A187" s="255" t="s">
        <v>323</v>
      </c>
      <c r="B187" s="255"/>
      <c r="C187" s="255"/>
      <c r="D187" s="297"/>
      <c r="E187" s="255"/>
    </row>
    <row r="188" spans="1:5" ht="11.45" customHeight="1" x14ac:dyDescent="0.2">
      <c r="A188" s="173" t="s">
        <v>324</v>
      </c>
      <c r="B188" s="172" t="s">
        <v>256</v>
      </c>
      <c r="C188" s="189"/>
      <c r="D188" s="19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164600.79</v>
      </c>
      <c r="D189" s="195"/>
      <c r="E189" s="175"/>
    </row>
    <row r="190" spans="1:5" ht="11.45" customHeight="1" x14ac:dyDescent="0.2">
      <c r="A190" s="173" t="s">
        <v>203</v>
      </c>
      <c r="B190" s="175"/>
      <c r="C190" s="191"/>
      <c r="D190" s="195">
        <f>SUM(C188:C189)</f>
        <v>164600.79</v>
      </c>
      <c r="E190" s="175"/>
    </row>
    <row r="191" spans="1:5" ht="18" customHeight="1" x14ac:dyDescent="0.2">
      <c r="A191" s="173"/>
      <c r="B191" s="175"/>
      <c r="C191" s="191"/>
      <c r="D191" s="195"/>
      <c r="E191" s="175"/>
    </row>
    <row r="192" spans="1:5" ht="12.6" customHeight="1" x14ac:dyDescent="0.2">
      <c r="A192" s="208" t="s">
        <v>326</v>
      </c>
      <c r="B192" s="208"/>
      <c r="C192" s="208"/>
      <c r="D192" s="294"/>
      <c r="E192" s="208"/>
    </row>
    <row r="193" spans="1:8" ht="12.6" customHeight="1" x14ac:dyDescent="0.2">
      <c r="A193" s="207" t="s">
        <v>327</v>
      </c>
      <c r="B193" s="208"/>
      <c r="C193" s="208"/>
      <c r="D193" s="294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288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f>7877314.96</f>
        <v>7877314.96</v>
      </c>
      <c r="C195" s="189">
        <v>0</v>
      </c>
      <c r="D195" s="298"/>
      <c r="E195" s="175">
        <f t="shared" ref="E195:E203" si="10">SUM(B195:C195)-D195</f>
        <v>7877314.96</v>
      </c>
    </row>
    <row r="196" spans="1:8" ht="12.6" customHeight="1" x14ac:dyDescent="0.2">
      <c r="A196" s="173" t="s">
        <v>333</v>
      </c>
      <c r="B196" s="174">
        <v>4412190.25</v>
      </c>
      <c r="C196" s="189"/>
      <c r="D196" s="298"/>
      <c r="E196" s="175">
        <f t="shared" si="10"/>
        <v>4412190.25</v>
      </c>
    </row>
    <row r="197" spans="1:8" ht="12.6" customHeight="1" x14ac:dyDescent="0.2">
      <c r="A197" s="173" t="s">
        <v>334</v>
      </c>
      <c r="B197" s="174">
        <f>122860258.49+53731138.59+103883.39</f>
        <v>176695280.46999997</v>
      </c>
      <c r="C197" s="189">
        <f>5536503.16+673864.46</f>
        <v>6210367.6200000001</v>
      </c>
      <c r="D197" s="298"/>
      <c r="E197" s="175">
        <f t="shared" si="10"/>
        <v>182905648.08999997</v>
      </c>
    </row>
    <row r="198" spans="1:8" ht="12.6" customHeight="1" x14ac:dyDescent="0.2">
      <c r="A198" s="173" t="s">
        <v>335</v>
      </c>
      <c r="B198" s="174"/>
      <c r="C198" s="189"/>
      <c r="D198" s="298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f>78021103.97+509666.16</f>
        <v>78530770.129999995</v>
      </c>
      <c r="C199" s="189">
        <f>2673685.31+1270562.11+45532.89</f>
        <v>3989780.31</v>
      </c>
      <c r="D199" s="298">
        <v>35846.86</v>
      </c>
      <c r="E199" s="175">
        <f t="shared" si="10"/>
        <v>82484703.579999998</v>
      </c>
    </row>
    <row r="200" spans="1:8" ht="12.6" customHeight="1" x14ac:dyDescent="0.2">
      <c r="A200" s="173" t="s">
        <v>337</v>
      </c>
      <c r="B200" s="174">
        <f>253157514.61+25583164.22</f>
        <v>278740678.83000004</v>
      </c>
      <c r="C200" s="189">
        <f>9214492.56+1094646.36+1174566.94</f>
        <v>11483705.859999999</v>
      </c>
      <c r="D200" s="298">
        <f>1057550.06+105077.0255</f>
        <v>1162627.0855</v>
      </c>
      <c r="E200" s="175">
        <f t="shared" si="10"/>
        <v>289061757.60450006</v>
      </c>
    </row>
    <row r="201" spans="1:8" ht="12.6" customHeight="1" x14ac:dyDescent="0.2">
      <c r="A201" s="173" t="s">
        <v>338</v>
      </c>
      <c r="B201" s="174"/>
      <c r="C201" s="189"/>
      <c r="D201" s="298"/>
      <c r="E201" s="175">
        <f t="shared" si="10"/>
        <v>0</v>
      </c>
    </row>
    <row r="202" spans="1:8" ht="12.6" customHeight="1" x14ac:dyDescent="0.2">
      <c r="A202" s="173" t="s">
        <v>339</v>
      </c>
      <c r="B202" s="174">
        <f>33745293.34+12775277.21</f>
        <v>46520570.550000004</v>
      </c>
      <c r="C202" s="189">
        <f>2330645.07+1654644.54</f>
        <v>3985289.61</v>
      </c>
      <c r="D202" s="298">
        <f>20439.61</f>
        <v>20439.61</v>
      </c>
      <c r="E202" s="175">
        <f t="shared" si="10"/>
        <v>50485420.550000004</v>
      </c>
    </row>
    <row r="203" spans="1:8" ht="12.6" customHeight="1" x14ac:dyDescent="0.2">
      <c r="A203" s="173" t="s">
        <v>340</v>
      </c>
      <c r="B203" s="174">
        <f>12934752.62+5020127.62+2259422.81+159987.21</f>
        <v>20374290.259999998</v>
      </c>
      <c r="C203" s="189">
        <f>11144062.45+46191.04-22478986.01-2104300.12-101468.63</f>
        <v>-13494501.270000005</v>
      </c>
      <c r="D203" s="298"/>
      <c r="E203" s="175">
        <f t="shared" si="10"/>
        <v>6879788.9899999928</v>
      </c>
    </row>
    <row r="204" spans="1:8" ht="12.6" customHeight="1" x14ac:dyDescent="0.2">
      <c r="A204" s="173" t="s">
        <v>203</v>
      </c>
      <c r="B204" s="175">
        <f>SUM(B195:B203)</f>
        <v>613151095.44999993</v>
      </c>
      <c r="C204" s="191">
        <f>SUM(C195:C203)</f>
        <v>12174642.129999993</v>
      </c>
      <c r="D204" s="195">
        <f>SUM(D195:D203)</f>
        <v>1218913.5555000002</v>
      </c>
      <c r="E204" s="175">
        <f>SUM(E195:E203)</f>
        <v>624106824.02450001</v>
      </c>
    </row>
    <row r="205" spans="1:8" ht="12.6" customHeight="1" x14ac:dyDescent="0.2">
      <c r="A205" s="173"/>
      <c r="B205" s="173"/>
      <c r="C205" s="191"/>
      <c r="D205" s="195"/>
      <c r="E205" s="175"/>
    </row>
    <row r="206" spans="1:8" ht="12.6" customHeight="1" x14ac:dyDescent="0.2">
      <c r="A206" s="207" t="s">
        <v>341</v>
      </c>
      <c r="B206" s="207"/>
      <c r="C206" s="207"/>
      <c r="D206" s="300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288" t="s">
        <v>330</v>
      </c>
      <c r="E207" s="170" t="s">
        <v>331</v>
      </c>
      <c r="H207" s="257"/>
    </row>
    <row r="208" spans="1:8" ht="12.6" customHeight="1" x14ac:dyDescent="0.2">
      <c r="A208" s="173" t="s">
        <v>332</v>
      </c>
      <c r="B208" s="178"/>
      <c r="C208" s="193"/>
      <c r="D208" s="302"/>
      <c r="E208" s="175"/>
      <c r="H208" s="257"/>
    </row>
    <row r="209" spans="1:8" ht="12.6" customHeight="1" x14ac:dyDescent="0.2">
      <c r="A209" s="173" t="s">
        <v>333</v>
      </c>
      <c r="B209" s="174">
        <f>3340859.78</f>
        <v>3340859.78</v>
      </c>
      <c r="C209" s="303">
        <f>165528.48</f>
        <v>165528.48000000001</v>
      </c>
      <c r="D209" s="298"/>
      <c r="E209" s="175">
        <f t="shared" ref="E209:E216" si="11">SUM(B209:C209)-D209</f>
        <v>3506388.26</v>
      </c>
      <c r="H209" s="257"/>
    </row>
    <row r="210" spans="1:8" ht="12.6" customHeight="1" x14ac:dyDescent="0.2">
      <c r="A210" s="173" t="s">
        <v>334</v>
      </c>
      <c r="B210" s="174">
        <f>71632901.71+15494491.03+16877.66</f>
        <v>87144270.399999991</v>
      </c>
      <c r="C210" s="303">
        <f>2385755.48+3639053.59+16811.27+77498.1</f>
        <v>6119118.4399999995</v>
      </c>
      <c r="D210" s="298"/>
      <c r="E210" s="175">
        <f t="shared" si="11"/>
        <v>93263388.839999989</v>
      </c>
      <c r="H210" s="257"/>
    </row>
    <row r="211" spans="1:8" ht="12.6" customHeight="1" x14ac:dyDescent="0.2">
      <c r="A211" s="173" t="s">
        <v>335</v>
      </c>
      <c r="B211" s="174"/>
      <c r="C211" s="303"/>
      <c r="D211" s="298"/>
      <c r="E211" s="175">
        <f t="shared" si="11"/>
        <v>0</v>
      </c>
      <c r="H211" s="257"/>
    </row>
    <row r="212" spans="1:8" ht="12.6" customHeight="1" x14ac:dyDescent="0.2">
      <c r="A212" s="173" t="s">
        <v>336</v>
      </c>
      <c r="B212" s="174">
        <f>62902392.05+290229.7</f>
        <v>63192621.75</v>
      </c>
      <c r="C212" s="303">
        <f>1833185.48+33885.26+53550.67</f>
        <v>1920621.41</v>
      </c>
      <c r="D212" s="298">
        <v>35846.86</v>
      </c>
      <c r="E212" s="175">
        <f t="shared" si="11"/>
        <v>65077396.299999997</v>
      </c>
      <c r="H212" s="257"/>
    </row>
    <row r="213" spans="1:8" ht="12.6" customHeight="1" x14ac:dyDescent="0.2">
      <c r="A213" s="173" t="s">
        <v>337</v>
      </c>
      <c r="B213" s="174">
        <f>189047683.54+14554268.35</f>
        <v>203601951.88999999</v>
      </c>
      <c r="C213" s="303">
        <f>18656555.91-118609.92+295000+2570917.3+314750.06</f>
        <v>21718613.349999998</v>
      </c>
      <c r="D213" s="298">
        <f>926158.81+314750.06</f>
        <v>1240908.8700000001</v>
      </c>
      <c r="E213" s="175">
        <f t="shared" si="11"/>
        <v>224079656.36999997</v>
      </c>
      <c r="F213" s="197"/>
      <c r="H213" s="257"/>
    </row>
    <row r="214" spans="1:8" ht="12.6" customHeight="1" x14ac:dyDescent="0.2">
      <c r="A214" s="173" t="s">
        <v>338</v>
      </c>
      <c r="B214" s="174"/>
      <c r="C214" s="303"/>
      <c r="D214" s="298"/>
      <c r="E214" s="175">
        <f t="shared" si="11"/>
        <v>0</v>
      </c>
      <c r="H214" s="257"/>
    </row>
    <row r="215" spans="1:8" ht="12.6" customHeight="1" x14ac:dyDescent="0.2">
      <c r="A215" s="173" t="s">
        <v>339</v>
      </c>
      <c r="B215" s="174">
        <f>11392077.05+6384715.22</f>
        <v>17776792.27</v>
      </c>
      <c r="C215" s="303">
        <f>2501638.52+1437310.08</f>
        <v>3938948.6</v>
      </c>
      <c r="D215" s="298"/>
      <c r="E215" s="175">
        <f t="shared" si="11"/>
        <v>21715740.870000001</v>
      </c>
      <c r="H215" s="257"/>
    </row>
    <row r="216" spans="1:8" ht="12.6" customHeight="1" x14ac:dyDescent="0.2">
      <c r="A216" s="173" t="s">
        <v>340</v>
      </c>
      <c r="B216" s="174"/>
      <c r="C216" s="303"/>
      <c r="D216" s="298"/>
      <c r="E216" s="175">
        <f t="shared" si="11"/>
        <v>0</v>
      </c>
      <c r="H216" s="304"/>
    </row>
    <row r="217" spans="1:8" ht="12.6" customHeight="1" x14ac:dyDescent="0.2">
      <c r="A217" s="173" t="s">
        <v>203</v>
      </c>
      <c r="B217" s="175">
        <f>SUM(B208:B216)</f>
        <v>375056496.08999997</v>
      </c>
      <c r="C217" s="191">
        <f>SUM(C208:C216)</f>
        <v>33862830.280000001</v>
      </c>
      <c r="D217" s="195">
        <f>SUM(D208:D216)</f>
        <v>1276755.7300000002</v>
      </c>
      <c r="E217" s="175">
        <f>SUM(E208:E216)</f>
        <v>407642570.63999999</v>
      </c>
      <c r="H217" s="305"/>
    </row>
    <row r="218" spans="1:8" ht="21.75" customHeight="1" x14ac:dyDescent="0.2">
      <c r="A218" s="173"/>
      <c r="B218" s="175"/>
      <c r="C218" s="191"/>
      <c r="D218" s="195"/>
      <c r="E218" s="175"/>
      <c r="H218" s="305"/>
    </row>
    <row r="219" spans="1:8" ht="12.6" customHeight="1" x14ac:dyDescent="0.2">
      <c r="A219" s="208" t="s">
        <v>342</v>
      </c>
      <c r="B219" s="208"/>
      <c r="C219" s="208"/>
      <c r="D219" s="294"/>
      <c r="E219" s="208"/>
      <c r="G219" s="305"/>
      <c r="H219" s="305"/>
    </row>
    <row r="220" spans="1:8" ht="12.6" customHeight="1" x14ac:dyDescent="0.2">
      <c r="A220" s="208"/>
      <c r="B220" s="344" t="s">
        <v>1255</v>
      </c>
      <c r="C220" s="344"/>
      <c r="D220" s="294"/>
      <c r="E220" s="208"/>
    </row>
    <row r="221" spans="1:8" ht="12.6" customHeight="1" x14ac:dyDescent="0.2">
      <c r="A221" s="270" t="s">
        <v>1255</v>
      </c>
      <c r="B221" s="208"/>
      <c r="C221" s="189">
        <v>12550417.58</v>
      </c>
      <c r="D221" s="306">
        <f>C221</f>
        <v>12550417.58</v>
      </c>
      <c r="E221" s="208"/>
    </row>
    <row r="222" spans="1:8" ht="12.6" customHeight="1" x14ac:dyDescent="0.2">
      <c r="A222" s="255" t="s">
        <v>343</v>
      </c>
      <c r="B222" s="255"/>
      <c r="C222" s="255"/>
      <c r="D222" s="297"/>
      <c r="E222" s="255"/>
    </row>
    <row r="223" spans="1:8" ht="12.6" customHeight="1" x14ac:dyDescent="0.2">
      <c r="A223" s="173" t="s">
        <v>344</v>
      </c>
      <c r="B223" s="172" t="s">
        <v>256</v>
      </c>
      <c r="C223" s="189">
        <f>768619957.74+378536691.35+667096.86+49261662.58+161708.55</f>
        <v>1197247117.0799999</v>
      </c>
      <c r="D223" s="19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f>326422094.97+198909912.41+3557997.47+31145443.96+3150</f>
        <v>560038598.81000006</v>
      </c>
      <c r="D224" s="195"/>
      <c r="E224" s="175"/>
    </row>
    <row r="225" spans="1:5" ht="12.6" customHeight="1" x14ac:dyDescent="0.2">
      <c r="A225" s="173" t="s">
        <v>346</v>
      </c>
      <c r="B225" s="172" t="s">
        <v>256</v>
      </c>
      <c r="C225" s="189"/>
      <c r="D225" s="19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f>58954212.17+45397711.02+435273.07+6806107.43</f>
        <v>111593303.69</v>
      </c>
      <c r="D226" s="19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f>2404869706.21-C223-C224-C225-C228-C238-C226</f>
        <v>467374345.16000003</v>
      </c>
      <c r="D227" s="19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f>18557722.27+24555013.25+3414008.6</f>
        <v>46526744.119999997</v>
      </c>
      <c r="D228" s="195"/>
      <c r="E228" s="175"/>
    </row>
    <row r="229" spans="1:5" ht="12.6" customHeight="1" x14ac:dyDescent="0.2">
      <c r="A229" s="173" t="s">
        <v>350</v>
      </c>
      <c r="B229" s="175"/>
      <c r="C229" s="191"/>
      <c r="D229" s="195">
        <f>SUM(C223:C228)</f>
        <v>2382780108.8599997</v>
      </c>
      <c r="E229" s="175"/>
    </row>
    <row r="230" spans="1:5" ht="12.6" customHeight="1" x14ac:dyDescent="0.2">
      <c r="A230" s="255" t="s">
        <v>351</v>
      </c>
      <c r="B230" s="255"/>
      <c r="C230" s="255"/>
      <c r="D230" s="297"/>
      <c r="E230" s="255"/>
    </row>
    <row r="231" spans="1:5" ht="12.6" customHeight="1" x14ac:dyDescent="0.2">
      <c r="A231" s="171" t="s">
        <v>352</v>
      </c>
      <c r="B231" s="172" t="s">
        <v>256</v>
      </c>
      <c r="C231" s="189">
        <v>11923</v>
      </c>
      <c r="D231" s="195"/>
      <c r="E231" s="175"/>
    </row>
    <row r="232" spans="1:5" ht="12.6" customHeight="1" x14ac:dyDescent="0.2">
      <c r="A232" s="171"/>
      <c r="B232" s="172"/>
      <c r="C232" s="191"/>
      <c r="D232" s="19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7624468.9299999997</v>
      </c>
      <c r="D233" s="19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f>15816035.87+1624719.33+144975.89+66155.07</f>
        <v>17651886.16</v>
      </c>
      <c r="D234" s="195"/>
      <c r="E234" s="175"/>
    </row>
    <row r="235" spans="1:5" ht="12.6" customHeight="1" x14ac:dyDescent="0.2">
      <c r="A235" s="173"/>
      <c r="B235" s="175"/>
      <c r="C235" s="191"/>
      <c r="D235" s="195"/>
      <c r="E235" s="175"/>
    </row>
    <row r="236" spans="1:5" ht="12.6" customHeight="1" x14ac:dyDescent="0.2">
      <c r="A236" s="171" t="s">
        <v>355</v>
      </c>
      <c r="B236" s="175"/>
      <c r="C236" s="191"/>
      <c r="D236" s="195">
        <f>SUM(C233:C235)</f>
        <v>25276355.09</v>
      </c>
      <c r="E236" s="175"/>
    </row>
    <row r="237" spans="1:5" ht="12.6" customHeight="1" x14ac:dyDescent="0.2">
      <c r="A237" s="255" t="s">
        <v>356</v>
      </c>
      <c r="B237" s="255"/>
      <c r="C237" s="255"/>
      <c r="D237" s="297"/>
      <c r="E237" s="255"/>
    </row>
    <row r="238" spans="1:5" ht="12.6" customHeight="1" x14ac:dyDescent="0.2">
      <c r="A238" s="173" t="s">
        <v>357</v>
      </c>
      <c r="B238" s="172" t="s">
        <v>256</v>
      </c>
      <c r="C238" s="189">
        <f>8327715.27+11814201.35+92119.38+1696423.71+141809.88+17327.76</f>
        <v>22089597.349999998</v>
      </c>
      <c r="D238" s="19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95"/>
      <c r="E239" s="175"/>
    </row>
    <row r="240" spans="1:5" ht="12.6" customHeight="1" x14ac:dyDescent="0.2">
      <c r="A240" s="173" t="s">
        <v>358</v>
      </c>
      <c r="B240" s="175"/>
      <c r="C240" s="191"/>
      <c r="D240" s="195">
        <f>SUM(C238:C239)</f>
        <v>22089597.349999998</v>
      </c>
      <c r="E240" s="175"/>
    </row>
    <row r="241" spans="1:5" ht="12.6" customHeight="1" x14ac:dyDescent="0.2">
      <c r="A241" s="173"/>
      <c r="B241" s="175"/>
      <c r="C241" s="191"/>
      <c r="D241" s="195"/>
      <c r="E241" s="175"/>
    </row>
    <row r="242" spans="1:5" ht="12.6" customHeight="1" x14ac:dyDescent="0.2">
      <c r="A242" s="173" t="s">
        <v>359</v>
      </c>
      <c r="B242" s="175"/>
      <c r="C242" s="191"/>
      <c r="D242" s="195">
        <f>D221+D229+D236+D240</f>
        <v>2442696478.8799996</v>
      </c>
      <c r="E242" s="175"/>
    </row>
    <row r="243" spans="1:5" ht="12.6" customHeight="1" x14ac:dyDescent="0.2">
      <c r="A243" s="173"/>
      <c r="B243" s="173"/>
      <c r="C243" s="191"/>
      <c r="D243" s="195"/>
      <c r="E243" s="175"/>
    </row>
    <row r="244" spans="1:5" ht="12.6" customHeight="1" x14ac:dyDescent="0.2">
      <c r="A244" s="173"/>
      <c r="B244" s="173"/>
      <c r="C244" s="191"/>
      <c r="D244" s="195"/>
      <c r="E244" s="175"/>
    </row>
    <row r="245" spans="1:5" ht="12.6" customHeight="1" x14ac:dyDescent="0.2">
      <c r="A245" s="173"/>
      <c r="B245" s="173"/>
      <c r="C245" s="191"/>
      <c r="D245" s="195"/>
      <c r="E245" s="175"/>
    </row>
    <row r="246" spans="1:5" ht="12.6" customHeight="1" x14ac:dyDescent="0.2">
      <c r="A246" s="173"/>
      <c r="B246" s="173"/>
      <c r="C246" s="191"/>
      <c r="D246" s="195"/>
      <c r="E246" s="175"/>
    </row>
    <row r="247" spans="1:5" ht="21.75" customHeight="1" x14ac:dyDescent="0.2">
      <c r="A247" s="173"/>
      <c r="B247" s="173"/>
      <c r="C247" s="191"/>
      <c r="D247" s="195"/>
      <c r="E247" s="175"/>
    </row>
    <row r="248" spans="1:5" ht="12.4" customHeight="1" x14ac:dyDescent="0.2">
      <c r="A248" s="208" t="s">
        <v>360</v>
      </c>
      <c r="B248" s="208"/>
      <c r="C248" s="208"/>
      <c r="D248" s="294"/>
      <c r="E248" s="208"/>
    </row>
    <row r="249" spans="1:5" ht="11.25" customHeight="1" x14ac:dyDescent="0.2">
      <c r="A249" s="255" t="s">
        <v>361</v>
      </c>
      <c r="B249" s="255"/>
      <c r="C249" s="255"/>
      <c r="D249" s="297"/>
      <c r="E249" s="255"/>
    </row>
    <row r="250" spans="1:5" ht="12.4" customHeight="1" x14ac:dyDescent="0.2">
      <c r="A250" s="173" t="s">
        <v>362</v>
      </c>
      <c r="B250" s="172" t="s">
        <v>256</v>
      </c>
      <c r="C250" s="189">
        <f>35805897.79+3178694.05</f>
        <v>38984591.839999996</v>
      </c>
      <c r="D250" s="19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9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f>423245677.46+33280741.88</f>
        <v>456526419.33999997</v>
      </c>
      <c r="D252" s="19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f>301894969.22+20262445.12+20713010.04</f>
        <v>342870424.38000005</v>
      </c>
      <c r="D253" s="19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9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f>7494519.74+259281.8+26917752.38+798311.26</f>
        <v>35469865.18</v>
      </c>
      <c r="D255" s="19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9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f>15706021.54+684569.41</f>
        <v>16390590.949999999</v>
      </c>
      <c r="D257" s="19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f>801700.78+736654.37</f>
        <v>1538355.15</v>
      </c>
      <c r="D258" s="19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95"/>
      <c r="E259" s="175"/>
    </row>
    <row r="260" spans="1:5" ht="12.4" customHeight="1" x14ac:dyDescent="0.2">
      <c r="A260" s="173" t="s">
        <v>371</v>
      </c>
      <c r="B260" s="175"/>
      <c r="C260" s="191"/>
      <c r="D260" s="195">
        <f>SUM(C250:C252)-C253+SUM(C254:C259)</f>
        <v>206039398.07999989</v>
      </c>
      <c r="E260" s="175"/>
    </row>
    <row r="261" spans="1:5" ht="11.25" customHeight="1" x14ac:dyDescent="0.2">
      <c r="A261" s="255" t="s">
        <v>372</v>
      </c>
      <c r="B261" s="255"/>
      <c r="C261" s="255"/>
      <c r="D261" s="297"/>
      <c r="E261" s="255"/>
    </row>
    <row r="262" spans="1:5" ht="12.4" customHeight="1" x14ac:dyDescent="0.2">
      <c r="A262" s="173" t="s">
        <v>362</v>
      </c>
      <c r="B262" s="172" t="s">
        <v>256</v>
      </c>
      <c r="C262" s="189"/>
      <c r="D262" s="19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9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95"/>
      <c r="E264" s="175"/>
    </row>
    <row r="265" spans="1:5" ht="12.4" customHeight="1" x14ac:dyDescent="0.2">
      <c r="A265" s="173" t="s">
        <v>374</v>
      </c>
      <c r="B265" s="175"/>
      <c r="C265" s="191"/>
      <c r="D265" s="195">
        <f>SUM(C262:C264)</f>
        <v>0</v>
      </c>
      <c r="E265" s="175"/>
    </row>
    <row r="266" spans="1:5" ht="11.25" customHeight="1" x14ac:dyDescent="0.2">
      <c r="A266" s="255" t="s">
        <v>375</v>
      </c>
      <c r="B266" s="255"/>
      <c r="C266" s="255"/>
      <c r="D266" s="297"/>
      <c r="E266" s="255"/>
    </row>
    <row r="267" spans="1:5" ht="12.4" customHeight="1" x14ac:dyDescent="0.2">
      <c r="A267" s="173" t="s">
        <v>332</v>
      </c>
      <c r="B267" s="172" t="s">
        <v>256</v>
      </c>
      <c r="C267" s="174">
        <f>7877314.96</f>
        <v>7877314.96</v>
      </c>
      <c r="D267" s="19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4412190.25</v>
      </c>
      <c r="D268" s="19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f>182801764.7+103883.39</f>
        <v>182905648.08999997</v>
      </c>
      <c r="D269" s="19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9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82484703.579999998</v>
      </c>
      <c r="D271" s="19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289061757.60450006</v>
      </c>
      <c r="D272" s="19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50485420.550000004</v>
      </c>
      <c r="D273" s="19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6879788.9899999984</v>
      </c>
      <c r="D274" s="195"/>
      <c r="E274" s="175"/>
    </row>
    <row r="275" spans="1:5" ht="12.4" customHeight="1" x14ac:dyDescent="0.2">
      <c r="A275" s="173" t="s">
        <v>379</v>
      </c>
      <c r="B275" s="175"/>
      <c r="C275" s="191"/>
      <c r="D275" s="195">
        <f>SUM(C267:C274)</f>
        <v>624106824.02450001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f>382257203.56+25385367.08</f>
        <v>407642570.63999999</v>
      </c>
      <c r="D276" s="195"/>
      <c r="E276" s="175"/>
    </row>
    <row r="277" spans="1:5" ht="12.6" customHeight="1" x14ac:dyDescent="0.2">
      <c r="A277" s="173" t="s">
        <v>381</v>
      </c>
      <c r="B277" s="175"/>
      <c r="C277" s="191"/>
      <c r="D277" s="195">
        <f>D275-C276</f>
        <v>216464253.38450003</v>
      </c>
      <c r="E277" s="175"/>
    </row>
    <row r="278" spans="1:5" ht="12.6" customHeight="1" x14ac:dyDescent="0.2">
      <c r="A278" s="255" t="s">
        <v>382</v>
      </c>
      <c r="B278" s="255"/>
      <c r="C278" s="255"/>
      <c r="D278" s="297"/>
      <c r="E278" s="255"/>
    </row>
    <row r="279" spans="1:5" ht="12.6" customHeight="1" x14ac:dyDescent="0.2">
      <c r="A279" s="173" t="s">
        <v>383</v>
      </c>
      <c r="B279" s="172" t="s">
        <v>256</v>
      </c>
      <c r="C279" s="189"/>
      <c r="D279" s="19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95"/>
      <c r="E280" s="175"/>
    </row>
    <row r="281" spans="1:5" ht="12.6" customHeight="1" x14ac:dyDescent="0.2">
      <c r="A281" s="173" t="s">
        <v>385</v>
      </c>
      <c r="B281" s="172" t="s">
        <v>256</v>
      </c>
      <c r="C281" s="189">
        <f>26148996.85+6338153.35</f>
        <v>32487150.200000003</v>
      </c>
      <c r="D281" s="19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f>32737+1221429+26471.92</f>
        <v>1280637.92</v>
      </c>
      <c r="D282" s="195"/>
      <c r="E282" s="175"/>
    </row>
    <row r="283" spans="1:5" ht="12.6" customHeight="1" x14ac:dyDescent="0.2">
      <c r="A283" s="173" t="s">
        <v>386</v>
      </c>
      <c r="B283" s="175"/>
      <c r="C283" s="191"/>
      <c r="D283" s="195">
        <f>C279-C280+C281+C282</f>
        <v>33767788.120000005</v>
      </c>
      <c r="E283" s="175"/>
    </row>
    <row r="284" spans="1:5" ht="12.6" customHeight="1" x14ac:dyDescent="0.2">
      <c r="A284" s="173"/>
      <c r="B284" s="175"/>
      <c r="C284" s="191"/>
      <c r="D284" s="195"/>
      <c r="E284" s="175"/>
    </row>
    <row r="285" spans="1:5" ht="12.6" customHeight="1" x14ac:dyDescent="0.2">
      <c r="A285" s="255" t="s">
        <v>387</v>
      </c>
      <c r="B285" s="255"/>
      <c r="C285" s="255"/>
      <c r="D285" s="297"/>
      <c r="E285" s="255"/>
    </row>
    <row r="286" spans="1:5" ht="12.6" customHeight="1" x14ac:dyDescent="0.2">
      <c r="A286" s="173" t="s">
        <v>388</v>
      </c>
      <c r="B286" s="172" t="s">
        <v>256</v>
      </c>
      <c r="C286" s="189">
        <v>4497898.8</v>
      </c>
      <c r="D286" s="19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9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9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411987.6</v>
      </c>
      <c r="D289" s="195"/>
      <c r="E289" s="175"/>
    </row>
    <row r="290" spans="1:5" ht="12.6" customHeight="1" x14ac:dyDescent="0.2">
      <c r="A290" s="173" t="s">
        <v>392</v>
      </c>
      <c r="B290" s="175"/>
      <c r="C290" s="191"/>
      <c r="D290" s="195">
        <f>SUM(C286:C289)</f>
        <v>4909886.3999999994</v>
      </c>
      <c r="E290" s="175"/>
    </row>
    <row r="291" spans="1:5" ht="12.6" customHeight="1" x14ac:dyDescent="0.2">
      <c r="A291" s="173"/>
      <c r="B291" s="175"/>
      <c r="C291" s="191"/>
      <c r="D291" s="195"/>
      <c r="E291" s="175"/>
    </row>
    <row r="292" spans="1:5" ht="12.6" customHeight="1" x14ac:dyDescent="0.2">
      <c r="A292" s="173" t="s">
        <v>393</v>
      </c>
      <c r="B292" s="175"/>
      <c r="C292" s="191"/>
      <c r="D292" s="195">
        <f>D260+D265+D277+D283+D290</f>
        <v>461181325.98449993</v>
      </c>
      <c r="E292" s="175"/>
    </row>
    <row r="293" spans="1:5" ht="12.6" customHeight="1" x14ac:dyDescent="0.2">
      <c r="A293" s="173"/>
      <c r="B293" s="173"/>
      <c r="C293" s="191"/>
      <c r="D293" s="195"/>
      <c r="E293" s="175"/>
    </row>
    <row r="294" spans="1:5" ht="12.6" customHeight="1" x14ac:dyDescent="0.2">
      <c r="A294" s="173"/>
      <c r="B294" s="173"/>
      <c r="C294" s="191"/>
      <c r="D294" s="195"/>
      <c r="E294" s="175"/>
    </row>
    <row r="295" spans="1:5" ht="12.6" customHeight="1" x14ac:dyDescent="0.2">
      <c r="A295" s="173"/>
      <c r="B295" s="173"/>
      <c r="C295" s="191"/>
      <c r="D295" s="195"/>
      <c r="E295" s="175"/>
    </row>
    <row r="296" spans="1:5" ht="12.6" customHeight="1" x14ac:dyDescent="0.2">
      <c r="A296" s="173"/>
      <c r="B296" s="173"/>
      <c r="C296" s="191"/>
      <c r="D296" s="195"/>
      <c r="E296" s="175"/>
    </row>
    <row r="297" spans="1:5" ht="12.6" customHeight="1" x14ac:dyDescent="0.2">
      <c r="A297" s="173"/>
      <c r="B297" s="173"/>
      <c r="C297" s="191"/>
      <c r="D297" s="195"/>
      <c r="E297" s="175"/>
    </row>
    <row r="298" spans="1:5" ht="12.6" customHeight="1" x14ac:dyDescent="0.2">
      <c r="A298" s="173"/>
      <c r="B298" s="173"/>
      <c r="C298" s="191"/>
      <c r="D298" s="195"/>
      <c r="E298" s="175"/>
    </row>
    <row r="299" spans="1:5" ht="12.6" customHeight="1" x14ac:dyDescent="0.2">
      <c r="A299" s="173"/>
      <c r="B299" s="173"/>
      <c r="C299" s="191"/>
      <c r="D299" s="195"/>
      <c r="E299" s="175"/>
    </row>
    <row r="300" spans="1:5" ht="12.6" customHeight="1" x14ac:dyDescent="0.2">
      <c r="A300" s="173"/>
      <c r="B300" s="173"/>
      <c r="C300" s="191"/>
      <c r="D300" s="195"/>
      <c r="E300" s="175"/>
    </row>
    <row r="301" spans="1:5" ht="20.25" customHeight="1" x14ac:dyDescent="0.2">
      <c r="A301" s="173"/>
      <c r="B301" s="173"/>
      <c r="C301" s="191"/>
      <c r="D301" s="195"/>
      <c r="E301" s="175"/>
    </row>
    <row r="302" spans="1:5" ht="12.6" customHeight="1" x14ac:dyDescent="0.2">
      <c r="A302" s="208" t="s">
        <v>394</v>
      </c>
      <c r="B302" s="208"/>
      <c r="C302" s="208"/>
      <c r="D302" s="294"/>
      <c r="E302" s="208"/>
    </row>
    <row r="303" spans="1:5" ht="14.25" customHeight="1" x14ac:dyDescent="0.2">
      <c r="A303" s="255" t="s">
        <v>395</v>
      </c>
      <c r="B303" s="255"/>
      <c r="C303" s="255"/>
      <c r="D303" s="297"/>
      <c r="E303" s="255"/>
    </row>
    <row r="304" spans="1:5" ht="12.6" customHeight="1" x14ac:dyDescent="0.2">
      <c r="A304" s="173" t="s">
        <v>396</v>
      </c>
      <c r="B304" s="172" t="s">
        <v>256</v>
      </c>
      <c r="C304" s="307"/>
      <c r="D304" s="19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f>6581262.51+541089.11</f>
        <v>7122351.6200000001</v>
      </c>
      <c r="D305" s="19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f>24373914.72+6959032.23</f>
        <v>31332946.949999999</v>
      </c>
      <c r="D306" s="19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f>22927474.75+15651699.12+548021.58+8242183.85</f>
        <v>47369379.299999997</v>
      </c>
      <c r="D307" s="19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9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6526583.9800000004</v>
      </c>
      <c r="D309" s="19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9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9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34754685.979999997</v>
      </c>
      <c r="D312" s="195"/>
      <c r="E312" s="175"/>
    </row>
    <row r="313" spans="1:5" ht="12.6" customHeight="1" x14ac:dyDescent="0.2">
      <c r="A313" s="173" t="s">
        <v>404</v>
      </c>
      <c r="B313" s="172" t="s">
        <v>256</v>
      </c>
      <c r="C313" s="189">
        <f>952925.09+508435.44</f>
        <v>1461360.53</v>
      </c>
      <c r="D313" s="195"/>
      <c r="E313" s="175"/>
    </row>
    <row r="314" spans="1:5" ht="12.6" customHeight="1" x14ac:dyDescent="0.2">
      <c r="A314" s="173" t="s">
        <v>405</v>
      </c>
      <c r="B314" s="175"/>
      <c r="C314" s="308"/>
      <c r="D314" s="195">
        <f>SUM(C304:C313)</f>
        <v>128567308.36000001</v>
      </c>
      <c r="E314" s="175"/>
    </row>
    <row r="315" spans="1:5" ht="12.6" customHeight="1" x14ac:dyDescent="0.2">
      <c r="A315" s="255" t="s">
        <v>406</v>
      </c>
      <c r="B315" s="255"/>
      <c r="C315" s="309"/>
      <c r="D315" s="297"/>
      <c r="E315" s="255"/>
    </row>
    <row r="316" spans="1:5" ht="12.6" customHeight="1" x14ac:dyDescent="0.2">
      <c r="A316" s="173" t="s">
        <v>407</v>
      </c>
      <c r="B316" s="172" t="s">
        <v>256</v>
      </c>
      <c r="C316" s="307"/>
      <c r="D316" s="195"/>
      <c r="E316" s="175"/>
    </row>
    <row r="317" spans="1:5" ht="12.6" customHeight="1" x14ac:dyDescent="0.2">
      <c r="A317" s="173" t="s">
        <v>408</v>
      </c>
      <c r="B317" s="172" t="s">
        <v>256</v>
      </c>
      <c r="C317" s="307"/>
      <c r="D317" s="19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9711838.6500000004</v>
      </c>
      <c r="D318" s="195"/>
      <c r="E318" s="175"/>
    </row>
    <row r="319" spans="1:5" ht="12.6" customHeight="1" x14ac:dyDescent="0.2">
      <c r="A319" s="173" t="s">
        <v>410</v>
      </c>
      <c r="B319" s="175"/>
      <c r="C319" s="308"/>
      <c r="D319" s="195">
        <f>SUM(C316:C318)</f>
        <v>9711838.6500000004</v>
      </c>
      <c r="E319" s="175"/>
    </row>
    <row r="320" spans="1:5" ht="12.6" customHeight="1" x14ac:dyDescent="0.2">
      <c r="A320" s="255" t="s">
        <v>411</v>
      </c>
      <c r="B320" s="255"/>
      <c r="C320" s="309"/>
      <c r="D320" s="297"/>
      <c r="E320" s="255"/>
    </row>
    <row r="321" spans="1:5" ht="12.6" customHeight="1" x14ac:dyDescent="0.2">
      <c r="A321" s="173" t="s">
        <v>412</v>
      </c>
      <c r="B321" s="172" t="s">
        <v>256</v>
      </c>
      <c r="C321" s="307"/>
      <c r="D321" s="195"/>
      <c r="E321" s="175"/>
    </row>
    <row r="322" spans="1:5" ht="12.6" customHeight="1" x14ac:dyDescent="0.2">
      <c r="A322" s="173" t="s">
        <v>413</v>
      </c>
      <c r="B322" s="172" t="s">
        <v>256</v>
      </c>
      <c r="C322" s="307"/>
      <c r="D322" s="19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1525306.32</v>
      </c>
      <c r="D323" s="19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2333074.79</v>
      </c>
      <c r="D324" s="19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9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9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1256300.03</v>
      </c>
      <c r="D327" s="195"/>
      <c r="E327" s="175"/>
    </row>
    <row r="328" spans="1:5" ht="19.5" customHeight="1" x14ac:dyDescent="0.2">
      <c r="A328" s="173" t="s">
        <v>203</v>
      </c>
      <c r="B328" s="175"/>
      <c r="C328" s="308"/>
      <c r="D328" s="195">
        <f>SUM(C321:C327)</f>
        <v>5114681.1400000006</v>
      </c>
      <c r="E328" s="175"/>
    </row>
    <row r="329" spans="1:5" ht="12.6" customHeight="1" x14ac:dyDescent="0.2">
      <c r="A329" s="173" t="s">
        <v>419</v>
      </c>
      <c r="B329" s="175"/>
      <c r="C329" s="308"/>
      <c r="D329" s="195">
        <f>C313</f>
        <v>1461360.53</v>
      </c>
      <c r="E329" s="175"/>
    </row>
    <row r="330" spans="1:5" ht="12.6" customHeight="1" x14ac:dyDescent="0.2">
      <c r="A330" s="173" t="s">
        <v>420</v>
      </c>
      <c r="B330" s="175"/>
      <c r="C330" s="308"/>
      <c r="D330" s="195">
        <f>D328-D329</f>
        <v>3653320.6100000003</v>
      </c>
      <c r="E330" s="175"/>
    </row>
    <row r="331" spans="1:5" ht="12.6" customHeight="1" x14ac:dyDescent="0.2">
      <c r="A331" s="173"/>
      <c r="B331" s="175"/>
      <c r="C331" s="308"/>
      <c r="D331" s="195"/>
      <c r="E331" s="175"/>
    </row>
    <row r="332" spans="1:5" ht="12.6" customHeight="1" x14ac:dyDescent="0.2">
      <c r="A332" s="173" t="s">
        <v>421</v>
      </c>
      <c r="B332" s="172" t="s">
        <v>256</v>
      </c>
      <c r="C332" s="221">
        <f>303571604.48+15677253.81</f>
        <v>319248858.29000002</v>
      </c>
      <c r="D332" s="195"/>
      <c r="E332" s="175"/>
    </row>
    <row r="333" spans="1:5" ht="12.6" customHeight="1" x14ac:dyDescent="0.2">
      <c r="A333" s="173"/>
      <c r="B333" s="172"/>
      <c r="C333" s="310"/>
      <c r="D333" s="195"/>
      <c r="E333" s="175"/>
    </row>
    <row r="334" spans="1:5" ht="12.6" customHeight="1" x14ac:dyDescent="0.2">
      <c r="A334" s="173" t="s">
        <v>1142</v>
      </c>
      <c r="B334" s="172" t="s">
        <v>256</v>
      </c>
      <c r="C334" s="311"/>
      <c r="D334" s="195"/>
      <c r="E334" s="175"/>
    </row>
    <row r="335" spans="1:5" ht="12.6" customHeight="1" x14ac:dyDescent="0.2">
      <c r="A335" s="173" t="s">
        <v>1143</v>
      </c>
      <c r="B335" s="172" t="s">
        <v>256</v>
      </c>
      <c r="C335" s="311"/>
      <c r="D335" s="195"/>
      <c r="E335" s="175"/>
    </row>
    <row r="336" spans="1:5" ht="12.6" customHeight="1" x14ac:dyDescent="0.2">
      <c r="A336" s="173" t="s">
        <v>423</v>
      </c>
      <c r="B336" s="172" t="s">
        <v>256</v>
      </c>
      <c r="C336" s="311"/>
      <c r="D336" s="195"/>
      <c r="E336" s="175"/>
    </row>
    <row r="337" spans="1:5" ht="12.6" customHeight="1" x14ac:dyDescent="0.2">
      <c r="A337" s="173" t="s">
        <v>422</v>
      </c>
      <c r="B337" s="172" t="s">
        <v>256</v>
      </c>
      <c r="C337" s="307"/>
      <c r="D337" s="195"/>
      <c r="E337" s="175"/>
    </row>
    <row r="338" spans="1:5" ht="12.6" customHeight="1" x14ac:dyDescent="0.2">
      <c r="A338" s="173" t="s">
        <v>1253</v>
      </c>
      <c r="B338" s="172" t="s">
        <v>256</v>
      </c>
      <c r="C338" s="307"/>
      <c r="D338" s="195"/>
      <c r="E338" s="175"/>
    </row>
    <row r="339" spans="1:5" ht="12.6" customHeight="1" x14ac:dyDescent="0.2">
      <c r="A339" s="173" t="s">
        <v>424</v>
      </c>
      <c r="B339" s="175"/>
      <c r="C339" s="191"/>
      <c r="D339" s="246">
        <f>D314+D319+D330+C332+C336+C337</f>
        <v>461181325.91000009</v>
      </c>
      <c r="E339" s="175"/>
    </row>
    <row r="340" spans="1:5" ht="12.6" customHeight="1" x14ac:dyDescent="0.2">
      <c r="A340" s="173"/>
      <c r="B340" s="175"/>
      <c r="C340" s="191"/>
      <c r="D340" s="246"/>
      <c r="E340" s="175"/>
    </row>
    <row r="341" spans="1:5" ht="12.6" customHeight="1" x14ac:dyDescent="0.2">
      <c r="A341" s="173" t="s">
        <v>425</v>
      </c>
      <c r="B341" s="175"/>
      <c r="C341" s="191"/>
      <c r="D341" s="246">
        <f>D292</f>
        <v>461181325.98449993</v>
      </c>
      <c r="E341" s="175"/>
    </row>
    <row r="342" spans="1:5" ht="12.6" customHeight="1" x14ac:dyDescent="0.2">
      <c r="A342" s="173"/>
      <c r="B342" s="173"/>
      <c r="C342" s="191"/>
      <c r="D342" s="195"/>
      <c r="E342" s="175"/>
    </row>
    <row r="343" spans="1:5" ht="12.6" customHeight="1" x14ac:dyDescent="0.2">
      <c r="A343" s="173"/>
      <c r="B343" s="173"/>
      <c r="C343" s="191"/>
      <c r="D343" s="195"/>
      <c r="E343" s="175"/>
    </row>
    <row r="344" spans="1:5" ht="12.6" customHeight="1" x14ac:dyDescent="0.2">
      <c r="A344" s="173"/>
      <c r="B344" s="173"/>
      <c r="C344" s="191"/>
      <c r="D344" s="195"/>
      <c r="E344" s="175"/>
    </row>
    <row r="345" spans="1:5" ht="12.6" customHeight="1" x14ac:dyDescent="0.2">
      <c r="A345" s="173"/>
      <c r="B345" s="173"/>
      <c r="C345" s="191"/>
      <c r="D345" s="195"/>
      <c r="E345" s="175"/>
    </row>
    <row r="346" spans="1:5" ht="12.6" customHeight="1" x14ac:dyDescent="0.2">
      <c r="A346" s="173"/>
      <c r="B346" s="173"/>
      <c r="C346" s="191"/>
      <c r="D346" s="195"/>
      <c r="E346" s="175"/>
    </row>
    <row r="347" spans="1:5" ht="12.6" customHeight="1" x14ac:dyDescent="0.2">
      <c r="A347" s="173"/>
      <c r="B347" s="173"/>
      <c r="C347" s="191"/>
      <c r="D347" s="195"/>
      <c r="E347" s="175"/>
    </row>
    <row r="348" spans="1:5" ht="12.6" customHeight="1" x14ac:dyDescent="0.2">
      <c r="A348" s="173"/>
      <c r="B348" s="173"/>
      <c r="C348" s="191"/>
      <c r="D348" s="195"/>
      <c r="E348" s="175"/>
    </row>
    <row r="349" spans="1:5" ht="12.6" customHeight="1" x14ac:dyDescent="0.2">
      <c r="A349" s="173"/>
      <c r="B349" s="173"/>
      <c r="C349" s="191"/>
      <c r="D349" s="195"/>
      <c r="E349" s="175"/>
    </row>
    <row r="350" spans="1:5" ht="12.6" customHeight="1" x14ac:dyDescent="0.2">
      <c r="A350" s="173"/>
      <c r="B350" s="173"/>
      <c r="C350" s="191"/>
      <c r="D350" s="195"/>
      <c r="E350" s="175"/>
    </row>
    <row r="351" spans="1:5" ht="12.6" customHeight="1" x14ac:dyDescent="0.2">
      <c r="A351" s="173"/>
      <c r="B351" s="173"/>
      <c r="C351" s="191"/>
      <c r="D351" s="195"/>
      <c r="E351" s="175"/>
    </row>
    <row r="352" spans="1:5" ht="12.6" customHeight="1" x14ac:dyDescent="0.2">
      <c r="A352" s="173"/>
      <c r="B352" s="173"/>
      <c r="C352" s="191"/>
      <c r="D352" s="195"/>
      <c r="E352" s="175"/>
    </row>
    <row r="353" spans="1:5" ht="12.6" customHeight="1" x14ac:dyDescent="0.2">
      <c r="A353" s="173"/>
      <c r="B353" s="173"/>
      <c r="C353" s="191"/>
      <c r="D353" s="195"/>
      <c r="E353" s="175"/>
    </row>
    <row r="354" spans="1:5" ht="12.6" customHeight="1" x14ac:dyDescent="0.2">
      <c r="A354" s="173"/>
      <c r="B354" s="173"/>
      <c r="C354" s="191"/>
      <c r="D354" s="195"/>
      <c r="E354" s="175"/>
    </row>
    <row r="355" spans="1:5" ht="12.6" customHeight="1" x14ac:dyDescent="0.2">
      <c r="A355" s="173"/>
      <c r="B355" s="173"/>
      <c r="C355" s="191"/>
      <c r="D355" s="195"/>
      <c r="E355" s="175"/>
    </row>
    <row r="356" spans="1:5" ht="20.25" customHeight="1" x14ac:dyDescent="0.2">
      <c r="A356" s="173"/>
      <c r="B356" s="173"/>
      <c r="C356" s="191"/>
      <c r="D356" s="195"/>
      <c r="E356" s="175"/>
    </row>
    <row r="357" spans="1:5" ht="12.6" customHeight="1" x14ac:dyDescent="0.2">
      <c r="A357" s="208" t="s">
        <v>426</v>
      </c>
      <c r="B357" s="208"/>
      <c r="C357" s="208"/>
      <c r="D357" s="294"/>
      <c r="E357" s="208"/>
    </row>
    <row r="358" spans="1:5" ht="12.6" customHeight="1" x14ac:dyDescent="0.2">
      <c r="A358" s="255" t="s">
        <v>427</v>
      </c>
      <c r="B358" s="255"/>
      <c r="C358" s="255"/>
      <c r="D358" s="297"/>
      <c r="E358" s="255"/>
    </row>
    <row r="359" spans="1:5" ht="12.6" customHeight="1" x14ac:dyDescent="0.2">
      <c r="A359" s="173" t="s">
        <v>428</v>
      </c>
      <c r="B359" s="172" t="s">
        <v>256</v>
      </c>
      <c r="C359" s="189">
        <v>1849598903.3499999</v>
      </c>
      <c r="D359" s="19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f>1086924100.52+1515+4445112.45+66175180.91+3483395.89+210281632.1</f>
        <v>1371310936.8700001</v>
      </c>
      <c r="D360" s="195"/>
      <c r="E360" s="175"/>
    </row>
    <row r="361" spans="1:5" ht="12.6" customHeight="1" x14ac:dyDescent="0.2">
      <c r="A361" s="173" t="s">
        <v>430</v>
      </c>
      <c r="B361" s="175"/>
      <c r="C361" s="191"/>
      <c r="D361" s="195">
        <f>SUM(C359:C360)</f>
        <v>3220909840.2200003</v>
      </c>
      <c r="E361" s="175"/>
    </row>
    <row r="362" spans="1:5" ht="12.6" customHeight="1" x14ac:dyDescent="0.2">
      <c r="A362" s="255" t="s">
        <v>431</v>
      </c>
      <c r="B362" s="255"/>
      <c r="C362" s="255"/>
      <c r="D362" s="297"/>
      <c r="E362" s="255"/>
    </row>
    <row r="363" spans="1:5" ht="12.6" customHeight="1" x14ac:dyDescent="0.2">
      <c r="A363" s="173" t="s">
        <v>1255</v>
      </c>
      <c r="B363" s="255"/>
      <c r="C363" s="189">
        <f>11069561.93+1480855.65</f>
        <v>12550417.58</v>
      </c>
      <c r="D363" s="195"/>
      <c r="E363" s="255"/>
    </row>
    <row r="364" spans="1:5" ht="12.6" customHeight="1" x14ac:dyDescent="0.2">
      <c r="A364" s="173" t="s">
        <v>432</v>
      </c>
      <c r="B364" s="172" t="s">
        <v>256</v>
      </c>
      <c r="C364" s="312">
        <f>1416783277.74+863320138.02+6899563.76+117510606.05+141809.88+214310.76-C366</f>
        <v>2382780108.8600011</v>
      </c>
      <c r="D364" s="19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f>23673678.78+1602676.31</f>
        <v>25276355.09</v>
      </c>
      <c r="D365" s="195"/>
      <c r="E365" s="175"/>
    </row>
    <row r="366" spans="1:5" ht="12.6" customHeight="1" x14ac:dyDescent="0.2">
      <c r="A366" s="173" t="s">
        <v>434</v>
      </c>
      <c r="B366" s="172" t="s">
        <v>256</v>
      </c>
      <c r="C366" s="189">
        <f>C238</f>
        <v>22089597.349999998</v>
      </c>
      <c r="D366" s="195"/>
      <c r="E366" s="175"/>
    </row>
    <row r="367" spans="1:5" ht="12.6" customHeight="1" x14ac:dyDescent="0.2">
      <c r="A367" s="173" t="s">
        <v>359</v>
      </c>
      <c r="B367" s="175"/>
      <c r="C367" s="191"/>
      <c r="D367" s="195">
        <f>SUM(C363:C366)</f>
        <v>2442696478.8800011</v>
      </c>
      <c r="E367" s="175"/>
    </row>
    <row r="368" spans="1:5" ht="12.6" customHeight="1" x14ac:dyDescent="0.2">
      <c r="A368" s="173" t="s">
        <v>435</v>
      </c>
      <c r="B368" s="175"/>
      <c r="C368" s="191"/>
      <c r="D368" s="195">
        <f>D361-D367</f>
        <v>778213361.3399992</v>
      </c>
      <c r="E368" s="175"/>
    </row>
    <row r="369" spans="1:5" ht="12.6" customHeight="1" x14ac:dyDescent="0.2">
      <c r="A369" s="255" t="s">
        <v>436</v>
      </c>
      <c r="B369" s="255"/>
      <c r="C369" s="255"/>
      <c r="D369" s="297"/>
      <c r="E369" s="255"/>
    </row>
    <row r="370" spans="1:5" ht="12.6" customHeight="1" x14ac:dyDescent="0.2">
      <c r="A370" s="173" t="s">
        <v>437</v>
      </c>
      <c r="B370" s="172" t="s">
        <v>256</v>
      </c>
      <c r="C370" s="189">
        <f>14567057.74+366423.47-1994458.41+5194613.88</f>
        <v>18133636.68</v>
      </c>
      <c r="D370" s="19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95"/>
      <c r="E371" s="175"/>
    </row>
    <row r="372" spans="1:5" ht="12.6" customHeight="1" x14ac:dyDescent="0.2">
      <c r="A372" s="173" t="s">
        <v>439</v>
      </c>
      <c r="B372" s="175"/>
      <c r="C372" s="191"/>
      <c r="D372" s="195">
        <f>SUM(C370:C371)</f>
        <v>18133636.68</v>
      </c>
      <c r="E372" s="175"/>
    </row>
    <row r="373" spans="1:5" ht="12.6" customHeight="1" x14ac:dyDescent="0.2">
      <c r="A373" s="173" t="s">
        <v>440</v>
      </c>
      <c r="B373" s="175"/>
      <c r="C373" s="191"/>
      <c r="D373" s="195">
        <f>D368+D372</f>
        <v>796346998.01999915</v>
      </c>
      <c r="E373" s="175"/>
    </row>
    <row r="374" spans="1:5" ht="12.6" customHeight="1" x14ac:dyDescent="0.2">
      <c r="A374" s="173"/>
      <c r="B374" s="175"/>
      <c r="C374" s="191"/>
      <c r="D374" s="195"/>
      <c r="E374" s="175"/>
    </row>
    <row r="375" spans="1:5" ht="12.6" customHeight="1" x14ac:dyDescent="0.2">
      <c r="A375" s="173"/>
      <c r="B375" s="175"/>
      <c r="C375" s="191"/>
      <c r="D375" s="195"/>
      <c r="E375" s="175"/>
    </row>
    <row r="376" spans="1:5" ht="12.6" customHeight="1" x14ac:dyDescent="0.2">
      <c r="A376" s="173"/>
      <c r="B376" s="175"/>
      <c r="C376" s="191"/>
      <c r="D376" s="195"/>
      <c r="E376" s="175"/>
    </row>
    <row r="377" spans="1:5" ht="12.6" customHeight="1" x14ac:dyDescent="0.2">
      <c r="A377" s="255" t="s">
        <v>441</v>
      </c>
      <c r="B377" s="255"/>
      <c r="C377" s="255"/>
      <c r="D377" s="297"/>
      <c r="E377" s="255"/>
    </row>
    <row r="378" spans="1:5" ht="12.6" customHeight="1" x14ac:dyDescent="0.2">
      <c r="A378" s="173" t="s">
        <v>442</v>
      </c>
      <c r="B378" s="172" t="s">
        <v>256</v>
      </c>
      <c r="C378" s="189">
        <v>294223409.25999999</v>
      </c>
      <c r="D378" s="19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f>56954005.76+16003130.46</f>
        <v>72957136.219999999</v>
      </c>
      <c r="D379" s="19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f>27218521.59+1817810.76</f>
        <v>29036332.350000001</v>
      </c>
      <c r="D380" s="19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f>108906423.96+4993519.19</f>
        <v>113899943.14999999</v>
      </c>
      <c r="D381" s="19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f>3953565.72+429171.84</f>
        <v>4382737.5600000005</v>
      </c>
      <c r="D382" s="19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f>165725112.8+684313.52+6293252.1+9101244.18</f>
        <v>181803922.60000002</v>
      </c>
      <c r="D383" s="19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33862830.280000001</v>
      </c>
      <c r="D384" s="19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f>7726350.82+8272432.02</f>
        <v>15998782.84</v>
      </c>
      <c r="D385" s="19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f>5009351.57+2016224.99</f>
        <v>7025576.5600000005</v>
      </c>
      <c r="D386" s="19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206489.85+53676.64+30354.97+28454826.13</f>
        <v>28745347.59</v>
      </c>
      <c r="D387" s="19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f>85647.03+78953.76</f>
        <v>164600.78999999998</v>
      </c>
      <c r="D388" s="195"/>
      <c r="E388" s="175"/>
      <c r="F388" s="305"/>
    </row>
    <row r="389" spans="1:6" ht="12.6" customHeight="1" x14ac:dyDescent="0.2">
      <c r="A389" s="173" t="s">
        <v>451</v>
      </c>
      <c r="B389" s="172" t="s">
        <v>256</v>
      </c>
      <c r="C389" s="189">
        <v>8099100.6099998951</v>
      </c>
      <c r="D389" s="195"/>
      <c r="E389" s="175"/>
    </row>
    <row r="390" spans="1:6" ht="12.6" customHeight="1" x14ac:dyDescent="0.2">
      <c r="A390" s="173" t="s">
        <v>452</v>
      </c>
      <c r="B390" s="175"/>
      <c r="C390" s="191"/>
      <c r="D390" s="195">
        <f>SUM(C378:C389)</f>
        <v>790199719.80999994</v>
      </c>
      <c r="E390" s="175"/>
    </row>
    <row r="391" spans="1:6" ht="12.6" customHeight="1" x14ac:dyDescent="0.2">
      <c r="A391" s="173" t="s">
        <v>453</v>
      </c>
      <c r="B391" s="175"/>
      <c r="C391" s="191"/>
      <c r="D391" s="195">
        <f>D373-D390</f>
        <v>6147278.2099992037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f>2763047.88+-2286130-948543.63</f>
        <v>-471625.75000000012</v>
      </c>
      <c r="D392" s="19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5675652.4599992037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9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95"/>
      <c r="E395" s="175"/>
    </row>
    <row r="396" spans="1:6" ht="12.6" customHeight="1" x14ac:dyDescent="0.2">
      <c r="A396" s="173" t="s">
        <v>458</v>
      </c>
      <c r="B396" s="175"/>
      <c r="C396" s="191"/>
      <c r="D396" s="195">
        <f>D393+C394-C395</f>
        <v>5675652.4599992037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287"/>
      <c r="E411" s="258"/>
    </row>
    <row r="412" spans="1:5" ht="12.6" customHeight="1" x14ac:dyDescent="0.2">
      <c r="A412" s="179" t="str">
        <f>C84&amp;"   "&amp;"H-"&amp;FIXED(C83,0,TRUE)&amp;"     FYE "&amp;C82</f>
        <v>St.Joseph Medical Center   H-0     FYE 06/30/2019</v>
      </c>
      <c r="B412" s="179"/>
      <c r="C412" s="179"/>
      <c r="D412" s="287"/>
      <c r="E412" s="258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313" t="s">
        <v>462</v>
      </c>
    </row>
    <row r="414" spans="1:5" ht="12.6" customHeight="1" x14ac:dyDescent="0.2">
      <c r="A414" s="179" t="s">
        <v>463</v>
      </c>
      <c r="B414" s="179">
        <f>C111</f>
        <v>20309</v>
      </c>
      <c r="C414" s="194">
        <f>E138</f>
        <v>20309</v>
      </c>
      <c r="D414" s="287"/>
    </row>
    <row r="415" spans="1:5" ht="12.6" customHeight="1" x14ac:dyDescent="0.2">
      <c r="A415" s="179" t="s">
        <v>464</v>
      </c>
      <c r="B415" s="179">
        <f>D111</f>
        <v>106940</v>
      </c>
      <c r="C415" s="179">
        <f>E139</f>
        <v>106940</v>
      </c>
      <c r="D415" s="314">
        <f>SUM(C59:H59)+N59</f>
        <v>106940.29</v>
      </c>
    </row>
    <row r="416" spans="1:5" ht="12.6" customHeight="1" x14ac:dyDescent="0.2">
      <c r="A416" s="179"/>
      <c r="B416" s="179"/>
      <c r="C416" s="194"/>
      <c r="D416" s="287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287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287">
        <f>K59+L59</f>
        <v>0</v>
      </c>
    </row>
    <row r="419" spans="1:7" ht="12.6" customHeight="1" x14ac:dyDescent="0.2">
      <c r="A419" s="179"/>
      <c r="B419" s="179"/>
      <c r="C419" s="194"/>
      <c r="D419" s="287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287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287">
        <f>I59</f>
        <v>0</v>
      </c>
    </row>
    <row r="422" spans="1:7" ht="12.6" customHeight="1" x14ac:dyDescent="0.2">
      <c r="A422" s="206"/>
      <c r="B422" s="206"/>
      <c r="C422" s="181"/>
      <c r="D422" s="287"/>
    </row>
    <row r="423" spans="1:7" ht="12.6" customHeight="1" x14ac:dyDescent="0.2">
      <c r="A423" s="180" t="s">
        <v>469</v>
      </c>
      <c r="B423" s="180">
        <f>C114</f>
        <v>4361</v>
      </c>
    </row>
    <row r="424" spans="1:7" ht="12.6" customHeight="1" x14ac:dyDescent="0.2">
      <c r="A424" s="179" t="s">
        <v>1244</v>
      </c>
      <c r="B424" s="179">
        <f>D114</f>
        <v>10866</v>
      </c>
      <c r="D424" s="287">
        <f>J59</f>
        <v>10866</v>
      </c>
    </row>
    <row r="425" spans="1:7" ht="12.6" customHeight="1" x14ac:dyDescent="0.2">
      <c r="A425" s="206"/>
      <c r="B425" s="206"/>
      <c r="C425" s="206"/>
      <c r="D425" s="315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313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294223409.25999999</v>
      </c>
      <c r="C427" s="179">
        <f t="shared" ref="C427:C434" si="13">CE61</f>
        <v>294223409.26000011</v>
      </c>
      <c r="D427" s="287"/>
    </row>
    <row r="428" spans="1:7" ht="12.6" customHeight="1" x14ac:dyDescent="0.2">
      <c r="A428" s="179" t="s">
        <v>3</v>
      </c>
      <c r="B428" s="179">
        <f t="shared" si="12"/>
        <v>72957136.219999999</v>
      </c>
      <c r="C428" s="179">
        <f t="shared" si="13"/>
        <v>72957136.220000029</v>
      </c>
      <c r="D428" s="287">
        <f>D173</f>
        <v>72957136.219999984</v>
      </c>
    </row>
    <row r="429" spans="1:7" ht="12.6" customHeight="1" x14ac:dyDescent="0.2">
      <c r="A429" s="194" t="s">
        <v>236</v>
      </c>
      <c r="B429" s="194">
        <f t="shared" si="12"/>
        <v>29036332.350000001</v>
      </c>
      <c r="C429" s="194">
        <f t="shared" si="13"/>
        <v>29036332.350000001</v>
      </c>
      <c r="D429" s="314"/>
      <c r="E429" s="232"/>
    </row>
    <row r="430" spans="1:7" ht="12.6" customHeight="1" x14ac:dyDescent="0.2">
      <c r="A430" s="194" t="s">
        <v>237</v>
      </c>
      <c r="B430" s="194">
        <f t="shared" si="12"/>
        <v>113899943.14999999</v>
      </c>
      <c r="C430" s="194">
        <f t="shared" si="13"/>
        <v>113899943.42000021</v>
      </c>
      <c r="D430" s="314"/>
      <c r="E430" s="232"/>
    </row>
    <row r="431" spans="1:7" ht="12.6" customHeight="1" x14ac:dyDescent="0.2">
      <c r="A431" s="194" t="s">
        <v>444</v>
      </c>
      <c r="B431" s="194">
        <f t="shared" si="12"/>
        <v>4382737.5600000005</v>
      </c>
      <c r="C431" s="194">
        <f t="shared" si="13"/>
        <v>4382737.5599999996</v>
      </c>
      <c r="D431" s="314"/>
      <c r="E431" s="232"/>
    </row>
    <row r="432" spans="1:7" ht="12.6" customHeight="1" x14ac:dyDescent="0.2">
      <c r="A432" s="194" t="s">
        <v>445</v>
      </c>
      <c r="B432" s="194">
        <f t="shared" si="12"/>
        <v>181803922.60000002</v>
      </c>
      <c r="C432" s="194">
        <f t="shared" si="13"/>
        <v>181803922.85051626</v>
      </c>
      <c r="D432" s="314"/>
      <c r="E432" s="232"/>
    </row>
    <row r="433" spans="1:7" ht="12.6" customHeight="1" x14ac:dyDescent="0.2">
      <c r="A433" s="194" t="s">
        <v>6</v>
      </c>
      <c r="B433" s="194">
        <f t="shared" si="12"/>
        <v>33862830.280000001</v>
      </c>
      <c r="C433" s="194">
        <f t="shared" si="13"/>
        <v>33862828</v>
      </c>
      <c r="D433" s="314">
        <f>C217</f>
        <v>33862830.280000001</v>
      </c>
      <c r="E433" s="232"/>
    </row>
    <row r="434" spans="1:7" ht="12.6" customHeight="1" x14ac:dyDescent="0.2">
      <c r="A434" s="194" t="s">
        <v>474</v>
      </c>
      <c r="B434" s="194">
        <f t="shared" si="12"/>
        <v>15998782.84</v>
      </c>
      <c r="C434" s="194">
        <f t="shared" si="13"/>
        <v>15998782.84</v>
      </c>
      <c r="D434" s="314">
        <f>D177</f>
        <v>15998782.84</v>
      </c>
      <c r="E434" s="232"/>
    </row>
    <row r="435" spans="1:7" ht="12.6" customHeight="1" x14ac:dyDescent="0.2">
      <c r="A435" s="194" t="s">
        <v>447</v>
      </c>
      <c r="B435" s="194">
        <f t="shared" si="12"/>
        <v>7025576.5600000005</v>
      </c>
      <c r="C435" s="194"/>
      <c r="D435" s="314">
        <f>D181</f>
        <v>7025576.5600000005</v>
      </c>
    </row>
    <row r="436" spans="1:7" ht="12.6" customHeight="1" x14ac:dyDescent="0.2">
      <c r="A436" s="194" t="s">
        <v>475</v>
      </c>
      <c r="B436" s="194">
        <f t="shared" si="12"/>
        <v>28745347.59</v>
      </c>
      <c r="C436" s="194"/>
      <c r="D436" s="314">
        <f>D186</f>
        <v>28745347.59</v>
      </c>
    </row>
    <row r="437" spans="1:7" ht="12.6" customHeight="1" x14ac:dyDescent="0.2">
      <c r="A437" s="194" t="s">
        <v>449</v>
      </c>
      <c r="B437" s="194">
        <f t="shared" si="12"/>
        <v>164600.78999999998</v>
      </c>
      <c r="C437" s="194"/>
      <c r="D437" s="314">
        <f>D190</f>
        <v>164600.79</v>
      </c>
    </row>
    <row r="438" spans="1:7" ht="12.6" customHeight="1" x14ac:dyDescent="0.2">
      <c r="A438" s="194" t="s">
        <v>476</v>
      </c>
      <c r="B438" s="194">
        <f>C386+C387+C388</f>
        <v>35935524.939999998</v>
      </c>
      <c r="C438" s="194">
        <f>CD69</f>
        <v>35935524.939999998</v>
      </c>
      <c r="D438" s="314">
        <f>D181+D186+D190</f>
        <v>35935524.939999998</v>
      </c>
    </row>
    <row r="439" spans="1:7" ht="12.6" customHeight="1" x14ac:dyDescent="0.2">
      <c r="A439" s="194" t="s">
        <v>451</v>
      </c>
      <c r="B439" s="194">
        <f>C389</f>
        <v>8099100.6099998951</v>
      </c>
      <c r="C439" s="194">
        <f>SUM(C69:CC69)</f>
        <v>8099100.6100000013</v>
      </c>
      <c r="D439" s="316"/>
      <c r="E439" s="232"/>
    </row>
    <row r="440" spans="1:7" ht="12.6" customHeight="1" x14ac:dyDescent="0.2">
      <c r="A440" s="179" t="s">
        <v>477</v>
      </c>
      <c r="B440" s="194">
        <f>B438+B439</f>
        <v>44034625.549999893</v>
      </c>
      <c r="C440" s="194">
        <f>CE69</f>
        <v>44034625.549999997</v>
      </c>
      <c r="D440" s="287"/>
    </row>
    <row r="441" spans="1:7" ht="12.6" customHeight="1" x14ac:dyDescent="0.2">
      <c r="A441" s="179" t="s">
        <v>478</v>
      </c>
      <c r="B441" s="179">
        <f>D390</f>
        <v>790199719.80999994</v>
      </c>
      <c r="C441" s="179">
        <f>SUM(C427:C437)+C440</f>
        <v>790199718.05051661</v>
      </c>
      <c r="D441" s="287"/>
    </row>
    <row r="442" spans="1:7" ht="12.6" customHeight="1" x14ac:dyDescent="0.2">
      <c r="A442" s="206"/>
      <c r="B442" s="206"/>
      <c r="C442" s="206"/>
      <c r="D442" s="315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287"/>
    </row>
    <row r="444" spans="1:7" ht="12.6" customHeight="1" x14ac:dyDescent="0.2">
      <c r="A444" s="179" t="s">
        <v>1257</v>
      </c>
      <c r="B444" s="179">
        <f>D221</f>
        <v>12550417.58</v>
      </c>
      <c r="C444" s="179">
        <f>C363</f>
        <v>12550417.58</v>
      </c>
      <c r="D444" s="287"/>
    </row>
    <row r="445" spans="1:7" ht="12.6" customHeight="1" x14ac:dyDescent="0.2">
      <c r="A445" s="194" t="s">
        <v>343</v>
      </c>
      <c r="B445" s="194">
        <f>D229</f>
        <v>2382780108.8599997</v>
      </c>
      <c r="C445" s="194">
        <f>C364</f>
        <v>2382780108.8600011</v>
      </c>
      <c r="D445" s="314"/>
    </row>
    <row r="446" spans="1:7" ht="12.6" customHeight="1" x14ac:dyDescent="0.2">
      <c r="A446" s="194" t="s">
        <v>351</v>
      </c>
      <c r="B446" s="194">
        <f>D236</f>
        <v>25276355.09</v>
      </c>
      <c r="C446" s="194">
        <f>C365</f>
        <v>25276355.09</v>
      </c>
      <c r="D446" s="314"/>
    </row>
    <row r="447" spans="1:7" ht="12.6" customHeight="1" x14ac:dyDescent="0.2">
      <c r="A447" s="194" t="s">
        <v>356</v>
      </c>
      <c r="B447" s="194">
        <f>D240</f>
        <v>22089597.349999998</v>
      </c>
      <c r="C447" s="194">
        <f>C366</f>
        <v>22089597.349999998</v>
      </c>
      <c r="D447" s="314"/>
    </row>
    <row r="448" spans="1:7" ht="12.6" customHeight="1" x14ac:dyDescent="0.2">
      <c r="A448" s="194" t="s">
        <v>358</v>
      </c>
      <c r="B448" s="194">
        <f>D242</f>
        <v>2442696478.8799996</v>
      </c>
      <c r="C448" s="194">
        <f>D367</f>
        <v>2442696478.8800011</v>
      </c>
      <c r="D448" s="314"/>
    </row>
    <row r="449" spans="1:7" ht="12.6" customHeight="1" x14ac:dyDescent="0.2">
      <c r="A449" s="206"/>
      <c r="B449" s="206"/>
      <c r="C449" s="206"/>
      <c r="D449" s="315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315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11923</v>
      </c>
    </row>
    <row r="454" spans="1:7" ht="12.6" customHeight="1" x14ac:dyDescent="0.2">
      <c r="A454" s="179" t="s">
        <v>168</v>
      </c>
      <c r="B454" s="179">
        <f>C233</f>
        <v>7624468.9299999997</v>
      </c>
      <c r="C454" s="179"/>
      <c r="D454" s="287"/>
    </row>
    <row r="455" spans="1:7" ht="12.6" customHeight="1" x14ac:dyDescent="0.2">
      <c r="A455" s="179" t="s">
        <v>131</v>
      </c>
      <c r="B455" s="179">
        <f>C234</f>
        <v>17651886.16</v>
      </c>
      <c r="C455" s="179"/>
      <c r="D455" s="287"/>
    </row>
    <row r="456" spans="1:7" ht="12.6" customHeight="1" x14ac:dyDescent="0.2">
      <c r="A456" s="206"/>
      <c r="B456" s="206"/>
      <c r="C456" s="206"/>
      <c r="D456" s="315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287"/>
    </row>
    <row r="458" spans="1:7" ht="12.6" customHeight="1" x14ac:dyDescent="0.2">
      <c r="A458" s="179" t="s">
        <v>487</v>
      </c>
      <c r="B458" s="194">
        <f>C370</f>
        <v>18133636.68</v>
      </c>
      <c r="C458" s="194">
        <f>CE70</f>
        <v>18133636.280000001</v>
      </c>
      <c r="D458" s="31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314"/>
    </row>
    <row r="460" spans="1:7" ht="12.6" customHeight="1" x14ac:dyDescent="0.2">
      <c r="A460" s="206"/>
      <c r="B460" s="206"/>
      <c r="C460" s="206"/>
      <c r="D460" s="315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313" t="s">
        <v>1245</v>
      </c>
    </row>
    <row r="462" spans="1:7" ht="12.6" customHeight="1" x14ac:dyDescent="0.2">
      <c r="B462" s="181" t="s">
        <v>471</v>
      </c>
      <c r="C462" s="181" t="s">
        <v>486</v>
      </c>
      <c r="D462" s="313" t="s">
        <v>490</v>
      </c>
    </row>
    <row r="463" spans="1:7" ht="12.6" customHeight="1" x14ac:dyDescent="0.2">
      <c r="A463" s="179" t="s">
        <v>245</v>
      </c>
      <c r="B463" s="194">
        <f>C359</f>
        <v>1849598903.3499999</v>
      </c>
      <c r="C463" s="194">
        <f>CE73</f>
        <v>1849598903.3499999</v>
      </c>
      <c r="D463" s="314">
        <f>E141+E147+E153</f>
        <v>1849598903.3499999</v>
      </c>
    </row>
    <row r="464" spans="1:7" ht="12.6" customHeight="1" x14ac:dyDescent="0.2">
      <c r="A464" s="179" t="s">
        <v>246</v>
      </c>
      <c r="B464" s="194">
        <f>C360</f>
        <v>1371310936.8700001</v>
      </c>
      <c r="C464" s="194">
        <f>CE74</f>
        <v>1371310936.8700001</v>
      </c>
      <c r="D464" s="314">
        <f>E142+E148+E154</f>
        <v>1371310936.8699999</v>
      </c>
    </row>
    <row r="465" spans="1:7" ht="12.6" customHeight="1" x14ac:dyDescent="0.2">
      <c r="A465" s="179" t="s">
        <v>247</v>
      </c>
      <c r="B465" s="194">
        <f>D361</f>
        <v>3220909840.2200003</v>
      </c>
      <c r="C465" s="194">
        <f>CE75</f>
        <v>3220909840.2200003</v>
      </c>
      <c r="D465" s="314">
        <f>D463+D464</f>
        <v>3220909840.2199998</v>
      </c>
    </row>
    <row r="466" spans="1:7" ht="12.6" customHeight="1" x14ac:dyDescent="0.2">
      <c r="A466" s="206"/>
      <c r="B466" s="206"/>
      <c r="C466" s="206"/>
      <c r="D466" s="315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287"/>
    </row>
    <row r="468" spans="1:7" ht="12.6" customHeight="1" x14ac:dyDescent="0.2">
      <c r="A468" s="194" t="s">
        <v>332</v>
      </c>
      <c r="B468" s="194">
        <f t="shared" ref="B468:B475" si="14">C267</f>
        <v>7877314.96</v>
      </c>
      <c r="C468" s="194">
        <f>E195</f>
        <v>7877314.96</v>
      </c>
      <c r="D468" s="314"/>
    </row>
    <row r="469" spans="1:7" ht="12.6" customHeight="1" x14ac:dyDescent="0.2">
      <c r="A469" s="194" t="s">
        <v>333</v>
      </c>
      <c r="B469" s="194">
        <f t="shared" si="14"/>
        <v>4412190.25</v>
      </c>
      <c r="C469" s="194">
        <f>E196</f>
        <v>4412190.25</v>
      </c>
      <c r="D469" s="314"/>
    </row>
    <row r="470" spans="1:7" ht="12.6" customHeight="1" x14ac:dyDescent="0.2">
      <c r="A470" s="194" t="s">
        <v>334</v>
      </c>
      <c r="B470" s="194">
        <f t="shared" si="14"/>
        <v>182905648.08999997</v>
      </c>
      <c r="C470" s="194">
        <f>E197</f>
        <v>182905648.08999997</v>
      </c>
      <c r="D470" s="314"/>
    </row>
    <row r="471" spans="1:7" ht="12.6" customHeight="1" x14ac:dyDescent="0.2">
      <c r="A471" s="194" t="s">
        <v>494</v>
      </c>
      <c r="B471" s="194">
        <f t="shared" si="14"/>
        <v>0</v>
      </c>
      <c r="C471" s="194">
        <f>E198</f>
        <v>0</v>
      </c>
      <c r="D471" s="314"/>
    </row>
    <row r="472" spans="1:7" ht="12.6" customHeight="1" x14ac:dyDescent="0.2">
      <c r="A472" s="194" t="s">
        <v>377</v>
      </c>
      <c r="B472" s="194">
        <f t="shared" si="14"/>
        <v>82484703.579999998</v>
      </c>
      <c r="C472" s="194">
        <f>E199</f>
        <v>82484703.579999998</v>
      </c>
      <c r="D472" s="314">
        <f>B472-C472</f>
        <v>0</v>
      </c>
    </row>
    <row r="473" spans="1:7" ht="12.6" customHeight="1" x14ac:dyDescent="0.2">
      <c r="A473" s="194" t="s">
        <v>495</v>
      </c>
      <c r="B473" s="194">
        <f t="shared" si="14"/>
        <v>289061757.60450006</v>
      </c>
      <c r="C473" s="194">
        <f>SUM(E200:E201)</f>
        <v>289061757.60450006</v>
      </c>
      <c r="D473" s="314"/>
    </row>
    <row r="474" spans="1:7" ht="12.6" customHeight="1" x14ac:dyDescent="0.2">
      <c r="A474" s="194" t="s">
        <v>339</v>
      </c>
      <c r="B474" s="194">
        <f t="shared" si="14"/>
        <v>50485420.550000004</v>
      </c>
      <c r="C474" s="194">
        <f>E202</f>
        <v>50485420.550000004</v>
      </c>
      <c r="D474" s="314"/>
    </row>
    <row r="475" spans="1:7" ht="12.6" customHeight="1" x14ac:dyDescent="0.2">
      <c r="A475" s="194" t="s">
        <v>340</v>
      </c>
      <c r="B475" s="194">
        <f t="shared" si="14"/>
        <v>6879788.9899999984</v>
      </c>
      <c r="C475" s="194">
        <f>E203</f>
        <v>6879788.9899999928</v>
      </c>
      <c r="D475" s="314"/>
    </row>
    <row r="476" spans="1:7" ht="12.6" customHeight="1" x14ac:dyDescent="0.2">
      <c r="A476" s="194" t="s">
        <v>203</v>
      </c>
      <c r="B476" s="194">
        <f>D275</f>
        <v>624106824.02450001</v>
      </c>
      <c r="C476" s="194">
        <f>E204</f>
        <v>624106824.02450001</v>
      </c>
      <c r="D476" s="314">
        <f>B476-C476</f>
        <v>0</v>
      </c>
    </row>
    <row r="477" spans="1:7" ht="12.6" customHeight="1" x14ac:dyDescent="0.2">
      <c r="A477" s="194"/>
      <c r="B477" s="194"/>
      <c r="C477" s="194"/>
      <c r="D477" s="314"/>
      <c r="F477" s="232"/>
    </row>
    <row r="478" spans="1:7" ht="12.6" customHeight="1" x14ac:dyDescent="0.2">
      <c r="A478" s="194" t="s">
        <v>496</v>
      </c>
      <c r="B478" s="194">
        <f>C276</f>
        <v>407642570.63999999</v>
      </c>
      <c r="C478" s="194">
        <f>E217</f>
        <v>407642570.63999999</v>
      </c>
      <c r="D478" s="314">
        <f>B478-C478</f>
        <v>0</v>
      </c>
      <c r="F478" s="232"/>
    </row>
    <row r="479" spans="1:7" ht="12.6" customHeight="1" x14ac:dyDescent="0.2">
      <c r="A479" s="232"/>
      <c r="B479" s="232"/>
      <c r="C479" s="232"/>
      <c r="D479" s="284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461181325.98449993</v>
      </c>
    </row>
    <row r="482" spans="1:12" ht="12.6" customHeight="1" x14ac:dyDescent="0.2">
      <c r="A482" s="180" t="s">
        <v>499</v>
      </c>
      <c r="C482" s="180">
        <f>D339</f>
        <v>461181325.91000009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032</v>
      </c>
      <c r="B493" s="259" t="s">
        <v>1268</v>
      </c>
      <c r="C493" s="259" t="str">
        <f>RIGHT(C82,4)</f>
        <v>2019</v>
      </c>
      <c r="D493" s="313" t="s">
        <v>1268</v>
      </c>
      <c r="E493" s="259" t="str">
        <f>RIGHT(C82,4)</f>
        <v>2019</v>
      </c>
      <c r="F493" s="259" t="s">
        <v>1268</v>
      </c>
      <c r="G493" s="259" t="str">
        <f>RIGHT(C82,4)</f>
        <v>2019</v>
      </c>
      <c r="H493" s="259"/>
      <c r="K493" s="259"/>
      <c r="L493" s="259"/>
    </row>
    <row r="494" spans="1:12" ht="12.6" customHeight="1" x14ac:dyDescent="0.2">
      <c r="A494" s="198"/>
      <c r="B494" s="181" t="s">
        <v>505</v>
      </c>
      <c r="C494" s="181" t="s">
        <v>505</v>
      </c>
      <c r="D494" s="317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">
      <c r="B495" s="181" t="s">
        <v>303</v>
      </c>
      <c r="C495" s="181" t="s">
        <v>303</v>
      </c>
      <c r="D495" s="313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s="232" customFormat="1" ht="12.6" customHeight="1" x14ac:dyDescent="0.2">
      <c r="A496" s="232" t="s">
        <v>512</v>
      </c>
      <c r="B496" s="318">
        <v>26551164.93</v>
      </c>
      <c r="C496" s="318">
        <f>C71</f>
        <v>27564346.390000001</v>
      </c>
      <c r="D496" s="319">
        <v>25433</v>
      </c>
      <c r="E496" s="232">
        <f>C59</f>
        <v>25242</v>
      </c>
      <c r="F496" s="320">
        <f t="shared" ref="F496:G511" si="15">IF(B496=0,"",IF(D496=0,"",B496/D496))</f>
        <v>1043.9651212990996</v>
      </c>
      <c r="G496" s="321">
        <f t="shared" si="15"/>
        <v>1092.0032640044371</v>
      </c>
      <c r="H496" s="322" t="str">
        <f>IF(B496=0,"",IF(C496=0,"",IF(D496=0,"",IF(E496=0,"",IF(G496/F496-1&lt;-0.25,G496/F496-1,IF(G496/F496-1&gt;0.25,G496/F496-1,""))))))</f>
        <v/>
      </c>
      <c r="I496" s="323"/>
      <c r="K496" s="324"/>
      <c r="L496" s="324"/>
    </row>
    <row r="497" spans="1:12" ht="12.6" customHeight="1" x14ac:dyDescent="0.2">
      <c r="A497" s="180" t="s">
        <v>513</v>
      </c>
      <c r="B497" s="238">
        <v>0</v>
      </c>
      <c r="C497" s="238">
        <f>D71</f>
        <v>0</v>
      </c>
      <c r="D497" s="325"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">
      <c r="A498" s="180" t="s">
        <v>514</v>
      </c>
      <c r="B498" s="238">
        <v>45324978.640000001</v>
      </c>
      <c r="C498" s="238">
        <f>E71</f>
        <v>52160928.861550003</v>
      </c>
      <c r="D498" s="325">
        <v>72116</v>
      </c>
      <c r="E498" s="180">
        <f>E59</f>
        <v>75484</v>
      </c>
      <c r="F498" s="261">
        <f t="shared" si="15"/>
        <v>628.50100726607138</v>
      </c>
      <c r="G498" s="261">
        <f t="shared" si="15"/>
        <v>691.01967120913048</v>
      </c>
      <c r="H498" s="263" t="str">
        <f t="shared" si="16"/>
        <v/>
      </c>
      <c r="I498" s="265"/>
      <c r="K498" s="259"/>
      <c r="L498" s="259"/>
    </row>
    <row r="499" spans="1:12" ht="12.6" customHeight="1" x14ac:dyDescent="0.2">
      <c r="A499" s="180" t="s">
        <v>515</v>
      </c>
      <c r="B499" s="238">
        <v>0</v>
      </c>
      <c r="C499" s="238">
        <f>F71</f>
        <v>0</v>
      </c>
      <c r="D499" s="325"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">
      <c r="A500" s="180" t="s">
        <v>516</v>
      </c>
      <c r="B500" s="238">
        <v>4950575.1899999995</v>
      </c>
      <c r="C500" s="238">
        <f>G71</f>
        <v>170094.19945000001</v>
      </c>
      <c r="D500" s="325">
        <v>5646</v>
      </c>
      <c r="E500" s="180">
        <f>G59</f>
        <v>0</v>
      </c>
      <c r="F500" s="261">
        <f t="shared" si="15"/>
        <v>876.82876195536653</v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">
      <c r="A501" s="180" t="s">
        <v>517</v>
      </c>
      <c r="B501" s="238">
        <v>5575060.2699999996</v>
      </c>
      <c r="C501" s="238">
        <f>H71</f>
        <v>5266565.74</v>
      </c>
      <c r="D501" s="325">
        <v>7563</v>
      </c>
      <c r="E501" s="180">
        <f>H59</f>
        <v>6214.29</v>
      </c>
      <c r="F501" s="261">
        <f t="shared" si="15"/>
        <v>737.14931508660584</v>
      </c>
      <c r="G501" s="261">
        <f t="shared" si="15"/>
        <v>847.4927529935037</v>
      </c>
      <c r="H501" s="263" t="str">
        <f t="shared" si="16"/>
        <v/>
      </c>
      <c r="I501" s="265"/>
      <c r="K501" s="259"/>
      <c r="L501" s="259"/>
    </row>
    <row r="502" spans="1:12" ht="12.6" customHeight="1" x14ac:dyDescent="0.2">
      <c r="A502" s="180" t="s">
        <v>518</v>
      </c>
      <c r="B502" s="238">
        <v>0</v>
      </c>
      <c r="C502" s="238">
        <f>I71</f>
        <v>0</v>
      </c>
      <c r="D502" s="325"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">
      <c r="A503" s="232" t="s">
        <v>519</v>
      </c>
      <c r="B503" s="318">
        <v>8128542.6399999987</v>
      </c>
      <c r="C503" s="318">
        <f>J71</f>
        <v>8539303.3199999984</v>
      </c>
      <c r="D503" s="319">
        <v>10888</v>
      </c>
      <c r="E503" s="232">
        <f>J59</f>
        <v>10866</v>
      </c>
      <c r="F503" s="320">
        <f t="shared" si="15"/>
        <v>746.55975753122698</v>
      </c>
      <c r="G503" s="320">
        <f t="shared" si="15"/>
        <v>785.87367200441736</v>
      </c>
      <c r="H503" s="322" t="str">
        <f t="shared" si="16"/>
        <v/>
      </c>
      <c r="I503" s="265"/>
      <c r="K503" s="259"/>
      <c r="L503" s="259"/>
    </row>
    <row r="504" spans="1:12" ht="12.6" customHeight="1" x14ac:dyDescent="0.2">
      <c r="A504" s="232" t="s">
        <v>520</v>
      </c>
      <c r="B504" s="318">
        <v>0</v>
      </c>
      <c r="C504" s="318">
        <f>K71</f>
        <v>0</v>
      </c>
      <c r="D504" s="319">
        <v>0</v>
      </c>
      <c r="E504" s="232">
        <f>K59</f>
        <v>0</v>
      </c>
      <c r="F504" s="320" t="str">
        <f t="shared" si="15"/>
        <v/>
      </c>
      <c r="G504" s="320" t="str">
        <f t="shared" si="15"/>
        <v/>
      </c>
      <c r="H504" s="322" t="str">
        <f t="shared" si="16"/>
        <v/>
      </c>
      <c r="I504" s="265"/>
      <c r="K504" s="259"/>
      <c r="L504" s="259"/>
    </row>
    <row r="505" spans="1:12" ht="12.6" customHeight="1" x14ac:dyDescent="0.2">
      <c r="A505" s="180" t="s">
        <v>521</v>
      </c>
      <c r="B505" s="238">
        <v>0</v>
      </c>
      <c r="C505" s="238">
        <f>L71</f>
        <v>0</v>
      </c>
      <c r="D505" s="325">
        <v>0</v>
      </c>
      <c r="E505" s="180">
        <f>L59</f>
        <v>0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">
      <c r="A506" s="180" t="s">
        <v>522</v>
      </c>
      <c r="B506" s="238">
        <v>0</v>
      </c>
      <c r="C506" s="238">
        <f>M71</f>
        <v>0</v>
      </c>
      <c r="D506" s="325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">
      <c r="A507" s="180" t="s">
        <v>523</v>
      </c>
      <c r="B507" s="238">
        <v>0</v>
      </c>
      <c r="C507" s="238">
        <f>N71</f>
        <v>0</v>
      </c>
      <c r="D507" s="325"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">
      <c r="A508" s="232" t="s">
        <v>524</v>
      </c>
      <c r="B508" s="318">
        <v>19261759.660000004</v>
      </c>
      <c r="C508" s="318">
        <f>O71</f>
        <v>20741144.960000005</v>
      </c>
      <c r="D508" s="319">
        <v>19960</v>
      </c>
      <c r="E508" s="232">
        <f>O59</f>
        <v>19875</v>
      </c>
      <c r="F508" s="320">
        <f t="shared" si="15"/>
        <v>965.01801903807632</v>
      </c>
      <c r="G508" s="320">
        <f t="shared" si="15"/>
        <v>1043.579620628931</v>
      </c>
      <c r="H508" s="322" t="str">
        <f t="shared" si="16"/>
        <v/>
      </c>
      <c r="I508" s="323"/>
      <c r="K508" s="259"/>
      <c r="L508" s="259"/>
    </row>
    <row r="509" spans="1:12" ht="12.6" customHeight="1" x14ac:dyDescent="0.2">
      <c r="A509" s="232" t="s">
        <v>525</v>
      </c>
      <c r="B509" s="318">
        <v>92160046.105000004</v>
      </c>
      <c r="C509" s="318">
        <f>P71</f>
        <v>91747162.649300203</v>
      </c>
      <c r="D509" s="319">
        <v>2611928</v>
      </c>
      <c r="E509" s="232">
        <f>P59</f>
        <v>1757258</v>
      </c>
      <c r="F509" s="320">
        <f t="shared" si="15"/>
        <v>35.284298075980658</v>
      </c>
      <c r="G509" s="320">
        <f t="shared" si="15"/>
        <v>52.210411134449352</v>
      </c>
      <c r="H509" s="322">
        <f t="shared" si="16"/>
        <v>0.47970666787873362</v>
      </c>
      <c r="I509" s="323" t="s">
        <v>1278</v>
      </c>
      <c r="J509" s="326"/>
      <c r="K509" s="259"/>
      <c r="L509" s="259"/>
    </row>
    <row r="510" spans="1:12" ht="12.6" customHeight="1" x14ac:dyDescent="0.2">
      <c r="A510" s="232" t="s">
        <v>526</v>
      </c>
      <c r="B510" s="318">
        <v>2721287.9200000009</v>
      </c>
      <c r="C510" s="318">
        <f>Q71</f>
        <v>2586207.71</v>
      </c>
      <c r="D510" s="319">
        <v>1201215</v>
      </c>
      <c r="E510" s="232">
        <f>Q59</f>
        <v>1201215</v>
      </c>
      <c r="F510" s="320">
        <f t="shared" si="15"/>
        <v>2.2654461690871335</v>
      </c>
      <c r="G510" s="320">
        <f t="shared" si="15"/>
        <v>2.1529931860657752</v>
      </c>
      <c r="H510" s="322" t="str">
        <f t="shared" si="16"/>
        <v/>
      </c>
      <c r="I510" s="323"/>
      <c r="K510" s="259"/>
      <c r="L510" s="259"/>
    </row>
    <row r="511" spans="1:12" ht="12.6" customHeight="1" x14ac:dyDescent="0.2">
      <c r="A511" s="232" t="s">
        <v>527</v>
      </c>
      <c r="B511" s="318">
        <v>0</v>
      </c>
      <c r="C511" s="318">
        <f>R71</f>
        <v>0</v>
      </c>
      <c r="D511" s="319">
        <v>0</v>
      </c>
      <c r="E511" s="232">
        <f>R59</f>
        <v>0</v>
      </c>
      <c r="F511" s="320" t="str">
        <f t="shared" si="15"/>
        <v/>
      </c>
      <c r="G511" s="320" t="str">
        <f t="shared" si="15"/>
        <v/>
      </c>
      <c r="H511" s="322" t="str">
        <f t="shared" si="16"/>
        <v/>
      </c>
      <c r="I511" s="323"/>
      <c r="K511" s="259"/>
      <c r="L511" s="259"/>
    </row>
    <row r="512" spans="1:12" ht="12.6" customHeight="1" x14ac:dyDescent="0.2">
      <c r="A512" s="232" t="s">
        <v>528</v>
      </c>
      <c r="B512" s="318">
        <v>5014774.4713701997</v>
      </c>
      <c r="C512" s="318">
        <f>S71</f>
        <v>5104517.4126225486</v>
      </c>
      <c r="D512" s="327" t="s">
        <v>529</v>
      </c>
      <c r="E512" s="328" t="s">
        <v>529</v>
      </c>
      <c r="F512" s="320" t="str">
        <f t="shared" ref="F512:G527" si="17">IF(B512=0,"",IF(D512=0,"",B512/D512))</f>
        <v/>
      </c>
      <c r="G512" s="320" t="str">
        <f t="shared" si="17"/>
        <v/>
      </c>
      <c r="H512" s="322" t="str">
        <f t="shared" si="16"/>
        <v/>
      </c>
      <c r="I512" s="323"/>
      <c r="K512" s="259"/>
      <c r="L512" s="259"/>
    </row>
    <row r="513" spans="1:12" ht="12.6" customHeight="1" x14ac:dyDescent="0.2">
      <c r="A513" s="232" t="s">
        <v>1246</v>
      </c>
      <c r="B513" s="318">
        <v>3079357.0999999996</v>
      </c>
      <c r="C513" s="318">
        <f>T71</f>
        <v>2400977.1987000005</v>
      </c>
      <c r="D513" s="327" t="s">
        <v>529</v>
      </c>
      <c r="E513" s="328" t="s">
        <v>529</v>
      </c>
      <c r="F513" s="320" t="str">
        <f t="shared" si="17"/>
        <v/>
      </c>
      <c r="G513" s="320" t="str">
        <f t="shared" si="17"/>
        <v/>
      </c>
      <c r="H513" s="322" t="str">
        <f t="shared" si="16"/>
        <v/>
      </c>
      <c r="I513" s="323"/>
      <c r="K513" s="259"/>
      <c r="L513" s="259"/>
    </row>
    <row r="514" spans="1:12" ht="12.6" customHeight="1" x14ac:dyDescent="0.2">
      <c r="A514" s="232" t="s">
        <v>530</v>
      </c>
      <c r="B514" s="318">
        <v>20130215.870000001</v>
      </c>
      <c r="C514" s="318">
        <f>U71</f>
        <v>21200214.919999994</v>
      </c>
      <c r="D514" s="319">
        <v>2875360</v>
      </c>
      <c r="E514" s="232">
        <f>U59</f>
        <v>1372424</v>
      </c>
      <c r="F514" s="320">
        <f t="shared" si="17"/>
        <v>7.0009375765121584</v>
      </c>
      <c r="G514" s="320">
        <f t="shared" si="17"/>
        <v>15.447277896626694</v>
      </c>
      <c r="H514" s="322">
        <f t="shared" si="16"/>
        <v>1.2064584532865483</v>
      </c>
      <c r="I514" s="323" t="s">
        <v>1279</v>
      </c>
      <c r="K514" s="259"/>
      <c r="L514" s="259"/>
    </row>
    <row r="515" spans="1:12" ht="12.6" customHeight="1" x14ac:dyDescent="0.2">
      <c r="A515" s="232" t="s">
        <v>531</v>
      </c>
      <c r="B515" s="318">
        <v>6380226.5599999996</v>
      </c>
      <c r="C515" s="318">
        <f>V71</f>
        <v>14006000.57</v>
      </c>
      <c r="D515" s="319">
        <v>0</v>
      </c>
      <c r="E515" s="232">
        <f>V59</f>
        <v>0</v>
      </c>
      <c r="F515" s="320" t="str">
        <f t="shared" si="17"/>
        <v/>
      </c>
      <c r="G515" s="320" t="str">
        <f t="shared" si="17"/>
        <v/>
      </c>
      <c r="H515" s="322" t="str">
        <f t="shared" si="16"/>
        <v/>
      </c>
      <c r="I515" s="323"/>
      <c r="K515" s="259"/>
      <c r="L515" s="259"/>
    </row>
    <row r="516" spans="1:12" ht="12.6" customHeight="1" x14ac:dyDescent="0.2">
      <c r="A516" s="232" t="s">
        <v>532</v>
      </c>
      <c r="B516" s="318">
        <v>0</v>
      </c>
      <c r="C516" s="318">
        <f>W71</f>
        <v>0</v>
      </c>
      <c r="D516" s="319">
        <v>0</v>
      </c>
      <c r="E516" s="232">
        <f>W59</f>
        <v>7418</v>
      </c>
      <c r="F516" s="320" t="str">
        <f t="shared" si="17"/>
        <v/>
      </c>
      <c r="G516" s="320" t="str">
        <f t="shared" si="17"/>
        <v/>
      </c>
      <c r="H516" s="322" t="str">
        <f t="shared" si="16"/>
        <v/>
      </c>
      <c r="I516" s="323"/>
      <c r="K516" s="259"/>
      <c r="L516" s="259"/>
    </row>
    <row r="517" spans="1:12" ht="12.6" customHeight="1" x14ac:dyDescent="0.2">
      <c r="A517" s="232" t="s">
        <v>533</v>
      </c>
      <c r="B517" s="318">
        <v>1535419.2900000003</v>
      </c>
      <c r="C517" s="318">
        <f>X71</f>
        <v>1848614.98</v>
      </c>
      <c r="D517" s="319">
        <v>25118</v>
      </c>
      <c r="E517" s="232">
        <f>X59</f>
        <v>30284</v>
      </c>
      <c r="F517" s="320">
        <f t="shared" si="17"/>
        <v>61.128246277569879</v>
      </c>
      <c r="G517" s="320">
        <f t="shared" si="17"/>
        <v>61.042629111081759</v>
      </c>
      <c r="H517" s="322" t="str">
        <f t="shared" si="16"/>
        <v/>
      </c>
      <c r="I517" s="323"/>
      <c r="K517" s="259"/>
      <c r="L517" s="259"/>
    </row>
    <row r="518" spans="1:12" ht="12.6" customHeight="1" x14ac:dyDescent="0.2">
      <c r="A518" s="232" t="s">
        <v>534</v>
      </c>
      <c r="B518" s="318">
        <v>14806044.130000001</v>
      </c>
      <c r="C518" s="318">
        <f>Y71</f>
        <v>14684452.969999999</v>
      </c>
      <c r="D518" s="319">
        <v>210018</v>
      </c>
      <c r="E518" s="232">
        <f>Y59</f>
        <v>200111</v>
      </c>
      <c r="F518" s="320">
        <f t="shared" si="17"/>
        <v>70.498929282252007</v>
      </c>
      <c r="G518" s="320">
        <f t="shared" si="17"/>
        <v>73.381538096356522</v>
      </c>
      <c r="H518" s="322" t="str">
        <f t="shared" si="16"/>
        <v/>
      </c>
      <c r="I518" s="323"/>
      <c r="K518" s="259"/>
      <c r="L518" s="259"/>
    </row>
    <row r="519" spans="1:12" ht="12.6" customHeight="1" x14ac:dyDescent="0.2">
      <c r="A519" s="232" t="s">
        <v>535</v>
      </c>
      <c r="B519" s="318">
        <v>0</v>
      </c>
      <c r="C519" s="318">
        <f>Z71</f>
        <v>0</v>
      </c>
      <c r="D519" s="319">
        <v>0</v>
      </c>
      <c r="E519" s="232">
        <f>Z59</f>
        <v>0</v>
      </c>
      <c r="F519" s="320" t="str">
        <f t="shared" si="17"/>
        <v/>
      </c>
      <c r="G519" s="320" t="str">
        <f t="shared" si="17"/>
        <v/>
      </c>
      <c r="H519" s="322" t="str">
        <f t="shared" si="16"/>
        <v/>
      </c>
      <c r="I519" s="323"/>
      <c r="K519" s="259"/>
      <c r="L519" s="259"/>
    </row>
    <row r="520" spans="1:12" ht="12.6" customHeight="1" x14ac:dyDescent="0.2">
      <c r="A520" s="232" t="s">
        <v>536</v>
      </c>
      <c r="B520" s="318">
        <v>1506419.68</v>
      </c>
      <c r="C520" s="318">
        <f>AA71</f>
        <v>1696094.2</v>
      </c>
      <c r="D520" s="319">
        <v>4861</v>
      </c>
      <c r="E520" s="232">
        <f>AA59</f>
        <v>6052</v>
      </c>
      <c r="F520" s="320">
        <f t="shared" si="17"/>
        <v>309.8991318658712</v>
      </c>
      <c r="G520" s="320">
        <f t="shared" si="17"/>
        <v>280.25350297422341</v>
      </c>
      <c r="H520" s="322" t="str">
        <f t="shared" si="16"/>
        <v/>
      </c>
      <c r="I520" s="323"/>
      <c r="K520" s="259"/>
      <c r="L520" s="259"/>
    </row>
    <row r="521" spans="1:12" ht="12.6" customHeight="1" x14ac:dyDescent="0.2">
      <c r="A521" s="232" t="s">
        <v>537</v>
      </c>
      <c r="B521" s="318">
        <v>27262122.710000001</v>
      </c>
      <c r="C521" s="318">
        <f>AB71</f>
        <v>29155082.859999999</v>
      </c>
      <c r="D521" s="327" t="s">
        <v>529</v>
      </c>
      <c r="E521" s="328" t="s">
        <v>529</v>
      </c>
      <c r="F521" s="320" t="str">
        <f t="shared" si="17"/>
        <v/>
      </c>
      <c r="G521" s="320" t="str">
        <f t="shared" si="17"/>
        <v/>
      </c>
      <c r="H521" s="322" t="str">
        <f t="shared" si="16"/>
        <v/>
      </c>
      <c r="I521" s="323"/>
      <c r="K521" s="259"/>
      <c r="L521" s="259"/>
    </row>
    <row r="522" spans="1:12" ht="12.6" customHeight="1" x14ac:dyDescent="0.2">
      <c r="A522" s="232" t="s">
        <v>538</v>
      </c>
      <c r="B522" s="318">
        <v>4299746.16</v>
      </c>
      <c r="C522" s="318">
        <f>AC71</f>
        <v>4473415.92</v>
      </c>
      <c r="D522" s="319">
        <v>65948</v>
      </c>
      <c r="E522" s="232">
        <f>AC59</f>
        <v>63420</v>
      </c>
      <c r="F522" s="320">
        <f t="shared" si="17"/>
        <v>65.199038029963006</v>
      </c>
      <c r="G522" s="320">
        <f t="shared" si="17"/>
        <v>70.536359508041627</v>
      </c>
      <c r="H522" s="322" t="str">
        <f t="shared" si="16"/>
        <v/>
      </c>
      <c r="I522" s="323"/>
      <c r="K522" s="259"/>
      <c r="L522" s="259"/>
    </row>
    <row r="523" spans="1:12" ht="12.6" customHeight="1" x14ac:dyDescent="0.2">
      <c r="A523" s="232" t="s">
        <v>539</v>
      </c>
      <c r="B523" s="318">
        <v>6151571.1399999997</v>
      </c>
      <c r="C523" s="318">
        <f>AD71</f>
        <v>2321837.2499999995</v>
      </c>
      <c r="D523" s="319">
        <v>0</v>
      </c>
      <c r="E523" s="232">
        <f>AD59</f>
        <v>0</v>
      </c>
      <c r="F523" s="320" t="str">
        <f t="shared" si="17"/>
        <v/>
      </c>
      <c r="G523" s="320" t="str">
        <f t="shared" si="17"/>
        <v/>
      </c>
      <c r="H523" s="322" t="str">
        <f t="shared" si="16"/>
        <v/>
      </c>
      <c r="I523" s="323"/>
      <c r="K523" s="259"/>
      <c r="L523" s="259"/>
    </row>
    <row r="524" spans="1:12" ht="12.6" customHeight="1" x14ac:dyDescent="0.2">
      <c r="A524" s="232" t="s">
        <v>540</v>
      </c>
      <c r="B524" s="318">
        <v>5267343.4000000013</v>
      </c>
      <c r="C524" s="318">
        <f>AE71</f>
        <v>4691192.8900000006</v>
      </c>
      <c r="D524" s="319">
        <v>164091</v>
      </c>
      <c r="E524" s="232">
        <f>AE59</f>
        <v>143127</v>
      </c>
      <c r="F524" s="320">
        <f t="shared" si="17"/>
        <v>32.100135900201728</v>
      </c>
      <c r="G524" s="320">
        <f t="shared" si="17"/>
        <v>32.776435543258785</v>
      </c>
      <c r="H524" s="322" t="str">
        <f t="shared" si="16"/>
        <v/>
      </c>
      <c r="I524" s="323"/>
      <c r="K524" s="259"/>
      <c r="L524" s="259"/>
    </row>
    <row r="525" spans="1:12" ht="12.6" customHeight="1" x14ac:dyDescent="0.2">
      <c r="A525" s="232" t="s">
        <v>541</v>
      </c>
      <c r="B525" s="318">
        <v>0</v>
      </c>
      <c r="C525" s="318">
        <f>AF71</f>
        <v>0</v>
      </c>
      <c r="D525" s="319">
        <v>0</v>
      </c>
      <c r="E525" s="232">
        <f>AF59</f>
        <v>0</v>
      </c>
      <c r="F525" s="320" t="str">
        <f t="shared" si="17"/>
        <v/>
      </c>
      <c r="G525" s="320" t="str">
        <f t="shared" si="17"/>
        <v/>
      </c>
      <c r="H525" s="322" t="str">
        <f t="shared" si="16"/>
        <v/>
      </c>
      <c r="I525" s="323"/>
      <c r="K525" s="259"/>
      <c r="L525" s="259"/>
    </row>
    <row r="526" spans="1:12" s="232" customFormat="1" ht="12.6" customHeight="1" x14ac:dyDescent="0.2">
      <c r="A526" s="232" t="s">
        <v>542</v>
      </c>
      <c r="B526" s="318">
        <v>21702705.16</v>
      </c>
      <c r="C526" s="318">
        <f>AG71</f>
        <v>21230375.7234</v>
      </c>
      <c r="D526" s="319">
        <v>50081</v>
      </c>
      <c r="E526" s="232">
        <f>AG59</f>
        <v>49565</v>
      </c>
      <c r="F526" s="320">
        <f t="shared" si="17"/>
        <v>433.35207284199595</v>
      </c>
      <c r="G526" s="320">
        <f t="shared" si="17"/>
        <v>428.33402044587916</v>
      </c>
      <c r="H526" s="322" t="str">
        <f t="shared" si="16"/>
        <v/>
      </c>
      <c r="I526" s="323"/>
      <c r="K526" s="324"/>
      <c r="L526" s="324"/>
    </row>
    <row r="527" spans="1:12" ht="12.6" customHeight="1" x14ac:dyDescent="0.2">
      <c r="A527" s="232" t="s">
        <v>543</v>
      </c>
      <c r="B527" s="318">
        <v>0</v>
      </c>
      <c r="C527" s="318">
        <f>AH71</f>
        <v>0</v>
      </c>
      <c r="D527" s="319">
        <v>0</v>
      </c>
      <c r="E527" s="232">
        <f>AH59</f>
        <v>0</v>
      </c>
      <c r="F527" s="320" t="str">
        <f t="shared" si="17"/>
        <v/>
      </c>
      <c r="G527" s="320" t="str">
        <f t="shared" si="17"/>
        <v/>
      </c>
      <c r="H527" s="322" t="str">
        <f t="shared" si="16"/>
        <v/>
      </c>
      <c r="I527" s="323"/>
      <c r="K527" s="259"/>
      <c r="L527" s="259"/>
    </row>
    <row r="528" spans="1:12" ht="12.6" customHeight="1" x14ac:dyDescent="0.2">
      <c r="A528" s="232" t="s">
        <v>544</v>
      </c>
      <c r="B528" s="318">
        <v>14813983.459999997</v>
      </c>
      <c r="C528" s="318">
        <f>AI71</f>
        <v>14803782.939999998</v>
      </c>
      <c r="D528" s="319">
        <v>14940</v>
      </c>
      <c r="E528" s="232">
        <f>AI59</f>
        <v>14617</v>
      </c>
      <c r="F528" s="320">
        <f t="shared" ref="F528:G540" si="18">IF(B528=0,"",IF(D528=0,"",B528/D528))</f>
        <v>991.56515796519398</v>
      </c>
      <c r="G528" s="320">
        <f t="shared" si="18"/>
        <v>1012.7784730108776</v>
      </c>
      <c r="H528" s="322" t="str">
        <f t="shared" si="16"/>
        <v/>
      </c>
      <c r="I528" s="323"/>
      <c r="K528" s="259"/>
      <c r="L528" s="259"/>
    </row>
    <row r="529" spans="1:12" ht="12.6" customHeight="1" x14ac:dyDescent="0.2">
      <c r="A529" s="232" t="s">
        <v>545</v>
      </c>
      <c r="B529" s="318">
        <v>7221632.0799999991</v>
      </c>
      <c r="C529" s="318">
        <f>AJ71</f>
        <v>140945366.35000002</v>
      </c>
      <c r="D529" s="319">
        <v>25537</v>
      </c>
      <c r="E529" s="232">
        <f>AJ59</f>
        <v>36043</v>
      </c>
      <c r="F529" s="320">
        <f t="shared" si="18"/>
        <v>282.79093393899046</v>
      </c>
      <c r="G529" s="320">
        <f t="shared" si="18"/>
        <v>3910.478216297201</v>
      </c>
      <c r="H529" s="322">
        <f t="shared" si="16"/>
        <v>12.828159770994818</v>
      </c>
      <c r="I529" s="323" t="s">
        <v>1280</v>
      </c>
      <c r="K529" s="259"/>
      <c r="L529" s="259"/>
    </row>
    <row r="530" spans="1:12" ht="12.6" customHeight="1" x14ac:dyDescent="0.2">
      <c r="A530" s="232" t="s">
        <v>546</v>
      </c>
      <c r="B530" s="318">
        <v>2382546.7900000005</v>
      </c>
      <c r="C530" s="318">
        <f>AK71</f>
        <v>1823776.4700000002</v>
      </c>
      <c r="D530" s="319">
        <v>74450</v>
      </c>
      <c r="E530" s="232">
        <f>AK59</f>
        <v>52005</v>
      </c>
      <c r="F530" s="320">
        <f t="shared" si="18"/>
        <v>32.001971658831437</v>
      </c>
      <c r="G530" s="320">
        <f t="shared" si="18"/>
        <v>35.069252379578892</v>
      </c>
      <c r="H530" s="322" t="str">
        <f t="shared" si="16"/>
        <v/>
      </c>
      <c r="I530" s="323"/>
      <c r="K530" s="259"/>
      <c r="L530" s="259"/>
    </row>
    <row r="531" spans="1:12" ht="12.6" customHeight="1" x14ac:dyDescent="0.2">
      <c r="A531" s="232" t="s">
        <v>547</v>
      </c>
      <c r="B531" s="318">
        <v>672614.29999999993</v>
      </c>
      <c r="C531" s="318">
        <f>AL71</f>
        <v>591806.84999999986</v>
      </c>
      <c r="D531" s="319">
        <v>8770</v>
      </c>
      <c r="E531" s="232">
        <f>AL59</f>
        <v>6844</v>
      </c>
      <c r="F531" s="320">
        <f t="shared" si="18"/>
        <v>76.694903078677299</v>
      </c>
      <c r="G531" s="320">
        <f t="shared" si="18"/>
        <v>86.470901519579172</v>
      </c>
      <c r="H531" s="322" t="str">
        <f t="shared" si="16"/>
        <v/>
      </c>
      <c r="I531" s="323"/>
      <c r="K531" s="259"/>
      <c r="L531" s="259"/>
    </row>
    <row r="532" spans="1:12" ht="12.6" customHeight="1" x14ac:dyDescent="0.2">
      <c r="A532" s="232" t="s">
        <v>548</v>
      </c>
      <c r="B532" s="318">
        <v>0</v>
      </c>
      <c r="C532" s="318">
        <f>AM71</f>
        <v>0</v>
      </c>
      <c r="D532" s="319">
        <v>0</v>
      </c>
      <c r="E532" s="232">
        <f>AM59</f>
        <v>0</v>
      </c>
      <c r="F532" s="320" t="str">
        <f t="shared" si="18"/>
        <v/>
      </c>
      <c r="G532" s="320" t="str">
        <f t="shared" si="18"/>
        <v/>
      </c>
      <c r="H532" s="322" t="str">
        <f t="shared" si="16"/>
        <v/>
      </c>
      <c r="I532" s="323"/>
      <c r="K532" s="259"/>
      <c r="L532" s="259"/>
    </row>
    <row r="533" spans="1:12" ht="12.6" customHeight="1" x14ac:dyDescent="0.2">
      <c r="A533" s="232" t="s">
        <v>1247</v>
      </c>
      <c r="B533" s="318">
        <v>44612</v>
      </c>
      <c r="C533" s="318">
        <f>AN71</f>
        <v>0</v>
      </c>
      <c r="D533" s="319">
        <v>0</v>
      </c>
      <c r="E533" s="232">
        <f>AN59</f>
        <v>0</v>
      </c>
      <c r="F533" s="320" t="str">
        <f t="shared" si="18"/>
        <v/>
      </c>
      <c r="G533" s="320" t="str">
        <f t="shared" si="18"/>
        <v/>
      </c>
      <c r="H533" s="322" t="str">
        <f t="shared" si="16"/>
        <v/>
      </c>
      <c r="I533" s="323"/>
      <c r="K533" s="259"/>
      <c r="L533" s="259"/>
    </row>
    <row r="534" spans="1:12" ht="12.6" customHeight="1" x14ac:dyDescent="0.2">
      <c r="A534" s="232" t="s">
        <v>549</v>
      </c>
      <c r="B534" s="318">
        <v>0</v>
      </c>
      <c r="C534" s="318">
        <f>AO71</f>
        <v>0</v>
      </c>
      <c r="D534" s="319">
        <v>0</v>
      </c>
      <c r="E534" s="232">
        <f>AO59</f>
        <v>0</v>
      </c>
      <c r="F534" s="320" t="str">
        <f t="shared" si="18"/>
        <v/>
      </c>
      <c r="G534" s="320" t="str">
        <f t="shared" si="18"/>
        <v/>
      </c>
      <c r="H534" s="322" t="str">
        <f t="shared" si="16"/>
        <v/>
      </c>
      <c r="I534" s="323"/>
      <c r="K534" s="259"/>
      <c r="L534" s="259"/>
    </row>
    <row r="535" spans="1:12" ht="12.6" customHeight="1" x14ac:dyDescent="0.2">
      <c r="A535" s="232" t="s">
        <v>550</v>
      </c>
      <c r="B535" s="318">
        <v>182782.51999999979</v>
      </c>
      <c r="C535" s="318">
        <f>AP71</f>
        <v>513959.37</v>
      </c>
      <c r="D535" s="319">
        <v>888</v>
      </c>
      <c r="E535" s="232">
        <f>AP59</f>
        <v>1085</v>
      </c>
      <c r="F535" s="320">
        <f t="shared" si="18"/>
        <v>205.83617117117092</v>
      </c>
      <c r="G535" s="320">
        <f t="shared" si="18"/>
        <v>473.69527188940094</v>
      </c>
      <c r="H535" s="322">
        <f t="shared" si="16"/>
        <v>1.3013218191640457</v>
      </c>
      <c r="I535" s="329" t="s">
        <v>1281</v>
      </c>
      <c r="K535" s="259"/>
      <c r="L535" s="259"/>
    </row>
    <row r="536" spans="1:12" ht="12.6" customHeight="1" x14ac:dyDescent="0.2">
      <c r="A536" s="232" t="s">
        <v>551</v>
      </c>
      <c r="B536" s="318">
        <v>0</v>
      </c>
      <c r="C536" s="318">
        <f>AQ71</f>
        <v>0</v>
      </c>
      <c r="D536" s="319">
        <v>0</v>
      </c>
      <c r="E536" s="232">
        <f>AQ59</f>
        <v>0</v>
      </c>
      <c r="F536" s="320" t="str">
        <f t="shared" si="18"/>
        <v/>
      </c>
      <c r="G536" s="320" t="str">
        <f t="shared" si="18"/>
        <v/>
      </c>
      <c r="H536" s="322" t="str">
        <f t="shared" si="16"/>
        <v/>
      </c>
      <c r="I536" s="323"/>
      <c r="K536" s="259"/>
      <c r="L536" s="259"/>
    </row>
    <row r="537" spans="1:12" ht="12.6" customHeight="1" x14ac:dyDescent="0.2">
      <c r="A537" s="232" t="s">
        <v>552</v>
      </c>
      <c r="B537" s="318">
        <v>47434101.059999995</v>
      </c>
      <c r="C537" s="318">
        <f>AR71</f>
        <v>55385424.979999997</v>
      </c>
      <c r="D537" s="319">
        <v>385162</v>
      </c>
      <c r="E537" s="232">
        <f>AR59</f>
        <v>386436</v>
      </c>
      <c r="F537" s="320">
        <f t="shared" si="18"/>
        <v>123.15363680736935</v>
      </c>
      <c r="G537" s="320">
        <f t="shared" si="18"/>
        <v>143.323668032999</v>
      </c>
      <c r="H537" s="322" t="str">
        <f t="shared" si="16"/>
        <v/>
      </c>
      <c r="I537" s="323"/>
      <c r="K537" s="259"/>
      <c r="L537" s="259"/>
    </row>
    <row r="538" spans="1:12" ht="12.6" customHeight="1" x14ac:dyDescent="0.2">
      <c r="A538" s="232" t="s">
        <v>553</v>
      </c>
      <c r="B538" s="318">
        <v>0</v>
      </c>
      <c r="C538" s="318">
        <f>AS71</f>
        <v>0</v>
      </c>
      <c r="D538" s="319">
        <v>0</v>
      </c>
      <c r="E538" s="232">
        <f>AS59</f>
        <v>0</v>
      </c>
      <c r="F538" s="320" t="str">
        <f t="shared" si="18"/>
        <v/>
      </c>
      <c r="G538" s="320" t="str">
        <f t="shared" si="18"/>
        <v/>
      </c>
      <c r="H538" s="322" t="str">
        <f t="shared" si="16"/>
        <v/>
      </c>
      <c r="I538" s="323"/>
      <c r="K538" s="259"/>
      <c r="L538" s="259"/>
    </row>
    <row r="539" spans="1:12" ht="12.6" customHeight="1" x14ac:dyDescent="0.2">
      <c r="A539" s="232" t="s">
        <v>554</v>
      </c>
      <c r="B539" s="318">
        <v>0</v>
      </c>
      <c r="C539" s="318">
        <f>AT71</f>
        <v>0</v>
      </c>
      <c r="D539" s="319">
        <v>0</v>
      </c>
      <c r="E539" s="232">
        <f>AT59</f>
        <v>0</v>
      </c>
      <c r="F539" s="320" t="str">
        <f t="shared" si="18"/>
        <v/>
      </c>
      <c r="G539" s="320" t="str">
        <f t="shared" si="18"/>
        <v/>
      </c>
      <c r="H539" s="322" t="str">
        <f t="shared" si="16"/>
        <v/>
      </c>
      <c r="I539" s="323"/>
      <c r="K539" s="259"/>
      <c r="L539" s="259"/>
    </row>
    <row r="540" spans="1:12" ht="12.6" customHeight="1" x14ac:dyDescent="0.2">
      <c r="A540" s="180" t="s">
        <v>555</v>
      </c>
      <c r="B540" s="238">
        <v>0</v>
      </c>
      <c r="C540" s="238">
        <f>AU71</f>
        <v>0</v>
      </c>
      <c r="D540" s="325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">
      <c r="A541" s="180" t="s">
        <v>556</v>
      </c>
      <c r="B541" s="238">
        <v>15169183.031400003</v>
      </c>
      <c r="C541" s="238">
        <f>AV71</f>
        <v>11892882.373459999</v>
      </c>
      <c r="D541" s="313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">
      <c r="A542" s="180" t="s">
        <v>1248</v>
      </c>
      <c r="B542" s="238">
        <v>0</v>
      </c>
      <c r="C542" s="238">
        <f>AW71</f>
        <v>0</v>
      </c>
      <c r="D542" s="313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">
      <c r="A543" s="180" t="s">
        <v>557</v>
      </c>
      <c r="B543" s="238">
        <v>2285.6268999999998</v>
      </c>
      <c r="C543" s="238">
        <f>AX71</f>
        <v>276736.07519999996</v>
      </c>
      <c r="D543" s="313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">
      <c r="A544" s="180" t="s">
        <v>558</v>
      </c>
      <c r="B544" s="238">
        <v>0</v>
      </c>
      <c r="C544" s="238">
        <f>AY71</f>
        <v>0</v>
      </c>
      <c r="D544" s="325">
        <v>577277</v>
      </c>
      <c r="E544" s="180">
        <f>AY59</f>
        <v>416105</v>
      </c>
      <c r="F544" s="261" t="str">
        <f t="shared" ref="F544:G550" si="19">IF(B544=0,"",IF(D544=0,"",B544/D544))</f>
        <v/>
      </c>
      <c r="G544" s="261" t="str">
        <f t="shared" si="19"/>
        <v/>
      </c>
      <c r="H544" s="263" t="str">
        <f t="shared" si="16"/>
        <v/>
      </c>
      <c r="I544" s="265"/>
      <c r="K544" s="259"/>
      <c r="L544" s="259"/>
    </row>
    <row r="545" spans="1:13" ht="12.6" customHeight="1" x14ac:dyDescent="0.2">
      <c r="A545" s="180" t="s">
        <v>559</v>
      </c>
      <c r="B545" s="238">
        <v>8715114.0000000019</v>
      </c>
      <c r="C545" s="238">
        <f>AZ71</f>
        <v>9308161.3900000025</v>
      </c>
      <c r="D545" s="325">
        <v>1456766</v>
      </c>
      <c r="E545" s="180">
        <f>AZ59</f>
        <v>930126</v>
      </c>
      <c r="F545" s="261">
        <f t="shared" si="19"/>
        <v>5.9825078289855762</v>
      </c>
      <c r="G545" s="261">
        <f t="shared" si="19"/>
        <v>10.007419844193155</v>
      </c>
      <c r="H545" s="263">
        <f t="shared" si="16"/>
        <v>0.67278006653107258</v>
      </c>
      <c r="I545" s="265"/>
      <c r="K545" s="259"/>
      <c r="L545" s="259"/>
    </row>
    <row r="546" spans="1:13" ht="12.6" customHeight="1" x14ac:dyDescent="0.2">
      <c r="A546" s="180" t="s">
        <v>560</v>
      </c>
      <c r="B546" s="238">
        <v>298453.90000000002</v>
      </c>
      <c r="C546" s="238">
        <f>BA71</f>
        <v>408574.01000000007</v>
      </c>
      <c r="D546" s="325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">
      <c r="A547" s="180" t="s">
        <v>561</v>
      </c>
      <c r="B547" s="238">
        <v>0</v>
      </c>
      <c r="C547" s="238">
        <f>BB71</f>
        <v>0</v>
      </c>
      <c r="D547" s="313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">
      <c r="A548" s="180" t="s">
        <v>562</v>
      </c>
      <c r="B548" s="238">
        <v>1478429.7300000002</v>
      </c>
      <c r="C548" s="238">
        <f>BC71</f>
        <v>664600.69000000006</v>
      </c>
      <c r="D548" s="313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">
      <c r="A549" s="180" t="s">
        <v>563</v>
      </c>
      <c r="B549" s="238">
        <v>0</v>
      </c>
      <c r="C549" s="238">
        <f>BD71</f>
        <v>0</v>
      </c>
      <c r="D549" s="313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">
      <c r="A550" s="180" t="s">
        <v>564</v>
      </c>
      <c r="B550" s="238">
        <v>30191842.9322</v>
      </c>
      <c r="C550" s="238">
        <f>BE71</f>
        <v>28700266.812399995</v>
      </c>
      <c r="D550" s="325">
        <v>888995</v>
      </c>
      <c r="E550" s="180">
        <f>BE59</f>
        <v>850148</v>
      </c>
      <c r="F550" s="261">
        <f t="shared" si="19"/>
        <v>33.961769112537191</v>
      </c>
      <c r="G550" s="261">
        <f t="shared" si="19"/>
        <v>33.759141716971627</v>
      </c>
      <c r="H550" s="263" t="str">
        <f t="shared" si="16"/>
        <v/>
      </c>
      <c r="I550" s="265"/>
      <c r="K550" s="259"/>
      <c r="L550" s="259"/>
    </row>
    <row r="551" spans="1:13" ht="12.6" customHeight="1" x14ac:dyDescent="0.2">
      <c r="A551" s="180" t="s">
        <v>565</v>
      </c>
      <c r="B551" s="238">
        <v>6574842.580000001</v>
      </c>
      <c r="C551" s="238">
        <f>BF71</f>
        <v>6825132.8600000003</v>
      </c>
      <c r="D551" s="313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">
      <c r="A552" s="180" t="s">
        <v>566</v>
      </c>
      <c r="B552" s="238">
        <v>110463.8404</v>
      </c>
      <c r="C552" s="238">
        <f>BG71</f>
        <v>1191320.3351499999</v>
      </c>
      <c r="D552" s="313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">
      <c r="A553" s="180" t="s">
        <v>567</v>
      </c>
      <c r="B553" s="238">
        <v>-698446.68900000001</v>
      </c>
      <c r="C553" s="238">
        <f>BH71</f>
        <v>5189987.8909999998</v>
      </c>
      <c r="D553" s="313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">
      <c r="A554" s="180" t="s">
        <v>568</v>
      </c>
      <c r="B554" s="238">
        <v>-70107.420000000042</v>
      </c>
      <c r="C554" s="238">
        <f>BI71</f>
        <v>-193721.75000000006</v>
      </c>
      <c r="D554" s="313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">
      <c r="A555" s="180" t="s">
        <v>569</v>
      </c>
      <c r="B555" s="238">
        <v>1938000.52489797</v>
      </c>
      <c r="C555" s="238">
        <f>BJ71</f>
        <v>1239152.4813499996</v>
      </c>
      <c r="D555" s="313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">
      <c r="A556" s="180" t="s">
        <v>570</v>
      </c>
      <c r="B556" s="238">
        <v>7339247.2191812899</v>
      </c>
      <c r="C556" s="238">
        <f>BK71</f>
        <v>8085774.038851345</v>
      </c>
      <c r="D556" s="313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">
      <c r="A557" s="180" t="s">
        <v>571</v>
      </c>
      <c r="B557" s="238">
        <v>7774794.2580751805</v>
      </c>
      <c r="C557" s="238">
        <f>BL71</f>
        <v>7802620.0387800001</v>
      </c>
      <c r="D557" s="313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">
      <c r="A558" s="180" t="s">
        <v>572</v>
      </c>
      <c r="B558" s="238">
        <v>0</v>
      </c>
      <c r="C558" s="238">
        <f>BM71</f>
        <v>0</v>
      </c>
      <c r="D558" s="313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">
      <c r="A559" s="180" t="s">
        <v>573</v>
      </c>
      <c r="B559" s="238">
        <v>28229306.798752606</v>
      </c>
      <c r="C559" s="238">
        <f>BN71</f>
        <v>23548762.266933471</v>
      </c>
      <c r="D559" s="313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">
      <c r="A560" s="180" t="s">
        <v>574</v>
      </c>
      <c r="B560" s="238">
        <v>1067275.4931999999</v>
      </c>
      <c r="C560" s="238">
        <f>BO71</f>
        <v>903228.29629999993</v>
      </c>
      <c r="D560" s="313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">
      <c r="A561" s="180" t="s">
        <v>575</v>
      </c>
      <c r="B561" s="238">
        <v>1399108.6538</v>
      </c>
      <c r="C561" s="238">
        <f>BP71</f>
        <v>4759957.9238999989</v>
      </c>
      <c r="D561" s="313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">
      <c r="A562" s="180" t="s">
        <v>576</v>
      </c>
      <c r="B562" s="238">
        <v>0</v>
      </c>
      <c r="C562" s="238">
        <f>BQ71</f>
        <v>0</v>
      </c>
      <c r="D562" s="313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">
      <c r="A563" s="180" t="s">
        <v>577</v>
      </c>
      <c r="B563" s="238">
        <v>4423639.8734999998</v>
      </c>
      <c r="C563" s="238">
        <f>BR71</f>
        <v>3041936.1810500063</v>
      </c>
      <c r="D563" s="313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">
      <c r="A564" s="180" t="s">
        <v>1249</v>
      </c>
      <c r="B564" s="238">
        <v>52.155200000000001</v>
      </c>
      <c r="C564" s="238">
        <f>BS71</f>
        <v>249573.94244999991</v>
      </c>
      <c r="D564" s="313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">
      <c r="A565" s="180" t="s">
        <v>578</v>
      </c>
      <c r="B565" s="238">
        <v>382833.01910000003</v>
      </c>
      <c r="C565" s="238">
        <f>BT71</f>
        <v>725438.13594999991</v>
      </c>
      <c r="D565" s="313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">
      <c r="A566" s="180" t="s">
        <v>579</v>
      </c>
      <c r="B566" s="238">
        <v>125375.68770000001</v>
      </c>
      <c r="C566" s="238">
        <f>BU71</f>
        <v>148855.08905000004</v>
      </c>
      <c r="D566" s="313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">
      <c r="A567" s="180" t="s">
        <v>580</v>
      </c>
      <c r="B567" s="238">
        <v>10641643.689107802</v>
      </c>
      <c r="C567" s="238">
        <f>BV71</f>
        <v>11279047.736275665</v>
      </c>
      <c r="D567" s="313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">
      <c r="A568" s="180" t="s">
        <v>581</v>
      </c>
      <c r="B568" s="238">
        <v>1300871.7238059998</v>
      </c>
      <c r="C568" s="238">
        <f>BW71</f>
        <v>2193227.9204805247</v>
      </c>
      <c r="D568" s="313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">
      <c r="A569" s="180" t="s">
        <v>582</v>
      </c>
      <c r="B569" s="238">
        <v>5362295.0302633392</v>
      </c>
      <c r="C569" s="238">
        <f>BX71</f>
        <v>11463193.24275312</v>
      </c>
      <c r="D569" s="313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">
      <c r="A570" s="180" t="s">
        <v>583</v>
      </c>
      <c r="B570" s="238">
        <v>5422947.6624000007</v>
      </c>
      <c r="C570" s="238">
        <f>BY71</f>
        <v>5797849.101449999</v>
      </c>
      <c r="D570" s="313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">
      <c r="A571" s="180" t="s">
        <v>584</v>
      </c>
      <c r="B571" s="238">
        <v>0</v>
      </c>
      <c r="C571" s="238">
        <f>BZ71</f>
        <v>0</v>
      </c>
      <c r="D571" s="313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">
      <c r="A572" s="180" t="s">
        <v>585</v>
      </c>
      <c r="B572" s="238">
        <v>2351529.0645000003</v>
      </c>
      <c r="C572" s="238">
        <f>CA71</f>
        <v>2111521.1044000005</v>
      </c>
      <c r="D572" s="313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">
      <c r="A573" s="180" t="s">
        <v>586</v>
      </c>
      <c r="B573" s="238">
        <v>161798.63440000004</v>
      </c>
      <c r="C573" s="238">
        <f>CB71</f>
        <v>149799.47584999999</v>
      </c>
      <c r="D573" s="313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">
      <c r="A574" s="180" t="s">
        <v>587</v>
      </c>
      <c r="B574" s="238">
        <v>48173383.736194782</v>
      </c>
      <c r="C574" s="238">
        <f>CC71</f>
        <v>42714031.482459575</v>
      </c>
      <c r="D574" s="313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">
      <c r="A575" s="180" t="s">
        <v>588</v>
      </c>
      <c r="B575" s="238">
        <v>33031680.609999999</v>
      </c>
      <c r="C575" s="238">
        <f>CD71</f>
        <v>35935524.939999998</v>
      </c>
      <c r="D575" s="313" t="s">
        <v>529</v>
      </c>
      <c r="E575" s="181" t="s">
        <v>529</v>
      </c>
      <c r="F575" s="261"/>
      <c r="G575" s="261"/>
      <c r="H575" s="263"/>
    </row>
    <row r="576" spans="1:13" ht="12.6" customHeight="1" x14ac:dyDescent="0.2">
      <c r="M576" s="263"/>
    </row>
    <row r="577" spans="13:13" ht="12.6" customHeight="1" x14ac:dyDescent="0.2">
      <c r="M577" s="263"/>
    </row>
    <row r="578" spans="13:13" ht="12.6" customHeight="1" x14ac:dyDescent="0.2">
      <c r="M578" s="263"/>
    </row>
    <row r="612" spans="1:14" ht="12.6" customHeight="1" x14ac:dyDescent="0.2">
      <c r="A612" s="196"/>
      <c r="C612" s="181" t="s">
        <v>589</v>
      </c>
      <c r="D612" s="250">
        <f>CE76-(BE76+CD76)</f>
        <v>675654.8713</v>
      </c>
      <c r="E612" s="180">
        <f>SUM(C624:D647)+SUM(C668:D713)</f>
        <v>681953211.2476728</v>
      </c>
      <c r="F612" s="180">
        <f>CE64-(AX64+BD64+BE64+BG64+BJ64+BN64+BP64+BQ64+CB64+CC64+CD64)</f>
        <v>113872853.80000021</v>
      </c>
      <c r="G612" s="180">
        <f>CE77-(AX77+AY77+BD77+BE77+BG77+BJ77+BN77+BP77+BQ77+CB77+CC77+CD77)</f>
        <v>416105</v>
      </c>
      <c r="H612" s="197">
        <f>CE60-(AX60+AY60+AZ60+BD60+BE60+BG60+BJ60+BN60+BO60+BP60+BQ60+BR60+CB60+CC60+CD60)</f>
        <v>3064.0575330769229</v>
      </c>
      <c r="I612" s="180">
        <f>CE78-(AX78+AY78+AZ78+BD78+BE78+BF78+BG78+BJ78+BN78+BO78+BP78+BQ78+BR78+CB78+CC78+CD78)</f>
        <v>169481.52000000002</v>
      </c>
      <c r="J612" s="180">
        <f>CE79-(AX79+AY79+AZ79+BA79+BD79+BE79+BF79+BG79+BJ79+BN79+BO79+BP79+BQ79+BR79+CB79+CC79+CD79)</f>
        <v>2767712.82</v>
      </c>
      <c r="K612" s="180">
        <f>CE75-(AW75+AX75+AY75+AZ75+BA75+BB75+BC75+BD75+BE75+BF75+BG75+BH75+BI75+BJ75+BK75+BL75+BM75+BN75+BO75+BP75+BQ75+BR75+BS75+BT75+BU75+BV75+BW75+BX75+CB75+CC75+CD75)</f>
        <v>3220909840.2200003</v>
      </c>
      <c r="L612" s="197">
        <f>CE80-(AW80+AX80+AY80+AZ80+BA80+BB80+BC80+BD80+BE80+BF80+BG80+BH80+BI80+BJ80+BK80+BL80+BM80+BN80+BO80+BP80+BQ80+BR80+BS80+BT80+BU80+BV80+BW80+BX80+BY80+BZ80+CA80+CB80+CC80+CD80)</f>
        <v>998.65476442307704</v>
      </c>
    </row>
    <row r="613" spans="1:14" ht="12.6" customHeight="1" x14ac:dyDescent="0.2">
      <c r="A613" s="196"/>
      <c r="C613" s="181" t="s">
        <v>590</v>
      </c>
      <c r="D613" s="313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28700266.812399995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1">
        <f>CD69-CD70</f>
        <v>35935524.939999998</v>
      </c>
      <c r="D615" s="330">
        <f>SUM(C614:C615)</f>
        <v>64635791.752399996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276736.07519999996</v>
      </c>
      <c r="D616" s="25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1239152.4813499996</v>
      </c>
      <c r="D617" s="25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1191320.3351499999</v>
      </c>
      <c r="D618" s="25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23548762.266933471</v>
      </c>
      <c r="D619" s="250">
        <f>(D615/D612)*BN76</f>
        <v>16233110.482000919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42714031.482459575</v>
      </c>
      <c r="D620" s="25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4759957.9238999989</v>
      </c>
      <c r="D621" s="25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149799.47584999999</v>
      </c>
      <c r="D622" s="25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250">
        <f>(D615/D612)*BQ76</f>
        <v>0</v>
      </c>
      <c r="E623" s="180">
        <f>SUM(C616:D623)</f>
        <v>90112870.522843957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0</v>
      </c>
      <c r="D624" s="25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0</v>
      </c>
      <c r="D625" s="25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3041936.1810500063</v>
      </c>
      <c r="D626" s="250">
        <f>(D615/D612)*BR76</f>
        <v>0</v>
      </c>
      <c r="E626" s="180">
        <f>(E623/E612)*SUM(C626:D626)</f>
        <v>401959.5431190941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903228.29629999993</v>
      </c>
      <c r="D627" s="250">
        <f>(D615/D612)*BO76</f>
        <v>0</v>
      </c>
      <c r="E627" s="180">
        <f>(E623/E612)*SUM(C627:D627)</f>
        <v>119352.02177307526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9308161.3900000025</v>
      </c>
      <c r="D628" s="250">
        <f>(D615/D612)*AZ76</f>
        <v>1821288.7655589371</v>
      </c>
      <c r="E628" s="180">
        <f>(E623/E612)*SUM(C628:D628)</f>
        <v>1470638.5780095567</v>
      </c>
      <c r="F628" s="180">
        <f>(F624/F612)*AZ64</f>
        <v>0</v>
      </c>
      <c r="G628" s="180">
        <f>(G625/G612)*AZ77</f>
        <v>0</v>
      </c>
      <c r="H628" s="180">
        <f>SUM(C626:G628)</f>
        <v>17066564.77581067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6825132.8600000003</v>
      </c>
      <c r="D629" s="250">
        <f>(D615/D612)*BF76</f>
        <v>197641.65320605805</v>
      </c>
      <c r="E629" s="180">
        <f>(E623/E612)*SUM(C629:D629)</f>
        <v>927985.02885827655</v>
      </c>
      <c r="F629" s="180">
        <f>(F624/F612)*BF64</f>
        <v>0</v>
      </c>
      <c r="G629" s="180">
        <f>(G625/G612)*BF77</f>
        <v>0</v>
      </c>
      <c r="H629" s="180">
        <f>(H628/H612)*BF60</f>
        <v>453837.33266151528</v>
      </c>
      <c r="I629" s="180">
        <f>SUM(C629:H629)</f>
        <v>8404596.8747258503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408574.01000000007</v>
      </c>
      <c r="D630" s="250">
        <f>(D615/D612)*BA76</f>
        <v>405997.66515319957</v>
      </c>
      <c r="E630" s="180">
        <f>(E623/E612)*SUM(C630:D630)</f>
        <v>107636.99134191427</v>
      </c>
      <c r="F630" s="180">
        <f>(F624/F612)*BA64</f>
        <v>0</v>
      </c>
      <c r="G630" s="180">
        <f>(G625/G612)*BA77</f>
        <v>0</v>
      </c>
      <c r="H630" s="180">
        <f>(H628/H612)*BA60</f>
        <v>32639.749256216001</v>
      </c>
      <c r="I630" s="180">
        <f>(I629/I612)*BA78</f>
        <v>73565.562185930059</v>
      </c>
      <c r="J630" s="180">
        <f>SUM(C630:I630)</f>
        <v>1028413.9779372599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25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25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664600.69000000006</v>
      </c>
      <c r="D633" s="250">
        <f>(D615/D612)*BC76</f>
        <v>0</v>
      </c>
      <c r="E633" s="180">
        <f>(E623/E612)*SUM(C633:D633)</f>
        <v>87819.919225531965</v>
      </c>
      <c r="F633" s="180">
        <f>(F624/F612)*BC64</f>
        <v>0</v>
      </c>
      <c r="G633" s="180">
        <f>(G625/G612)*BC77</f>
        <v>0</v>
      </c>
      <c r="H633" s="180">
        <f>(H628/H612)*BC60</f>
        <v>63051.529279925788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-193721.75000000006</v>
      </c>
      <c r="D634" s="250">
        <f>(D615/D612)*BI76</f>
        <v>127520.00180235982</v>
      </c>
      <c r="E634" s="180">
        <f>(E623/E612)*SUM(C634:D634)</f>
        <v>-8747.8575734036203</v>
      </c>
      <c r="F634" s="180">
        <f>(F624/F612)*BI64</f>
        <v>0</v>
      </c>
      <c r="G634" s="180">
        <f>(G625/G612)*BI77</f>
        <v>0</v>
      </c>
      <c r="H634" s="180">
        <f>(H628/H612)*BI60</f>
        <v>5235.7276963895965</v>
      </c>
      <c r="I634" s="180">
        <f>(I629/I612)*BI78</f>
        <v>23106.24278837059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8085774.038851345</v>
      </c>
      <c r="D635" s="250">
        <f>(D615/D612)*BK76</f>
        <v>0</v>
      </c>
      <c r="E635" s="180">
        <f>(E623/E612)*SUM(C635:D635)</f>
        <v>1068449.1208816357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5189987.8909999998</v>
      </c>
      <c r="D636" s="250">
        <f>(D615/D612)*BH76</f>
        <v>0</v>
      </c>
      <c r="E636" s="180">
        <f>(E623/E612)*SUM(C636:D636)</f>
        <v>685801.75167905551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7802620.0387800001</v>
      </c>
      <c r="D637" s="250">
        <f>(D615/D612)*BL76</f>
        <v>0</v>
      </c>
      <c r="E637" s="180">
        <f>(E623/E612)*SUM(C637:D637)</f>
        <v>1031033.3285287089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25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249573.94244999991</v>
      </c>
      <c r="D639" s="250">
        <f>(D615/D612)*BS76</f>
        <v>0</v>
      </c>
      <c r="E639" s="180">
        <f>(E623/E612)*SUM(C639:D639)</f>
        <v>32978.544555463151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725438.13594999991</v>
      </c>
      <c r="D640" s="250">
        <f>(D615/D612)*BT76</f>
        <v>0</v>
      </c>
      <c r="E640" s="180">
        <f>(E623/E612)*SUM(C640:D640)</f>
        <v>95858.941257267521</v>
      </c>
      <c r="F640" s="180">
        <f>(F624/F612)*BT64</f>
        <v>0</v>
      </c>
      <c r="G640" s="180">
        <f>(G625/G612)*BT77</f>
        <v>0</v>
      </c>
      <c r="H640" s="180">
        <f>(H628/H612)*BT60</f>
        <v>20385.918477431835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148855.08905000004</v>
      </c>
      <c r="D641" s="250">
        <f>(D615/D612)*BU76</f>
        <v>0</v>
      </c>
      <c r="E641" s="180">
        <f>(E623/E612)*SUM(C641:D641)</f>
        <v>19669.618303707102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11279047.736275665</v>
      </c>
      <c r="D642" s="250">
        <f>(D615/D612)*BV76</f>
        <v>904502.33836557542</v>
      </c>
      <c r="E642" s="180">
        <f>(E623/E612)*SUM(C642:D642)</f>
        <v>1609926.6815916451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163893.11745239602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2193227.9204805247</v>
      </c>
      <c r="D643" s="250">
        <f>(D615/D612)*BW76</f>
        <v>0</v>
      </c>
      <c r="E643" s="180">
        <f>(E623/E612)*SUM(C643:D643)</f>
        <v>289811.76474520529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11463193.24275312</v>
      </c>
      <c r="D644" s="250">
        <f>(D615/D612)*BX76</f>
        <v>0</v>
      </c>
      <c r="E644" s="180">
        <f>(E623/E612)*SUM(C644:D644)</f>
        <v>1514739.1806728982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55343632.845320821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5797849.101449999</v>
      </c>
      <c r="D645" s="250">
        <f>(D615/D612)*BY76</f>
        <v>93559.311149818386</v>
      </c>
      <c r="E645" s="180">
        <f>(E623/E612)*SUM(C645:D645)</f>
        <v>778487.02040790161</v>
      </c>
      <c r="F645" s="180">
        <f>(F624/F612)*BY64</f>
        <v>0</v>
      </c>
      <c r="G645" s="180">
        <f>(G625/G612)*BY77</f>
        <v>0</v>
      </c>
      <c r="H645" s="180">
        <f>(H628/H612)*BY60</f>
        <v>251203.53096507536</v>
      </c>
      <c r="I645" s="180">
        <f>(I629/I612)*BY78</f>
        <v>16952.667252082851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25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2111521.1044000005</v>
      </c>
      <c r="D647" s="250">
        <f>(D615/D612)*CA76</f>
        <v>0</v>
      </c>
      <c r="E647" s="180">
        <f>(E623/E612)*SUM(C647:D647)</f>
        <v>279015.07720585435</v>
      </c>
      <c r="F647" s="180">
        <f>(F624/F612)*CA64</f>
        <v>0</v>
      </c>
      <c r="G647" s="180">
        <f>(G625/G612)*CA77</f>
        <v>0</v>
      </c>
      <c r="H647" s="180">
        <f>(H628/H612)*CA60</f>
        <v>34255.026949783001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9362842.8397805151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214520551.71203369</v>
      </c>
      <c r="L648" s="264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313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27564346.390000001</v>
      </c>
      <c r="D668" s="250">
        <f>(D615/D612)*C76</f>
        <v>1992392.4062548745</v>
      </c>
      <c r="E668" s="180">
        <f>(E623/E612)*SUM(C668:D668)</f>
        <v>3905608.9659751174</v>
      </c>
      <c r="F668" s="180">
        <f>(F624/F612)*C64</f>
        <v>0</v>
      </c>
      <c r="G668" s="180">
        <f>(G625/G612)*C77</f>
        <v>0</v>
      </c>
      <c r="H668" s="180">
        <f>(H628/H612)*C60</f>
        <v>976476.8188426469</v>
      </c>
      <c r="I668" s="180">
        <f>(I629/I612)*C78</f>
        <v>361015.54280074587</v>
      </c>
      <c r="J668" s="180">
        <f>(J630/J612)*C79</f>
        <v>102891.18443744138</v>
      </c>
      <c r="K668" s="180">
        <f>(K644/K612)*C75</f>
        <v>1779002.9169318913</v>
      </c>
      <c r="L668" s="180">
        <f>(L647/L612)*C80</f>
        <v>1114290.5451636245</v>
      </c>
      <c r="M668" s="180">
        <f t="shared" ref="M668:M713" si="20">ROUND(SUM(D668:L668),0)</f>
        <v>10231678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25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52160928.861550003</v>
      </c>
      <c r="D670" s="250">
        <f>(D615/D612)*E76</f>
        <v>10041993.268714607</v>
      </c>
      <c r="E670" s="180">
        <f>(E623/E612)*SUM(C670:D670)</f>
        <v>8219455.1995904371</v>
      </c>
      <c r="F670" s="180">
        <f>(F624/F612)*E64</f>
        <v>0</v>
      </c>
      <c r="G670" s="180">
        <f>(G625/G612)*E77</f>
        <v>0</v>
      </c>
      <c r="H670" s="180">
        <f>(H628/H612)*E60</f>
        <v>2307452.0348758707</v>
      </c>
      <c r="I670" s="180">
        <f>(I629/I612)*E78</f>
        <v>1819579.1347754593</v>
      </c>
      <c r="J670" s="180">
        <f>(J630/J612)*E79</f>
        <v>303504.79468564026</v>
      </c>
      <c r="K670" s="180">
        <f>(K644/K612)*E75</f>
        <v>4168480.1757547008</v>
      </c>
      <c r="L670" s="180">
        <f>(L647/L612)*E80</f>
        <v>2211144.1412647171</v>
      </c>
      <c r="M670" s="180">
        <f t="shared" si="20"/>
        <v>29071609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25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170094.19945000001</v>
      </c>
      <c r="D672" s="250">
        <f>(D615/D612)*G76</f>
        <v>0</v>
      </c>
      <c r="E672" s="180">
        <f>(E623/E612)*SUM(C672:D672)</f>
        <v>22476.141059123071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22476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5266565.74</v>
      </c>
      <c r="D673" s="250">
        <f>(D615/D612)*H76</f>
        <v>191423.49857953639</v>
      </c>
      <c r="E673" s="180">
        <f>(E623/E612)*SUM(C673:D673)</f>
        <v>721215.2820152468</v>
      </c>
      <c r="F673" s="180">
        <f>(F624/F612)*H64</f>
        <v>0</v>
      </c>
      <c r="G673" s="180">
        <f>(G625/G612)*H77</f>
        <v>0</v>
      </c>
      <c r="H673" s="180">
        <f>(H628/H612)*H60</f>
        <v>231263.20633414478</v>
      </c>
      <c r="I673" s="180">
        <f>(I629/I612)*H78</f>
        <v>34685.365205948649</v>
      </c>
      <c r="J673" s="180">
        <f>(J630/J612)*H79</f>
        <v>9678.6286197928857</v>
      </c>
      <c r="K673" s="180">
        <f>(K644/K612)*H75</f>
        <v>360527.13330791384</v>
      </c>
      <c r="L673" s="180">
        <f>(L647/L612)*H80</f>
        <v>164582.73257449095</v>
      </c>
      <c r="M673" s="180">
        <f t="shared" si="20"/>
        <v>1713376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25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8539303.3199999984</v>
      </c>
      <c r="D675" s="250">
        <f>(D615/D612)*J76</f>
        <v>241264.39950904084</v>
      </c>
      <c r="E675" s="180">
        <f>(E623/E612)*SUM(C675:D675)</f>
        <v>1160258.7229959047</v>
      </c>
      <c r="F675" s="180">
        <f>(F624/F612)*J64</f>
        <v>0</v>
      </c>
      <c r="G675" s="180">
        <f>(G625/G612)*J77</f>
        <v>0</v>
      </c>
      <c r="H675" s="180">
        <f>(H628/H612)*J60</f>
        <v>294593.23176813382</v>
      </c>
      <c r="I675" s="180">
        <f>(I629/I612)*J78</f>
        <v>43716.38733103573</v>
      </c>
      <c r="J675" s="180">
        <f>(J630/J612)*J79</f>
        <v>0</v>
      </c>
      <c r="K675" s="180">
        <f>(K644/K612)*J75</f>
        <v>827235.89752551483</v>
      </c>
      <c r="L675" s="180">
        <f>(L647/L612)*J80</f>
        <v>303334.9596687571</v>
      </c>
      <c r="M675" s="180">
        <f t="shared" si="20"/>
        <v>2870404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25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25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25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25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20741144.960000005</v>
      </c>
      <c r="D680" s="250">
        <f>(D615/D612)*O76</f>
        <v>1685494.5874635866</v>
      </c>
      <c r="E680" s="180">
        <f>(E623/E612)*SUM(C680:D680)</f>
        <v>2963442.1137275277</v>
      </c>
      <c r="F680" s="180">
        <f>(F624/F612)*O64</f>
        <v>0</v>
      </c>
      <c r="G680" s="180">
        <f>(G625/G612)*O77</f>
        <v>0</v>
      </c>
      <c r="H680" s="180">
        <f>(H628/H612)*O60</f>
        <v>784133.77138056117</v>
      </c>
      <c r="I680" s="180">
        <f>(I629/I612)*O78</f>
        <v>305406.57627011929</v>
      </c>
      <c r="J680" s="180">
        <f>(J630/J612)*O79</f>
        <v>109738.55347935998</v>
      </c>
      <c r="K680" s="180">
        <f>(K644/K612)*O75</f>
        <v>2466648.5603080927</v>
      </c>
      <c r="L680" s="180">
        <f>(L647/L612)*O80</f>
        <v>798993.45143000479</v>
      </c>
      <c r="M680" s="180">
        <f t="shared" si="20"/>
        <v>9113858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91747162.649300203</v>
      </c>
      <c r="D681" s="250">
        <f>(D615/D612)*P76</f>
        <v>8568043.0918428767</v>
      </c>
      <c r="E681" s="180">
        <f>(E623/E612)*SUM(C681:D681)</f>
        <v>13255588.502744114</v>
      </c>
      <c r="F681" s="180">
        <f>(F624/F612)*P64</f>
        <v>0</v>
      </c>
      <c r="G681" s="180">
        <f>(G625/G612)*P77</f>
        <v>0</v>
      </c>
      <c r="H681" s="180">
        <f>(H628/H612)*P60</f>
        <v>1079116.8977643836</v>
      </c>
      <c r="I681" s="180">
        <f>(I629/I612)*P78</f>
        <v>1552503.772766409</v>
      </c>
      <c r="J681" s="180">
        <f>(J630/J612)*P79</f>
        <v>274889.56189681508</v>
      </c>
      <c r="K681" s="180">
        <f>(K644/K612)*P75</f>
        <v>16644097.364382792</v>
      </c>
      <c r="L681" s="180">
        <f>(L647/L612)*P80</f>
        <v>720245.21834585373</v>
      </c>
      <c r="M681" s="180">
        <f t="shared" si="20"/>
        <v>42094484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2586207.71</v>
      </c>
      <c r="D682" s="250">
        <f>(D615/D612)*Q76</f>
        <v>226627.82015738214</v>
      </c>
      <c r="E682" s="180">
        <f>(E623/E612)*SUM(C682:D682)</f>
        <v>371686.32649648265</v>
      </c>
      <c r="F682" s="180">
        <f>(F624/F612)*Q64</f>
        <v>0</v>
      </c>
      <c r="G682" s="180">
        <f>(G625/G612)*Q77</f>
        <v>0</v>
      </c>
      <c r="H682" s="180">
        <f>(H628/H612)*Q60</f>
        <v>107053.92162192345</v>
      </c>
      <c r="I682" s="180">
        <f>(I629/I612)*Q78</f>
        <v>41064.282944973682</v>
      </c>
      <c r="J682" s="180">
        <f>(J630/J612)*Q79</f>
        <v>20991.587015273875</v>
      </c>
      <c r="K682" s="180">
        <f>(K644/K612)*Q75</f>
        <v>450853.76960623031</v>
      </c>
      <c r="L682" s="180">
        <f>(L647/L612)*Q80</f>
        <v>127301.91174059354</v>
      </c>
      <c r="M682" s="180">
        <f t="shared" si="20"/>
        <v>1345580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25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5104517.4126225486</v>
      </c>
      <c r="D684" s="250">
        <f>(D615/D612)*S76</f>
        <v>1668474.382171761</v>
      </c>
      <c r="E684" s="180">
        <f>(E623/E612)*SUM(C684:D684)</f>
        <v>894978.89677789388</v>
      </c>
      <c r="F684" s="180">
        <f>(F624/F612)*S64</f>
        <v>0</v>
      </c>
      <c r="G684" s="180">
        <f>(G625/G612)*S77</f>
        <v>0</v>
      </c>
      <c r="H684" s="180">
        <f>(H628/H612)*S60</f>
        <v>342884.46488270594</v>
      </c>
      <c r="I684" s="180">
        <f>(I629/I612)*S78</f>
        <v>302322.56599547743</v>
      </c>
      <c r="J684" s="180">
        <f>(J630/J612)*S79</f>
        <v>6134.1598016866565</v>
      </c>
      <c r="K684" s="180">
        <f>(K644/K612)*S75</f>
        <v>0</v>
      </c>
      <c r="L684" s="180">
        <f>(L647/L612)*S80</f>
        <v>0</v>
      </c>
      <c r="M684" s="180">
        <f t="shared" si="20"/>
        <v>3214794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2400977.1987000005</v>
      </c>
      <c r="D685" s="250">
        <f>(D615/D612)*T76</f>
        <v>0</v>
      </c>
      <c r="E685" s="180">
        <f>(E623/E612)*SUM(C685:D685)</f>
        <v>317263.62434588809</v>
      </c>
      <c r="F685" s="180">
        <f>(F624/F612)*T64</f>
        <v>0</v>
      </c>
      <c r="G685" s="180">
        <f>(G625/G612)*T77</f>
        <v>0</v>
      </c>
      <c r="H685" s="180">
        <f>(H628/H612)*T60</f>
        <v>76140.848520899774</v>
      </c>
      <c r="I685" s="180">
        <f>(I629/I612)*T78</f>
        <v>0</v>
      </c>
      <c r="J685" s="180">
        <f>(J630/J612)*T79</f>
        <v>0</v>
      </c>
      <c r="K685" s="180">
        <f>(K644/K612)*T75</f>
        <v>219974.83573291113</v>
      </c>
      <c r="L685" s="180">
        <f>(L647/L612)*T80</f>
        <v>111930.98843289221</v>
      </c>
      <c r="M685" s="180">
        <f t="shared" si="20"/>
        <v>725310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21200214.919999994</v>
      </c>
      <c r="D686" s="250">
        <f>(D615/D612)*U76</f>
        <v>1593473.8709841766</v>
      </c>
      <c r="E686" s="180">
        <f>(E623/E612)*SUM(C686:D686)</f>
        <v>3011943.771042644</v>
      </c>
      <c r="F686" s="180">
        <f>(F624/F612)*U64</f>
        <v>0</v>
      </c>
      <c r="G686" s="180">
        <f>(G625/G612)*U77</f>
        <v>0</v>
      </c>
      <c r="H686" s="180">
        <f>(H628/H612)*U60</f>
        <v>599546.52046742151</v>
      </c>
      <c r="I686" s="180">
        <f>(I629/I612)*U78</f>
        <v>288732.69776885887</v>
      </c>
      <c r="J686" s="180">
        <f>(J630/J612)*U79</f>
        <v>3629.2994802567478</v>
      </c>
      <c r="K686" s="180">
        <f>(K644/K612)*U75</f>
        <v>2391112.4235485368</v>
      </c>
      <c r="L686" s="180">
        <f>(L647/L612)*U80</f>
        <v>43143.590357960704</v>
      </c>
      <c r="M686" s="180">
        <f t="shared" si="20"/>
        <v>7931582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14006000.57</v>
      </c>
      <c r="D687" s="250">
        <f>(D615/D612)*V76</f>
        <v>316647.56636594975</v>
      </c>
      <c r="E687" s="180">
        <f>(E623/E612)*SUM(C687:D687)</f>
        <v>1892585.7606789027</v>
      </c>
      <c r="F687" s="180">
        <f>(F624/F612)*V64</f>
        <v>0</v>
      </c>
      <c r="G687" s="180">
        <f>(G625/G612)*V77</f>
        <v>0</v>
      </c>
      <c r="H687" s="180">
        <f>(H628/H612)*V60</f>
        <v>48625.428499448069</v>
      </c>
      <c r="I687" s="180">
        <f>(I629/I612)*V78</f>
        <v>57375.591620034989</v>
      </c>
      <c r="J687" s="180">
        <f>(J630/J612)*V79</f>
        <v>0</v>
      </c>
      <c r="K687" s="180">
        <f>(K644/K612)*V75</f>
        <v>1761472.5001176521</v>
      </c>
      <c r="L687" s="180">
        <f>(L647/L612)*V80</f>
        <v>42967.845650349183</v>
      </c>
      <c r="M687" s="180">
        <f t="shared" si="20"/>
        <v>4119675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25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1848614.98</v>
      </c>
      <c r="D689" s="250">
        <f>(D615/D612)*X76</f>
        <v>0</v>
      </c>
      <c r="E689" s="180">
        <f>(E623/E612)*SUM(C689:D689)</f>
        <v>244274.82647167938</v>
      </c>
      <c r="F689" s="180">
        <f>(F624/F612)*X64</f>
        <v>0</v>
      </c>
      <c r="G689" s="180">
        <f>(G625/G612)*X77</f>
        <v>0</v>
      </c>
      <c r="H689" s="180">
        <f>(H628/H612)*X60</f>
        <v>56868.914659721049</v>
      </c>
      <c r="I689" s="180">
        <f>(I629/I612)*X78</f>
        <v>0</v>
      </c>
      <c r="J689" s="180">
        <f>(J630/J612)*X79</f>
        <v>0</v>
      </c>
      <c r="K689" s="180">
        <f>(K644/K612)*X75</f>
        <v>2484641.9659452792</v>
      </c>
      <c r="L689" s="180">
        <f>(L647/L612)*X80</f>
        <v>0</v>
      </c>
      <c r="M689" s="180">
        <f t="shared" si="20"/>
        <v>2785786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14684452.969999999</v>
      </c>
      <c r="D690" s="250">
        <f>(D615/D612)*Y76</f>
        <v>4410489.2446331559</v>
      </c>
      <c r="E690" s="180">
        <f>(E623/E612)*SUM(C690:D690)</f>
        <v>2523193.7133638607</v>
      </c>
      <c r="F690" s="180">
        <f>(F624/F612)*Y64</f>
        <v>0</v>
      </c>
      <c r="G690" s="180">
        <f>(G625/G612)*Y77</f>
        <v>0</v>
      </c>
      <c r="H690" s="180">
        <f>(H628/H612)*Y60</f>
        <v>366612.33720889705</v>
      </c>
      <c r="I690" s="180">
        <f>(I629/I612)*Y78</f>
        <v>799167.45500002825</v>
      </c>
      <c r="J690" s="180">
        <f>(J630/J612)*Y79</f>
        <v>47369.49748115796</v>
      </c>
      <c r="K690" s="180">
        <f>(K644/K612)*Y75</f>
        <v>2311473.5237024738</v>
      </c>
      <c r="L690" s="180">
        <f>(L647/L612)*Y80</f>
        <v>54591.697070783695</v>
      </c>
      <c r="M690" s="180">
        <f t="shared" si="20"/>
        <v>10512897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25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1696094.2</v>
      </c>
      <c r="D692" s="250">
        <f>(D615/D612)*AA76</f>
        <v>0</v>
      </c>
      <c r="E692" s="180">
        <f>(E623/E612)*SUM(C692:D692)</f>
        <v>224120.82606007112</v>
      </c>
      <c r="F692" s="180">
        <f>(F624/F612)*AA64</f>
        <v>0</v>
      </c>
      <c r="G692" s="180">
        <f>(G625/G612)*AA77</f>
        <v>0</v>
      </c>
      <c r="H692" s="180">
        <f>(H628/H612)*AA60</f>
        <v>37232.043722814014</v>
      </c>
      <c r="I692" s="180">
        <f>(I629/I612)*AA78</f>
        <v>0</v>
      </c>
      <c r="J692" s="180">
        <f>(J630/J612)*AA79</f>
        <v>4512.6010722452174</v>
      </c>
      <c r="K692" s="180">
        <f>(K644/K612)*AA75</f>
        <v>423144.63410620106</v>
      </c>
      <c r="L692" s="180">
        <f>(L647/L612)*AA80</f>
        <v>0</v>
      </c>
      <c r="M692" s="180">
        <f t="shared" si="20"/>
        <v>689010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29155082.859999999</v>
      </c>
      <c r="D693" s="250">
        <f>(D615/D612)*AB76</f>
        <v>1591464.9287202235</v>
      </c>
      <c r="E693" s="180">
        <f>(E623/E612)*SUM(C693:D693)</f>
        <v>4062829.5815783283</v>
      </c>
      <c r="F693" s="180">
        <f>(F624/F612)*AB64</f>
        <v>0</v>
      </c>
      <c r="G693" s="180">
        <f>(G625/G612)*AB77</f>
        <v>0</v>
      </c>
      <c r="H693" s="180">
        <f>(H628/H612)*AB60</f>
        <v>521678.99579132942</v>
      </c>
      <c r="I693" s="180">
        <f>(I629/I612)*AB78</f>
        <v>288368.68344136013</v>
      </c>
      <c r="J693" s="180">
        <f>(J630/J612)*AB79</f>
        <v>0</v>
      </c>
      <c r="K693" s="180">
        <f>(K644/K612)*AB75</f>
        <v>6967955.4698524987</v>
      </c>
      <c r="L693" s="180">
        <f>(L647/L612)*AB80</f>
        <v>22451.780797523497</v>
      </c>
      <c r="M693" s="180">
        <f t="shared" si="20"/>
        <v>13454749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4473415.92</v>
      </c>
      <c r="D694" s="250">
        <f>(D615/D612)*AC76</f>
        <v>93846.302901811694</v>
      </c>
      <c r="E694" s="180">
        <f>(E623/E612)*SUM(C694:D694)</f>
        <v>603515.17163947073</v>
      </c>
      <c r="F694" s="180">
        <f>(F624/F612)*AC64</f>
        <v>0</v>
      </c>
      <c r="G694" s="180">
        <f>(G625/G612)*AC77</f>
        <v>0</v>
      </c>
      <c r="H694" s="180">
        <f>(H628/H612)*AC60</f>
        <v>155066.65858243231</v>
      </c>
      <c r="I694" s="180">
        <f>(I629/I612)*AC78</f>
        <v>17004.669298868375</v>
      </c>
      <c r="J694" s="180">
        <f>(J630/J612)*AC79</f>
        <v>0</v>
      </c>
      <c r="K694" s="180">
        <f>(K644/K612)*AC75</f>
        <v>1143569.0204872743</v>
      </c>
      <c r="L694" s="180">
        <f>(L647/L612)*AC80</f>
        <v>61.977166700651679</v>
      </c>
      <c r="M694" s="180">
        <f t="shared" si="20"/>
        <v>2013064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2321837.2499999995</v>
      </c>
      <c r="D695" s="250">
        <f>(D615/D612)*AD76</f>
        <v>1579124.2833845112</v>
      </c>
      <c r="E695" s="180">
        <f>(E623/E612)*SUM(C695:D695)</f>
        <v>515470.61554169469</v>
      </c>
      <c r="F695" s="180">
        <f>(F624/F612)*AD64</f>
        <v>0</v>
      </c>
      <c r="G695" s="180">
        <f>(G625/G612)*AD77</f>
        <v>0</v>
      </c>
      <c r="H695" s="180">
        <f>(H628/H612)*AD60</f>
        <v>5569.9230812655287</v>
      </c>
      <c r="I695" s="180">
        <f>(I629/I612)*AD78</f>
        <v>286132.59542958235</v>
      </c>
      <c r="J695" s="180">
        <f>(J630/J612)*AD79</f>
        <v>8761.1829649703777</v>
      </c>
      <c r="K695" s="180">
        <f>(K644/K612)*AD75</f>
        <v>167068.97430568378</v>
      </c>
      <c r="L695" s="180">
        <f>(L647/L612)*AD80</f>
        <v>0</v>
      </c>
      <c r="M695" s="180">
        <f t="shared" si="20"/>
        <v>2562128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4691192.8900000006</v>
      </c>
      <c r="D696" s="250">
        <f>(D615/D612)*AE76</f>
        <v>1088272.7235586236</v>
      </c>
      <c r="E696" s="180">
        <f>(E623/E612)*SUM(C696:D696)</f>
        <v>763694.96900380566</v>
      </c>
      <c r="F696" s="180">
        <f>(F624/F612)*AE64</f>
        <v>0</v>
      </c>
      <c r="G696" s="180">
        <f>(G625/G612)*AE77</f>
        <v>0</v>
      </c>
      <c r="H696" s="180">
        <f>(H628/H612)*AE60</f>
        <v>193833.32322804039</v>
      </c>
      <c r="I696" s="180">
        <f>(I629/I612)*AE78</f>
        <v>197191.76141073051</v>
      </c>
      <c r="J696" s="180">
        <f>(J630/J612)*AE79</f>
        <v>0</v>
      </c>
      <c r="K696" s="180">
        <f>(K644/K612)*AE75</f>
        <v>417979.53098984307</v>
      </c>
      <c r="L696" s="180">
        <f>(L647/L612)*AE80</f>
        <v>0</v>
      </c>
      <c r="M696" s="180">
        <f t="shared" si="20"/>
        <v>2660972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25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21230375.7234</v>
      </c>
      <c r="D698" s="250">
        <f>(D615/D612)*AG76</f>
        <v>1930689.1795763134</v>
      </c>
      <c r="E698" s="180">
        <f>(E623/E612)*SUM(C698:D698)</f>
        <v>3060488.6205530167</v>
      </c>
      <c r="F698" s="180">
        <f>(F624/F612)*AG64</f>
        <v>0</v>
      </c>
      <c r="G698" s="180">
        <f>(G625/G612)*AG77</f>
        <v>0</v>
      </c>
      <c r="H698" s="180">
        <f>(H628/H612)*AG60</f>
        <v>490936.41803582327</v>
      </c>
      <c r="I698" s="180">
        <f>(I629/I612)*AG78</f>
        <v>349835.10274185683</v>
      </c>
      <c r="J698" s="180">
        <f>(J630/J612)*AG79</f>
        <v>114136.92112863131</v>
      </c>
      <c r="K698" s="180">
        <f>(K644/K612)*AG75</f>
        <v>3069241.2152740615</v>
      </c>
      <c r="L698" s="180">
        <f>(L647/L612)*AG80</f>
        <v>478002.12099144456</v>
      </c>
      <c r="M698" s="180">
        <f t="shared" si="20"/>
        <v>9493330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25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14803782.939999998</v>
      </c>
      <c r="D700" s="250">
        <f>(D615/D612)*AI76</f>
        <v>0</v>
      </c>
      <c r="E700" s="180">
        <f>(E623/E612)*SUM(C700:D700)</f>
        <v>1956162.6125051237</v>
      </c>
      <c r="F700" s="180">
        <f>(F624/F612)*AI64</f>
        <v>0</v>
      </c>
      <c r="G700" s="180">
        <f>(G625/G612)*AI77</f>
        <v>0</v>
      </c>
      <c r="H700" s="180">
        <f>(H628/H612)*AI60</f>
        <v>763747.8529031293</v>
      </c>
      <c r="I700" s="180">
        <f>(I629/I612)*AI78</f>
        <v>0</v>
      </c>
      <c r="J700" s="180">
        <f>(J630/J612)*AI79</f>
        <v>0</v>
      </c>
      <c r="K700" s="180">
        <f>(K644/K612)*AI75</f>
        <v>1546076.1693980626</v>
      </c>
      <c r="L700" s="180">
        <f>(L647/L612)*AI80</f>
        <v>712167.45249536354</v>
      </c>
      <c r="M700" s="180">
        <f t="shared" si="20"/>
        <v>4978154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140945366.35000002</v>
      </c>
      <c r="D701" s="250">
        <f>(D615/D612)*AJ76</f>
        <v>2104893.1730362512</v>
      </c>
      <c r="E701" s="180">
        <f>(E623/E612)*SUM(C701:D701)</f>
        <v>18902571.763060357</v>
      </c>
      <c r="F701" s="180">
        <f>(F624/F612)*AJ64</f>
        <v>0</v>
      </c>
      <c r="G701" s="180">
        <f>(G625/G612)*AJ77</f>
        <v>0</v>
      </c>
      <c r="H701" s="180">
        <f>(H628/H612)*AJ60</f>
        <v>4582821.3128036512</v>
      </c>
      <c r="I701" s="180">
        <f>(I629/I612)*AJ78</f>
        <v>381400.34514067369</v>
      </c>
      <c r="J701" s="180">
        <f>(J630/J612)*AJ79</f>
        <v>8939.3162082246854</v>
      </c>
      <c r="K701" s="180">
        <f>(K644/K612)*AJ75</f>
        <v>4196924.9794835001</v>
      </c>
      <c r="L701" s="180">
        <f>(L647/L612)*AJ80</f>
        <v>1367503.8714698672</v>
      </c>
      <c r="M701" s="180">
        <f t="shared" si="20"/>
        <v>31545055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1823776.4700000002</v>
      </c>
      <c r="D702" s="250">
        <f>(D615/D612)*AK76</f>
        <v>556285.67928036186</v>
      </c>
      <c r="E702" s="180">
        <f>(E623/E612)*SUM(C702:D702)</f>
        <v>314499.9228055983</v>
      </c>
      <c r="F702" s="180">
        <f>(F624/F612)*AK64</f>
        <v>0</v>
      </c>
      <c r="G702" s="180">
        <f>(G625/G612)*AK77</f>
        <v>0</v>
      </c>
      <c r="H702" s="180">
        <f>(H628/H612)*AK60</f>
        <v>77589.028522028821</v>
      </c>
      <c r="I702" s="180">
        <f>(I629/I612)*AK78</f>
        <v>100797.30068595272</v>
      </c>
      <c r="J702" s="180">
        <f>(J630/J612)*AK79</f>
        <v>8325.3473238717015</v>
      </c>
      <c r="K702" s="180">
        <f>(K644/K612)*AK75</f>
        <v>175555.94868512618</v>
      </c>
      <c r="L702" s="180">
        <f>(L647/L612)*AK80</f>
        <v>0</v>
      </c>
      <c r="M702" s="180">
        <f t="shared" si="20"/>
        <v>1233053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591806.84999999986</v>
      </c>
      <c r="D703" s="250">
        <f>(D615/D612)*AL76</f>
        <v>399014.1991880291</v>
      </c>
      <c r="E703" s="180">
        <f>(E623/E612)*SUM(C703:D703)</f>
        <v>130926.47331836134</v>
      </c>
      <c r="F703" s="180">
        <f>(F624/F612)*AL64</f>
        <v>0</v>
      </c>
      <c r="G703" s="180">
        <f>(G625/G612)*AL77</f>
        <v>0</v>
      </c>
      <c r="H703" s="180">
        <f>(H628/H612)*AL60</f>
        <v>25510.24771219612</v>
      </c>
      <c r="I703" s="180">
        <f>(I629/I612)*AL78</f>
        <v>72300.179047482161</v>
      </c>
      <c r="J703" s="180">
        <f>(J630/J612)*AL79</f>
        <v>0</v>
      </c>
      <c r="K703" s="180">
        <f>(K644/K612)*AL75</f>
        <v>53745.034081341582</v>
      </c>
      <c r="L703" s="180">
        <f>(L647/L612)*AL80</f>
        <v>0</v>
      </c>
      <c r="M703" s="180">
        <f t="shared" si="20"/>
        <v>681496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25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25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25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513959.37</v>
      </c>
      <c r="D707" s="250">
        <f>(D615/D612)*AP76</f>
        <v>171908.05944399143</v>
      </c>
      <c r="E707" s="180">
        <f>(E623/E612)*SUM(C707:D707)</f>
        <v>90630.092865528874</v>
      </c>
      <c r="F707" s="180">
        <f>(F624/F612)*AP64</f>
        <v>0</v>
      </c>
      <c r="G707" s="180">
        <f>(G625/G612)*AP77</f>
        <v>0</v>
      </c>
      <c r="H707" s="180">
        <f>(H628/H612)*AP60</f>
        <v>11808.236932282922</v>
      </c>
      <c r="I707" s="180">
        <f>(I629/I612)*AP78</f>
        <v>31149.226024532592</v>
      </c>
      <c r="J707" s="180">
        <f>(J630/J612)*AP79</f>
        <v>36.284337095917863</v>
      </c>
      <c r="K707" s="180">
        <f>(K644/K612)*AP75</f>
        <v>65902.947852364261</v>
      </c>
      <c r="L707" s="180">
        <f>(L647/L612)*AP80</f>
        <v>10201.035970199771</v>
      </c>
      <c r="M707" s="180">
        <f t="shared" si="20"/>
        <v>381636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25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55385424.979999997</v>
      </c>
      <c r="D709" s="250">
        <f>(D615/D612)*AR76</f>
        <v>4266993.368636502</v>
      </c>
      <c r="E709" s="180">
        <f>(E623/E612)*SUM(C709:D709)</f>
        <v>7882433.2261600541</v>
      </c>
      <c r="F709" s="180">
        <f>(F624/F612)*AR64</f>
        <v>0</v>
      </c>
      <c r="G709" s="180">
        <f>(G625/G612)*AR77</f>
        <v>0</v>
      </c>
      <c r="H709" s="180">
        <f>(H628/H612)*AR60</f>
        <v>1948414.7930574946</v>
      </c>
      <c r="I709" s="180">
        <f>(I629/I612)*AR78</f>
        <v>773166.43160726305</v>
      </c>
      <c r="J709" s="180">
        <f>(J630/J612)*AR79</f>
        <v>0</v>
      </c>
      <c r="K709" s="180">
        <f>(K644/K612)*AR75</f>
        <v>1245083.034283014</v>
      </c>
      <c r="L709" s="180">
        <f>(L647/L612)*AR80</f>
        <v>1055694.4019351297</v>
      </c>
      <c r="M709" s="180">
        <f t="shared" si="20"/>
        <v>17171785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25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25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25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11892882.373459999</v>
      </c>
      <c r="D713" s="250">
        <f>(D615/D612)*AV76</f>
        <v>133355.50075955706</v>
      </c>
      <c r="E713" s="180">
        <f>(E623/E612)*SUM(C713:D713)</f>
        <v>1589139.5458843031</v>
      </c>
      <c r="F713" s="180">
        <f>(F624/F612)*AV64</f>
        <v>0</v>
      </c>
      <c r="G713" s="180">
        <f>(G625/G612)*AV77</f>
        <v>0</v>
      </c>
      <c r="H713" s="180">
        <f>(H628/H612)*AV60</f>
        <v>120978.72932508728</v>
      </c>
      <c r="I713" s="180">
        <f>(I629/I612)*AV78</f>
        <v>24163.617739676371</v>
      </c>
      <c r="J713" s="180">
        <f>(J630/J612)*AV79</f>
        <v>4875.0580047960011</v>
      </c>
      <c r="K713" s="180">
        <f>(K644/K612)*AV75</f>
        <v>5864.8196578546631</v>
      </c>
      <c r="L713" s="180">
        <f>(L647/L612)*AV80</f>
        <v>24233.117254257864</v>
      </c>
      <c r="M713" s="180">
        <f t="shared" si="20"/>
        <v>1902610</v>
      </c>
      <c r="N713" s="199" t="s">
        <v>741</v>
      </c>
    </row>
    <row r="715" spans="1:83" ht="12.6" customHeight="1" x14ac:dyDescent="0.2">
      <c r="C715" s="180">
        <f>SUM(C614:C647)+SUM(C668:C713)</f>
        <v>772066081.77051663</v>
      </c>
      <c r="D715" s="250">
        <f>SUM(D616:D647)+SUM(D668:D713)</f>
        <v>64635791.752400011</v>
      </c>
      <c r="E715" s="180">
        <f>SUM(E624:E647)+SUM(E668:E713)</f>
        <v>90112870.522843912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17066564.775810674</v>
      </c>
      <c r="I715" s="180">
        <f>SUM(I630:I647)+SUM(I668:I713)</f>
        <v>8404596.8747258503</v>
      </c>
      <c r="J715" s="180">
        <f>SUM(J631:J647)+SUM(J668:J713)</f>
        <v>1028413.9779372599</v>
      </c>
      <c r="K715" s="180">
        <f>SUM(K668:K713)</f>
        <v>55343632.845320798</v>
      </c>
      <c r="L715" s="180">
        <f>SUM(L668:L713)</f>
        <v>9362842.8397805151</v>
      </c>
      <c r="M715" s="180">
        <f>SUM(M668:M713)</f>
        <v>214520551</v>
      </c>
      <c r="N715" s="198" t="s">
        <v>742</v>
      </c>
    </row>
    <row r="716" spans="1:83" ht="12.6" customHeight="1" x14ac:dyDescent="0.2">
      <c r="C716" s="180">
        <f>CE71</f>
        <v>772066081.77051663</v>
      </c>
      <c r="D716" s="250">
        <f>D615</f>
        <v>64635791.752399996</v>
      </c>
      <c r="E716" s="180">
        <f>E623</f>
        <v>90112870.522843957</v>
      </c>
      <c r="F716" s="180">
        <f>F624</f>
        <v>0</v>
      </c>
      <c r="G716" s="180">
        <f>G625</f>
        <v>0</v>
      </c>
      <c r="H716" s="180">
        <f>H628</f>
        <v>17066564.77581067</v>
      </c>
      <c r="I716" s="180">
        <f>I629</f>
        <v>8404596.8747258503</v>
      </c>
      <c r="J716" s="180">
        <f>J630</f>
        <v>1028413.9779372599</v>
      </c>
      <c r="K716" s="180">
        <f>K644</f>
        <v>55343632.845320821</v>
      </c>
      <c r="L716" s="180">
        <f>L647</f>
        <v>9362842.8397805151</v>
      </c>
      <c r="M716" s="180">
        <f>C648</f>
        <v>214520551.71203369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4"/>
      <c r="C720" s="274"/>
      <c r="D720" s="331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332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032*2019*A</v>
      </c>
      <c r="B722" s="274">
        <f>ROUND(C165,0)</f>
        <v>19354209</v>
      </c>
      <c r="C722" s="274">
        <f>ROUND(C166,0)</f>
        <v>534548</v>
      </c>
      <c r="D722" s="331">
        <f>ROUND(C167,0)</f>
        <v>3122298</v>
      </c>
      <c r="E722" s="274">
        <f>ROUND(C168,0)</f>
        <v>33415920</v>
      </c>
      <c r="F722" s="274">
        <f>ROUND(C169,0)</f>
        <v>231007</v>
      </c>
      <c r="G722" s="274">
        <f>ROUND(C170,0)</f>
        <v>13471157</v>
      </c>
      <c r="H722" s="274">
        <f>ROUND(C171+C172,0)</f>
        <v>2827996</v>
      </c>
      <c r="I722" s="274">
        <f>ROUND(C175,0)</f>
        <v>12970473</v>
      </c>
      <c r="J722" s="274">
        <f>ROUND(C176,0)</f>
        <v>3028309</v>
      </c>
      <c r="K722" s="274">
        <f>ROUND(C179,0)</f>
        <v>6459278</v>
      </c>
      <c r="L722" s="274">
        <f>ROUND(C180,0)</f>
        <v>566298</v>
      </c>
      <c r="M722" s="274">
        <f>ROUND(C183,0)</f>
        <v>290521</v>
      </c>
      <c r="N722" s="274">
        <f>ROUND(C184,0)</f>
        <v>28454826</v>
      </c>
      <c r="O722" s="274">
        <f>ROUND(C185,0)</f>
        <v>0</v>
      </c>
      <c r="P722" s="274">
        <f>ROUND(C188,0)</f>
        <v>0</v>
      </c>
      <c r="Q722" s="274">
        <f>ROUND(C189,0)</f>
        <v>164601</v>
      </c>
      <c r="R722" s="274">
        <f>ROUND(B195,0)</f>
        <v>7877315</v>
      </c>
      <c r="S722" s="274">
        <f>ROUND(C195,0)</f>
        <v>0</v>
      </c>
      <c r="T722" s="274">
        <f>ROUND(D195,0)</f>
        <v>0</v>
      </c>
      <c r="U722" s="274">
        <f>ROUND(B196,0)</f>
        <v>4412190</v>
      </c>
      <c r="V722" s="274">
        <f>ROUND(C196,0)</f>
        <v>0</v>
      </c>
      <c r="W722" s="274">
        <f>ROUND(D196,0)</f>
        <v>0</v>
      </c>
      <c r="X722" s="274">
        <f>ROUND(B197,0)</f>
        <v>176695280</v>
      </c>
      <c r="Y722" s="274">
        <f>ROUND(C197,0)</f>
        <v>6210368</v>
      </c>
      <c r="Z722" s="274">
        <f>ROUND(D197,0)</f>
        <v>0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78530770</v>
      </c>
      <c r="AE722" s="274">
        <f>ROUND(C199,0)</f>
        <v>3989780</v>
      </c>
      <c r="AF722" s="274">
        <f>ROUND(D199,0)</f>
        <v>35847</v>
      </c>
      <c r="AG722" s="274">
        <f>ROUND(B200,0)</f>
        <v>278740679</v>
      </c>
      <c r="AH722" s="274">
        <f>ROUND(C200,0)</f>
        <v>11483706</v>
      </c>
      <c r="AI722" s="274">
        <f>ROUND(D200,0)</f>
        <v>1162627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46520571</v>
      </c>
      <c r="AN722" s="274">
        <f>ROUND(C202,0)</f>
        <v>3985290</v>
      </c>
      <c r="AO722" s="274">
        <f>ROUND(D202,0)</f>
        <v>20440</v>
      </c>
      <c r="AP722" s="274">
        <f>ROUND(B203,0)</f>
        <v>20374290</v>
      </c>
      <c r="AQ722" s="274">
        <f>ROUND(C203,0)</f>
        <v>-13494501</v>
      </c>
      <c r="AR722" s="274">
        <f>ROUND(D203,0)</f>
        <v>0</v>
      </c>
      <c r="AS722" s="274"/>
      <c r="AT722" s="274"/>
      <c r="AU722" s="274"/>
      <c r="AV722" s="274">
        <f>ROUND(B209,0)</f>
        <v>3340860</v>
      </c>
      <c r="AW722" s="274">
        <f>ROUND(C209,0)</f>
        <v>165528</v>
      </c>
      <c r="AX722" s="274">
        <f>ROUND(D209,0)</f>
        <v>0</v>
      </c>
      <c r="AY722" s="274">
        <f>ROUND(B210,0)</f>
        <v>87144270</v>
      </c>
      <c r="AZ722" s="274">
        <f>ROUND(C210,0)</f>
        <v>6119118</v>
      </c>
      <c r="BA722" s="274">
        <f>ROUND(D210,0)</f>
        <v>0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63192622</v>
      </c>
      <c r="BF722" s="274">
        <f>ROUND(C212,0)</f>
        <v>1920621</v>
      </c>
      <c r="BG722" s="274">
        <f>ROUND(D212,0)</f>
        <v>35847</v>
      </c>
      <c r="BH722" s="274">
        <f>ROUND(B213,0)</f>
        <v>203601952</v>
      </c>
      <c r="BI722" s="274">
        <f>ROUND(C213,0)</f>
        <v>21718613</v>
      </c>
      <c r="BJ722" s="274">
        <f>ROUND(D213,0)</f>
        <v>1240909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17776792</v>
      </c>
      <c r="BO722" s="274">
        <f>ROUND(C215,0)</f>
        <v>3938949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1197247117</v>
      </c>
      <c r="BU722" s="274">
        <f>ROUND(C224,0)</f>
        <v>560038599</v>
      </c>
      <c r="BV722" s="274">
        <f>ROUND(C225,0)</f>
        <v>0</v>
      </c>
      <c r="BW722" s="274">
        <f>ROUND(C226,0)</f>
        <v>111593304</v>
      </c>
      <c r="BX722" s="274">
        <f>ROUND(C227,0)</f>
        <v>467374345</v>
      </c>
      <c r="BY722" s="274">
        <f>ROUND(C228,0)</f>
        <v>46526744</v>
      </c>
      <c r="BZ722" s="274">
        <f>ROUND(C231,0)</f>
        <v>11923</v>
      </c>
      <c r="CA722" s="274">
        <f>ROUND(C233,0)</f>
        <v>7624469</v>
      </c>
      <c r="CB722" s="274">
        <f>ROUND(C234,0)</f>
        <v>17651886</v>
      </c>
      <c r="CC722" s="274">
        <f>ROUND(C238+C239,0)</f>
        <v>22089597</v>
      </c>
      <c r="CD722" s="274">
        <f>D221</f>
        <v>12550417.58</v>
      </c>
      <c r="CE722" s="274"/>
    </row>
    <row r="723" spans="1:84" ht="12.6" customHeight="1" x14ac:dyDescent="0.2">
      <c r="B723" s="275"/>
      <c r="C723" s="275"/>
      <c r="D723" s="333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">
      <c r="A724" s="201" t="s">
        <v>148</v>
      </c>
      <c r="B724" s="274"/>
      <c r="C724" s="274"/>
      <c r="D724" s="331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332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032*2019*A</v>
      </c>
      <c r="B726" s="274">
        <f>ROUND(C111,0)</f>
        <v>20309</v>
      </c>
      <c r="C726" s="274">
        <f>ROUND(C112,0)</f>
        <v>0</v>
      </c>
      <c r="D726" s="331">
        <f>ROUND(C113,0)</f>
        <v>0</v>
      </c>
      <c r="E726" s="274">
        <f>ROUND(C114,0)</f>
        <v>4361</v>
      </c>
      <c r="F726" s="274">
        <f>ROUND(D111,0)</f>
        <v>106940</v>
      </c>
      <c r="G726" s="274">
        <f>ROUND(D112,0)</f>
        <v>0</v>
      </c>
      <c r="H726" s="274">
        <f>ROUND(D113,0)</f>
        <v>0</v>
      </c>
      <c r="I726" s="274">
        <f>ROUND(D114,0)</f>
        <v>10866</v>
      </c>
      <c r="J726" s="274">
        <f>ROUND(C116,0)</f>
        <v>48</v>
      </c>
      <c r="K726" s="274">
        <f>ROUND(C117,0)</f>
        <v>34</v>
      </c>
      <c r="L726" s="274">
        <f>ROUND(C118,0)</f>
        <v>214</v>
      </c>
      <c r="M726" s="274">
        <f>ROUND(C119,0)</f>
        <v>0</v>
      </c>
      <c r="N726" s="274">
        <f>ROUND(C120,0)</f>
        <v>32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23</v>
      </c>
      <c r="V726" s="274">
        <f>ROUND(C128,0)</f>
        <v>351</v>
      </c>
      <c r="W726" s="274">
        <f>ROUND(C129,0)</f>
        <v>35</v>
      </c>
      <c r="X726" s="274">
        <f>ROUND(B138,0)</f>
        <v>8608</v>
      </c>
      <c r="Y726" s="274">
        <f>ROUND(B139,0)</f>
        <v>53912</v>
      </c>
      <c r="Z726" s="274">
        <f>ROUND(B140,0)</f>
        <v>0</v>
      </c>
      <c r="AA726" s="274">
        <f>ROUND(B141,0)</f>
        <v>919775878</v>
      </c>
      <c r="AB726" s="274">
        <f>ROUND(B142,0)</f>
        <v>563759081</v>
      </c>
      <c r="AC726" s="274">
        <f>ROUND(C138,0)</f>
        <v>4769</v>
      </c>
      <c r="AD726" s="274">
        <f>ROUND(C139,0)</f>
        <v>24347</v>
      </c>
      <c r="AE726" s="274">
        <f>ROUND(C140,0)</f>
        <v>0</v>
      </c>
      <c r="AF726" s="274">
        <f>ROUND(C141,0)</f>
        <v>388238722</v>
      </c>
      <c r="AG726" s="274">
        <f>ROUND(C142,0)</f>
        <v>270552583</v>
      </c>
      <c r="AH726" s="274">
        <f>ROUND(D138,0)</f>
        <v>6932</v>
      </c>
      <c r="AI726" s="274">
        <f>ROUND(D139,0)</f>
        <v>28681</v>
      </c>
      <c r="AJ726" s="274">
        <f>ROUND(D140,0)</f>
        <v>0</v>
      </c>
      <c r="AK726" s="274">
        <f>ROUND(D141,0)</f>
        <v>541584303</v>
      </c>
      <c r="AL726" s="274">
        <f>ROUND(D142,0)</f>
        <v>536999273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">
      <c r="B727" s="275"/>
      <c r="C727" s="275"/>
      <c r="D727" s="333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">
      <c r="A728" s="201" t="s">
        <v>895</v>
      </c>
      <c r="B728" s="274"/>
      <c r="C728" s="274"/>
      <c r="D728" s="331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332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032*2019*A</v>
      </c>
      <c r="B730" s="274">
        <f>ROUND(C250,0)</f>
        <v>38984592</v>
      </c>
      <c r="C730" s="274">
        <f>ROUND(C251,0)</f>
        <v>0</v>
      </c>
      <c r="D730" s="331">
        <f>ROUND(C252,0)</f>
        <v>456526419</v>
      </c>
      <c r="E730" s="274">
        <f>ROUND(C253,0)</f>
        <v>342870424</v>
      </c>
      <c r="F730" s="274">
        <f>ROUND(C254,0)</f>
        <v>0</v>
      </c>
      <c r="G730" s="274">
        <f>ROUND(C255,0)</f>
        <v>35469865</v>
      </c>
      <c r="H730" s="274">
        <f>ROUND(C256,0)</f>
        <v>0</v>
      </c>
      <c r="I730" s="274">
        <f>ROUND(C257,0)</f>
        <v>16390591</v>
      </c>
      <c r="J730" s="274">
        <f>ROUND(C258,0)</f>
        <v>1538355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0</v>
      </c>
      <c r="O730" s="274">
        <f>ROUND(C267,0)</f>
        <v>7877315</v>
      </c>
      <c r="P730" s="274">
        <f>ROUND(C268,0)</f>
        <v>4412190</v>
      </c>
      <c r="Q730" s="274">
        <f>ROUND(C269,0)</f>
        <v>182905648</v>
      </c>
      <c r="R730" s="274">
        <f>ROUND(C270,0)</f>
        <v>0</v>
      </c>
      <c r="S730" s="274">
        <f>ROUND(C271,0)</f>
        <v>82484704</v>
      </c>
      <c r="T730" s="274">
        <f>ROUND(C272,0)</f>
        <v>289061758</v>
      </c>
      <c r="U730" s="274">
        <f>ROUND(C273,0)</f>
        <v>50485421</v>
      </c>
      <c r="V730" s="274">
        <f>ROUND(C274,0)</f>
        <v>6879789</v>
      </c>
      <c r="W730" s="274">
        <f>ROUND(C275,0)</f>
        <v>0</v>
      </c>
      <c r="X730" s="274">
        <f>ROUND(C276,0)</f>
        <v>407642571</v>
      </c>
      <c r="Y730" s="274">
        <f>ROUND(C279,0)</f>
        <v>0</v>
      </c>
      <c r="Z730" s="274">
        <f>ROUND(C280,0)</f>
        <v>0</v>
      </c>
      <c r="AA730" s="274">
        <f>ROUND(C281,0)</f>
        <v>32487150</v>
      </c>
      <c r="AB730" s="274">
        <f>ROUND(C282,0)</f>
        <v>1280638</v>
      </c>
      <c r="AC730" s="274">
        <f>ROUND(C286,0)</f>
        <v>4497899</v>
      </c>
      <c r="AD730" s="274">
        <f>ROUND(C287,0)</f>
        <v>0</v>
      </c>
      <c r="AE730" s="274">
        <f>ROUND(C288,0)</f>
        <v>0</v>
      </c>
      <c r="AF730" s="274">
        <f>ROUND(C289,0)</f>
        <v>411988</v>
      </c>
      <c r="AG730" s="274">
        <f>ROUND(C304,0)</f>
        <v>0</v>
      </c>
      <c r="AH730" s="274">
        <f>ROUND(C305,0)</f>
        <v>7122352</v>
      </c>
      <c r="AI730" s="274">
        <f>ROUND(C306,0)</f>
        <v>31332947</v>
      </c>
      <c r="AJ730" s="274">
        <f>ROUND(C307,0)</f>
        <v>47369379</v>
      </c>
      <c r="AK730" s="274">
        <f>ROUND(C308,0)</f>
        <v>0</v>
      </c>
      <c r="AL730" s="274">
        <f>ROUND(C309,0)</f>
        <v>6526584</v>
      </c>
      <c r="AM730" s="274">
        <f>ROUND(C310,0)</f>
        <v>0</v>
      </c>
      <c r="AN730" s="274">
        <f>ROUND(C311,0)</f>
        <v>0</v>
      </c>
      <c r="AO730" s="274">
        <f>ROUND(C312,0)</f>
        <v>34754686</v>
      </c>
      <c r="AP730" s="274">
        <f>ROUND(C313,0)</f>
        <v>1461361</v>
      </c>
      <c r="AQ730" s="274">
        <f>ROUND(C316,0)</f>
        <v>0</v>
      </c>
      <c r="AR730" s="274">
        <f>ROUND(C317,0)</f>
        <v>0</v>
      </c>
      <c r="AS730" s="274">
        <f>ROUND(C318,0)</f>
        <v>9711839</v>
      </c>
      <c r="AT730" s="274">
        <f>ROUND(C321,0)</f>
        <v>0</v>
      </c>
      <c r="AU730" s="274">
        <f>ROUND(C322,0)</f>
        <v>0</v>
      </c>
      <c r="AV730" s="274">
        <f>ROUND(C323,0)</f>
        <v>1525306</v>
      </c>
      <c r="AW730" s="274">
        <f>ROUND(C324,0)</f>
        <v>2333075</v>
      </c>
      <c r="AX730" s="274">
        <f>ROUND(C325,0)</f>
        <v>0</v>
      </c>
      <c r="AY730" s="274">
        <f>ROUND(C326,0)</f>
        <v>0</v>
      </c>
      <c r="AZ730" s="274">
        <f>ROUND(C327,0)</f>
        <v>1256300</v>
      </c>
      <c r="BA730" s="274">
        <f>ROUND(C328,0)</f>
        <v>0</v>
      </c>
      <c r="BB730" s="274">
        <f>ROUND(C332,0)</f>
        <v>319248858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3271.07</v>
      </c>
      <c r="BJ730" s="274">
        <f>ROUND(C359,0)</f>
        <v>1849598903</v>
      </c>
      <c r="BK730" s="274">
        <f>ROUND(C360,0)</f>
        <v>1371310937</v>
      </c>
      <c r="BL730" s="274">
        <f>ROUND(C364,0)</f>
        <v>2382780109</v>
      </c>
      <c r="BM730" s="274">
        <f>ROUND(C365,0)</f>
        <v>25276355</v>
      </c>
      <c r="BN730" s="274">
        <f>ROUND(C366,0)</f>
        <v>22089597</v>
      </c>
      <c r="BO730" s="274">
        <f>ROUND(C370,0)</f>
        <v>18133637</v>
      </c>
      <c r="BP730" s="274">
        <f>ROUND(C371,0)</f>
        <v>0</v>
      </c>
      <c r="BQ730" s="274">
        <f>ROUND(C378,0)</f>
        <v>294223409</v>
      </c>
      <c r="BR730" s="274">
        <f>ROUND(C379,0)</f>
        <v>72957136</v>
      </c>
      <c r="BS730" s="274">
        <f>ROUND(C380,0)</f>
        <v>29036332</v>
      </c>
      <c r="BT730" s="274">
        <f>ROUND(C381,0)</f>
        <v>113899943</v>
      </c>
      <c r="BU730" s="274">
        <f>ROUND(C382,0)</f>
        <v>4382738</v>
      </c>
      <c r="BV730" s="274">
        <f>ROUND(C383,0)</f>
        <v>181803923</v>
      </c>
      <c r="BW730" s="274">
        <f>ROUND(C384,0)</f>
        <v>33862830</v>
      </c>
      <c r="BX730" s="274">
        <f>ROUND(C385,0)</f>
        <v>15998783</v>
      </c>
      <c r="BY730" s="274">
        <f>ROUND(C386,0)</f>
        <v>7025577</v>
      </c>
      <c r="BZ730" s="274">
        <f>ROUND(C387,0)</f>
        <v>28745348</v>
      </c>
      <c r="CA730" s="274">
        <f>ROUND(C388,0)</f>
        <v>164601</v>
      </c>
      <c r="CB730" s="274">
        <f>C363</f>
        <v>12550417.58</v>
      </c>
      <c r="CC730" s="274">
        <f>ROUND(C389,0)</f>
        <v>8099101</v>
      </c>
      <c r="CD730" s="274">
        <f>ROUND(C392,0)</f>
        <v>-471626</v>
      </c>
      <c r="CE730" s="274">
        <f>ROUND(C394,0)</f>
        <v>0</v>
      </c>
      <c r="CF730" s="201">
        <f>ROUND(C395,0)</f>
        <v>0</v>
      </c>
    </row>
    <row r="731" spans="1:84" ht="12.6" customHeight="1" x14ac:dyDescent="0.2">
      <c r="B731" s="275"/>
      <c r="C731" s="275"/>
      <c r="D731" s="333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">
      <c r="A732" s="201" t="s">
        <v>979</v>
      </c>
      <c r="B732" s="274"/>
      <c r="C732" s="274"/>
      <c r="D732" s="331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332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032*2019*6010*A</v>
      </c>
      <c r="B734" s="274">
        <f>ROUND(C59,0)</f>
        <v>25242</v>
      </c>
      <c r="C734" s="274">
        <f>ROUND(C60,2)</f>
        <v>175.31</v>
      </c>
      <c r="D734" s="331">
        <f>ROUND(C61,0)</f>
        <v>15474955</v>
      </c>
      <c r="E734" s="274">
        <f>ROUND(C62,0)</f>
        <v>4184646</v>
      </c>
      <c r="F734" s="274">
        <f>ROUND(C63,0)</f>
        <v>3640872</v>
      </c>
      <c r="G734" s="274">
        <f>ROUND(C64,0)</f>
        <v>2673377</v>
      </c>
      <c r="H734" s="274">
        <f>ROUND(C65,0)</f>
        <v>3036</v>
      </c>
      <c r="I734" s="274">
        <f>ROUND(C66,0)</f>
        <v>205445</v>
      </c>
      <c r="J734" s="274">
        <f>ROUND(C67,0)</f>
        <v>1305755</v>
      </c>
      <c r="K734" s="274">
        <f>ROUND(C68,0)</f>
        <v>14391</v>
      </c>
      <c r="L734" s="274">
        <f>ROUND(C69,0)</f>
        <v>76869</v>
      </c>
      <c r="M734" s="274">
        <f>ROUND(C70,0)</f>
        <v>15000</v>
      </c>
      <c r="N734" s="274">
        <f>ROUND(C75,0)</f>
        <v>103535090</v>
      </c>
      <c r="O734" s="274">
        <f>ROUND(C73,0)</f>
        <v>103108243</v>
      </c>
      <c r="P734" s="274">
        <f>IF(C76&gt;0,ROUND(C76,0),0)</f>
        <v>20827</v>
      </c>
      <c r="Q734" s="274">
        <f>IF(C77&gt;0,ROUND(C77,0),0)</f>
        <v>66835</v>
      </c>
      <c r="R734" s="274">
        <f>IF(C78&gt;0,ROUND(C78,0),0)</f>
        <v>7280</v>
      </c>
      <c r="S734" s="274">
        <f>IF(C79&gt;0,ROUND(C79,0),0)</f>
        <v>276905</v>
      </c>
      <c r="T734" s="274">
        <f>IF(C80&gt;0,ROUND(C80,2),0)</f>
        <v>118.85</v>
      </c>
      <c r="U734" s="274"/>
      <c r="V734" s="274"/>
      <c r="W734" s="274"/>
      <c r="X734" s="274"/>
      <c r="Y734" s="274">
        <f>IF(M668&lt;&gt;0,ROUND(M668,0),0)</f>
        <v>10231678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">
      <c r="A735" s="209" t="str">
        <f>RIGHT($C$83,3)&amp;"*"&amp;RIGHT($C$82,4)&amp;"*"&amp;D$55&amp;"*"&amp;"A"</f>
        <v>032*2019*6030*A</v>
      </c>
      <c r="B735" s="274">
        <f>ROUND(D59,0)</f>
        <v>0</v>
      </c>
      <c r="C735" s="276">
        <f>ROUND(D60,2)</f>
        <v>0</v>
      </c>
      <c r="D735" s="331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">
      <c r="A736" s="209" t="str">
        <f>RIGHT($C$83,3)&amp;"*"&amp;RIGHT($C$82,4)&amp;"*"&amp;E$55&amp;"*"&amp;"A"</f>
        <v>032*2019*6070*A</v>
      </c>
      <c r="B736" s="274">
        <f>ROUND(E59,0)</f>
        <v>75484</v>
      </c>
      <c r="C736" s="276">
        <f>ROUND(E60,2)</f>
        <v>414.27</v>
      </c>
      <c r="D736" s="331">
        <f>ROUND(E61,0)</f>
        <v>33021780</v>
      </c>
      <c r="E736" s="274">
        <f>ROUND(E62,0)</f>
        <v>9340559</v>
      </c>
      <c r="F736" s="274">
        <f>ROUND(E63,0)</f>
        <v>46500</v>
      </c>
      <c r="G736" s="274">
        <f>ROUND(E64,0)</f>
        <v>3614829</v>
      </c>
      <c r="H736" s="274">
        <f>ROUND(E65,0)</f>
        <v>5533</v>
      </c>
      <c r="I736" s="274">
        <f>ROUND(E66,0)</f>
        <v>3072497</v>
      </c>
      <c r="J736" s="274">
        <f>ROUND(E67,0)</f>
        <v>2902651</v>
      </c>
      <c r="K736" s="274">
        <f>ROUND(E68,0)</f>
        <v>9570</v>
      </c>
      <c r="L736" s="274">
        <f>ROUND(E69,0)</f>
        <v>160143</v>
      </c>
      <c r="M736" s="274">
        <f>ROUND(E70,0)</f>
        <v>13133</v>
      </c>
      <c r="N736" s="274">
        <f>ROUND(E75,0)</f>
        <v>242598798</v>
      </c>
      <c r="O736" s="274">
        <f>ROUND(E73,0)</f>
        <v>223391975</v>
      </c>
      <c r="P736" s="274">
        <f>IF(E76&gt;0,ROUND(E76,0),0)</f>
        <v>104972</v>
      </c>
      <c r="Q736" s="274">
        <f>IF(E77&gt;0,ROUND(E77,0),0)</f>
        <v>223450</v>
      </c>
      <c r="R736" s="274">
        <f>IF(E78&gt;0,ROUND(E78,0),0)</f>
        <v>36692</v>
      </c>
      <c r="S736" s="274">
        <f>IF(E79&gt;0,ROUND(E79,0),0)</f>
        <v>816805</v>
      </c>
      <c r="T736" s="276">
        <f>IF(E80&gt;0,ROUND(E80,2),0)</f>
        <v>235.84</v>
      </c>
      <c r="U736" s="274"/>
      <c r="V736" s="275"/>
      <c r="W736" s="274"/>
      <c r="X736" s="274"/>
      <c r="Y736" s="274">
        <f t="shared" si="21"/>
        <v>29071609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">
      <c r="A737" s="209" t="str">
        <f>RIGHT($C$83,3)&amp;"*"&amp;RIGHT($C$82,4)&amp;"*"&amp;F$55&amp;"*"&amp;"A"</f>
        <v>032*2019*6100*A</v>
      </c>
      <c r="B737" s="274">
        <f>ROUND(F59,0)</f>
        <v>0</v>
      </c>
      <c r="C737" s="276">
        <f>ROUND(F60,2)</f>
        <v>0</v>
      </c>
      <c r="D737" s="331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">
      <c r="A738" s="209" t="str">
        <f>RIGHT($C$83,3)&amp;"*"&amp;RIGHT($C$82,4)&amp;"*"&amp;G$55&amp;"*"&amp;"A"</f>
        <v>032*2019*6120*A</v>
      </c>
      <c r="B738" s="274">
        <f>ROUND(G59,0)</f>
        <v>0</v>
      </c>
      <c r="C738" s="276">
        <f>ROUND(G60,2)</f>
        <v>0</v>
      </c>
      <c r="D738" s="331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170094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22476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">
      <c r="A739" s="209" t="str">
        <f>RIGHT($C$83,3)&amp;"*"&amp;RIGHT($C$82,4)&amp;"*"&amp;H$55&amp;"*"&amp;"A"</f>
        <v>032*2019*6140*A</v>
      </c>
      <c r="B739" s="274">
        <f>ROUND(H59,0)</f>
        <v>6214</v>
      </c>
      <c r="C739" s="276">
        <f>ROUND(H60,2)</f>
        <v>41.52</v>
      </c>
      <c r="D739" s="331">
        <f>ROUND(H61,0)</f>
        <v>3544423</v>
      </c>
      <c r="E739" s="274">
        <f>ROUND(H62,0)</f>
        <v>1046706</v>
      </c>
      <c r="F739" s="274">
        <f>ROUND(H63,0)</f>
        <v>347585</v>
      </c>
      <c r="G739" s="274">
        <f>ROUND(H64,0)</f>
        <v>35210</v>
      </c>
      <c r="H739" s="274">
        <f>ROUND(H65,0)</f>
        <v>1229</v>
      </c>
      <c r="I739" s="274">
        <f>ROUND(H66,0)</f>
        <v>99221</v>
      </c>
      <c r="J739" s="274">
        <f>ROUND(H67,0)</f>
        <v>185374</v>
      </c>
      <c r="K739" s="274">
        <f>ROUND(H68,0)</f>
        <v>1354</v>
      </c>
      <c r="L739" s="274">
        <f>ROUND(H69,0)</f>
        <v>13921</v>
      </c>
      <c r="M739" s="274">
        <f>ROUND(H70,0)</f>
        <v>8457</v>
      </c>
      <c r="N739" s="274">
        <f>ROUND(H75,0)</f>
        <v>20982096</v>
      </c>
      <c r="O739" s="274">
        <f>ROUND(H73,0)</f>
        <v>19919172</v>
      </c>
      <c r="P739" s="274">
        <f>IF(H76&gt;0,ROUND(H76,0),0)</f>
        <v>2001</v>
      </c>
      <c r="Q739" s="274">
        <f>IF(H77&gt;0,ROUND(H77,0),0)</f>
        <v>20222</v>
      </c>
      <c r="R739" s="274">
        <f>IF(H78&gt;0,ROUND(H78,0),0)</f>
        <v>699</v>
      </c>
      <c r="S739" s="274">
        <f>IF(H79&gt;0,ROUND(H79,0),0)</f>
        <v>26048</v>
      </c>
      <c r="T739" s="276">
        <f>IF(H80&gt;0,ROUND(H80,2),0)</f>
        <v>17.55</v>
      </c>
      <c r="U739" s="274"/>
      <c r="V739" s="275"/>
      <c r="W739" s="274"/>
      <c r="X739" s="274"/>
      <c r="Y739" s="274">
        <f t="shared" si="21"/>
        <v>1713376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">
      <c r="A740" s="209" t="str">
        <f>RIGHT($C$83,3)&amp;"*"&amp;RIGHT($C$82,4)&amp;"*"&amp;I$55&amp;"*"&amp;"A"</f>
        <v>032*2019*6150*A</v>
      </c>
      <c r="B740" s="274">
        <f>ROUND(I59,0)</f>
        <v>0</v>
      </c>
      <c r="C740" s="276">
        <f>ROUND(I60,2)</f>
        <v>0</v>
      </c>
      <c r="D740" s="331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">
      <c r="A741" s="209" t="str">
        <f>RIGHT($C$83,3)&amp;"*"&amp;RIGHT($C$82,4)&amp;"*"&amp;J$55&amp;"*"&amp;"A"</f>
        <v>032*2019*6170*A</v>
      </c>
      <c r="B741" s="274">
        <f>ROUND(J59,0)</f>
        <v>10866</v>
      </c>
      <c r="C741" s="276">
        <f>ROUND(J60,2)</f>
        <v>52.89</v>
      </c>
      <c r="D741" s="331">
        <f>ROUND(J61,0)</f>
        <v>4880841</v>
      </c>
      <c r="E741" s="274">
        <f>ROUND(J62,0)</f>
        <v>1299250</v>
      </c>
      <c r="F741" s="274">
        <f>ROUND(J63,0)</f>
        <v>918288</v>
      </c>
      <c r="G741" s="274">
        <f>ROUND(J64,0)</f>
        <v>786296</v>
      </c>
      <c r="H741" s="274">
        <f>ROUND(J65,0)</f>
        <v>1593</v>
      </c>
      <c r="I741" s="274">
        <f>ROUND(J66,0)</f>
        <v>422576</v>
      </c>
      <c r="J741" s="274">
        <f>ROUND(J67,0)</f>
        <v>209754</v>
      </c>
      <c r="K741" s="274">
        <f>ROUND(J68,0)</f>
        <v>1043</v>
      </c>
      <c r="L741" s="274">
        <f>ROUND(J69,0)</f>
        <v>62882</v>
      </c>
      <c r="M741" s="274">
        <f>ROUND(J70,0)</f>
        <v>43221</v>
      </c>
      <c r="N741" s="274">
        <f>ROUND(J75,0)</f>
        <v>48143790</v>
      </c>
      <c r="O741" s="274">
        <f>ROUND(J73,0)</f>
        <v>48143161</v>
      </c>
      <c r="P741" s="274">
        <f>IF(J76&gt;0,ROUND(J76,0),0)</f>
        <v>2522</v>
      </c>
      <c r="Q741" s="274">
        <f>IF(J77&gt;0,ROUND(J77,0),0)</f>
        <v>0</v>
      </c>
      <c r="R741" s="274">
        <f>IF(J78&gt;0,ROUND(J78,0),0)</f>
        <v>882</v>
      </c>
      <c r="S741" s="274">
        <f>IF(J79&gt;0,ROUND(J79,0),0)</f>
        <v>0</v>
      </c>
      <c r="T741" s="276">
        <f>IF(J80&gt;0,ROUND(J80,2),0)</f>
        <v>32.35</v>
      </c>
      <c r="U741" s="274"/>
      <c r="V741" s="275"/>
      <c r="W741" s="274"/>
      <c r="X741" s="274"/>
      <c r="Y741" s="274">
        <f t="shared" si="21"/>
        <v>2870404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">
      <c r="A742" s="209" t="str">
        <f>RIGHT($C$83,3)&amp;"*"&amp;RIGHT($C$82,4)&amp;"*"&amp;K$55&amp;"*"&amp;"A"</f>
        <v>032*2019*6200*A</v>
      </c>
      <c r="B742" s="274">
        <f>ROUND(K59,0)</f>
        <v>0</v>
      </c>
      <c r="C742" s="276">
        <f>ROUND(K60,2)</f>
        <v>0</v>
      </c>
      <c r="D742" s="331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">
      <c r="A743" s="209" t="str">
        <f>RIGHT($C$83,3)&amp;"*"&amp;RIGHT($C$82,4)&amp;"*"&amp;L$55&amp;"*"&amp;"A"</f>
        <v>032*2019*6210*A</v>
      </c>
      <c r="B743" s="274">
        <f>ROUND(L59,0)</f>
        <v>0</v>
      </c>
      <c r="C743" s="276">
        <f>ROUND(L60,2)</f>
        <v>0</v>
      </c>
      <c r="D743" s="331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">
      <c r="A744" s="209" t="str">
        <f>RIGHT($C$83,3)&amp;"*"&amp;RIGHT($C$82,4)&amp;"*"&amp;M$55&amp;"*"&amp;"A"</f>
        <v>032*2019*6330*A</v>
      </c>
      <c r="B744" s="274">
        <f>ROUND(M59,0)</f>
        <v>0</v>
      </c>
      <c r="C744" s="276">
        <f>ROUND(M60,2)</f>
        <v>0</v>
      </c>
      <c r="D744" s="331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">
      <c r="A745" s="209" t="str">
        <f>RIGHT($C$83,3)&amp;"*"&amp;RIGHT($C$82,4)&amp;"*"&amp;N$55&amp;"*"&amp;"A"</f>
        <v>032*2019*6400*A</v>
      </c>
      <c r="B745" s="274">
        <f>ROUND(N59,0)</f>
        <v>0</v>
      </c>
      <c r="C745" s="276">
        <f>ROUND(N60,2)</f>
        <v>0</v>
      </c>
      <c r="D745" s="331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">
      <c r="A746" s="209" t="str">
        <f>RIGHT($C$83,3)&amp;"*"&amp;RIGHT($C$82,4)&amp;"*"&amp;O$55&amp;"*"&amp;"A"</f>
        <v>032*2019*7010*A</v>
      </c>
      <c r="B746" s="274">
        <f>ROUND(O59,0)</f>
        <v>19875</v>
      </c>
      <c r="C746" s="276">
        <f>ROUND(O60,2)</f>
        <v>140.78</v>
      </c>
      <c r="D746" s="331">
        <f>ROUND(O61,0)</f>
        <v>12678471</v>
      </c>
      <c r="E746" s="274">
        <f>ROUND(O62,0)</f>
        <v>3409815</v>
      </c>
      <c r="F746" s="274">
        <f>ROUND(O63,0)</f>
        <v>1613326</v>
      </c>
      <c r="G746" s="274">
        <f>ROUND(O64,0)</f>
        <v>1498881</v>
      </c>
      <c r="H746" s="274">
        <f>ROUND(O65,0)</f>
        <v>4141</v>
      </c>
      <c r="I746" s="274">
        <f>ROUND(O66,0)</f>
        <v>556764</v>
      </c>
      <c r="J746" s="274">
        <f>ROUND(O67,0)</f>
        <v>748838</v>
      </c>
      <c r="K746" s="274">
        <f>ROUND(O68,0)</f>
        <v>187621</v>
      </c>
      <c r="L746" s="274">
        <f>ROUND(O69,0)</f>
        <v>94612</v>
      </c>
      <c r="M746" s="274">
        <f>ROUND(O70,0)</f>
        <v>51324</v>
      </c>
      <c r="N746" s="274">
        <f>ROUND(O75,0)</f>
        <v>143554953</v>
      </c>
      <c r="O746" s="274">
        <f>ROUND(O73,0)</f>
        <v>132666706</v>
      </c>
      <c r="P746" s="274">
        <f>IF(O76&gt;0,ROUND(O76,0),0)</f>
        <v>17619</v>
      </c>
      <c r="Q746" s="274">
        <f>IF(O77&gt;0,ROUND(O77,0),0)</f>
        <v>0</v>
      </c>
      <c r="R746" s="274">
        <f>IF(O78&gt;0,ROUND(O78,0),0)</f>
        <v>6159</v>
      </c>
      <c r="S746" s="274">
        <f>IF(O79&gt;0,ROUND(O79,0),0)</f>
        <v>295333</v>
      </c>
      <c r="T746" s="276">
        <f>IF(O80&gt;0,ROUND(O80,2),0)</f>
        <v>85.22</v>
      </c>
      <c r="U746" s="274"/>
      <c r="V746" s="275"/>
      <c r="W746" s="274"/>
      <c r="X746" s="274"/>
      <c r="Y746" s="274">
        <f t="shared" si="21"/>
        <v>9113858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">
      <c r="A747" s="209" t="str">
        <f>RIGHT($C$83,3)&amp;"*"&amp;RIGHT($C$82,4)&amp;"*"&amp;P$55&amp;"*"&amp;"A"</f>
        <v>032*2019*7020*A</v>
      </c>
      <c r="B747" s="274">
        <f>ROUND(P59,0)</f>
        <v>1757258</v>
      </c>
      <c r="C747" s="276">
        <f>ROUND(P60,2)</f>
        <v>193.74</v>
      </c>
      <c r="D747" s="331">
        <f>ROUND(P61,0)</f>
        <v>17801521</v>
      </c>
      <c r="E747" s="274">
        <f>ROUND(P62,0)</f>
        <v>4612561</v>
      </c>
      <c r="F747" s="274">
        <f>ROUND(P63,0)</f>
        <v>4918425</v>
      </c>
      <c r="G747" s="274">
        <f>ROUND(P64,0)</f>
        <v>48621250</v>
      </c>
      <c r="H747" s="274">
        <f>ROUND(P65,0)</f>
        <v>11123</v>
      </c>
      <c r="I747" s="274">
        <f>ROUND(P66,0)</f>
        <v>4718070</v>
      </c>
      <c r="J747" s="274">
        <f>ROUND(P67,0)</f>
        <v>9978699</v>
      </c>
      <c r="K747" s="274">
        <f>ROUND(P68,0)</f>
        <v>901750</v>
      </c>
      <c r="L747" s="274">
        <f>ROUND(P69,0)</f>
        <v>185764</v>
      </c>
      <c r="M747" s="274">
        <f>ROUND(P70,0)</f>
        <v>2000</v>
      </c>
      <c r="N747" s="274">
        <f>ROUND(P75,0)</f>
        <v>968659523</v>
      </c>
      <c r="O747" s="274">
        <f>ROUND(P73,0)</f>
        <v>532433331</v>
      </c>
      <c r="P747" s="274">
        <f>IF(P76&gt;0,ROUND(P76,0),0)</f>
        <v>89564</v>
      </c>
      <c r="Q747" s="274">
        <f>IF(P77&gt;0,ROUND(P77,0),0)</f>
        <v>3618</v>
      </c>
      <c r="R747" s="274">
        <f>IF(P78&gt;0,ROUND(P78,0),0)</f>
        <v>31307</v>
      </c>
      <c r="S747" s="274">
        <f>IF(P79&gt;0,ROUND(P79,0),0)</f>
        <v>739795</v>
      </c>
      <c r="T747" s="276">
        <f>IF(P80&gt;0,ROUND(P80,2),0)</f>
        <v>76.819999999999993</v>
      </c>
      <c r="U747" s="274"/>
      <c r="V747" s="275"/>
      <c r="W747" s="274"/>
      <c r="X747" s="274"/>
      <c r="Y747" s="274">
        <f t="shared" si="21"/>
        <v>42094484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">
      <c r="A748" s="209" t="str">
        <f>RIGHT($C$83,3)&amp;"*"&amp;RIGHT($C$82,4)&amp;"*"&amp;Q$55&amp;"*"&amp;"A"</f>
        <v>032*2019*7030*A</v>
      </c>
      <c r="B748" s="274">
        <f>ROUND(Q59,0)</f>
        <v>1201215</v>
      </c>
      <c r="C748" s="276">
        <f>ROUND(Q60,2)</f>
        <v>19.22</v>
      </c>
      <c r="D748" s="331">
        <f>ROUND(Q61,0)</f>
        <v>1872428</v>
      </c>
      <c r="E748" s="274">
        <f>ROUND(Q62,0)</f>
        <v>485553</v>
      </c>
      <c r="F748" s="274">
        <f>ROUND(Q63,0)</f>
        <v>0</v>
      </c>
      <c r="G748" s="274">
        <f>ROUND(Q64,0)</f>
        <v>138415</v>
      </c>
      <c r="H748" s="274">
        <f>ROUND(Q65,0)</f>
        <v>809</v>
      </c>
      <c r="I748" s="274">
        <f>ROUND(Q66,0)</f>
        <v>19208</v>
      </c>
      <c r="J748" s="274">
        <f>ROUND(Q67,0)</f>
        <v>52684</v>
      </c>
      <c r="K748" s="274">
        <f>ROUND(Q68,0)</f>
        <v>3101</v>
      </c>
      <c r="L748" s="274">
        <f>ROUND(Q69,0)</f>
        <v>14011</v>
      </c>
      <c r="M748" s="274">
        <f>ROUND(Q70,0)</f>
        <v>0</v>
      </c>
      <c r="N748" s="274">
        <f>ROUND(Q75,0)</f>
        <v>26238960</v>
      </c>
      <c r="O748" s="274">
        <f>ROUND(Q73,0)</f>
        <v>15198269</v>
      </c>
      <c r="P748" s="274">
        <f>IF(Q76&gt;0,ROUND(Q76,0),0)</f>
        <v>2369</v>
      </c>
      <c r="Q748" s="274">
        <f>IF(Q77&gt;0,ROUND(Q77,0),0)</f>
        <v>0</v>
      </c>
      <c r="R748" s="274">
        <f>IF(Q78&gt;0,ROUND(Q78,0),0)</f>
        <v>828</v>
      </c>
      <c r="S748" s="274">
        <f>IF(Q79&gt;0,ROUND(Q79,0),0)</f>
        <v>56493</v>
      </c>
      <c r="T748" s="276">
        <f>IF(Q80&gt;0,ROUND(Q80,2),0)</f>
        <v>13.58</v>
      </c>
      <c r="U748" s="274"/>
      <c r="V748" s="275"/>
      <c r="W748" s="274"/>
      <c r="X748" s="274"/>
      <c r="Y748" s="274">
        <f t="shared" si="21"/>
        <v>1345580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">
      <c r="A749" s="209" t="str">
        <f>RIGHT($C$83,3)&amp;"*"&amp;RIGHT($C$82,4)&amp;"*"&amp;R$55&amp;"*"&amp;"A"</f>
        <v>032*2019*7040*A</v>
      </c>
      <c r="B749" s="274">
        <f>ROUND(R59,0)</f>
        <v>0</v>
      </c>
      <c r="C749" s="276">
        <f>ROUND(R60,2)</f>
        <v>0</v>
      </c>
      <c r="D749" s="331">
        <f>ROUND(R61,0)</f>
        <v>0</v>
      </c>
      <c r="E749" s="274">
        <f>ROUND(R62,0)</f>
        <v>0</v>
      </c>
      <c r="F749" s="274">
        <f>ROUND(R63,0)</f>
        <v>0</v>
      </c>
      <c r="G749" s="274">
        <f>ROUND(R64,0)</f>
        <v>0</v>
      </c>
      <c r="H749" s="274">
        <f>ROUND(R65,0)</f>
        <v>0</v>
      </c>
      <c r="I749" s="274">
        <f>ROUND(R66,0)</f>
        <v>0</v>
      </c>
      <c r="J749" s="274">
        <f>ROUND(R67,0)</f>
        <v>0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0</v>
      </c>
      <c r="O749" s="274">
        <f>ROUND(R73,0)</f>
        <v>0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0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">
      <c r="A750" s="209" t="str">
        <f>RIGHT($C$83,3)&amp;"*"&amp;RIGHT($C$82,4)&amp;"*"&amp;S$55&amp;"*"&amp;"A"</f>
        <v>032*2019*7050*A</v>
      </c>
      <c r="B750" s="274"/>
      <c r="C750" s="276">
        <f>ROUND(S60,2)</f>
        <v>61.56</v>
      </c>
      <c r="D750" s="331">
        <f>ROUND(S61,0)</f>
        <v>3074685</v>
      </c>
      <c r="E750" s="274">
        <f>ROUND(S62,0)</f>
        <v>1148598</v>
      </c>
      <c r="F750" s="274">
        <f>ROUND(S63,0)</f>
        <v>0</v>
      </c>
      <c r="G750" s="274">
        <f>ROUND(S64,0)</f>
        <v>-473929</v>
      </c>
      <c r="H750" s="274">
        <f>ROUND(S65,0)</f>
        <v>0</v>
      </c>
      <c r="I750" s="274">
        <f>ROUND(S66,0)</f>
        <v>843496</v>
      </c>
      <c r="J750" s="274">
        <f>ROUND(S67,0)</f>
        <v>332976</v>
      </c>
      <c r="K750" s="274">
        <f>ROUND(S68,0)</f>
        <v>11864</v>
      </c>
      <c r="L750" s="274">
        <f>ROUND(S69,0)</f>
        <v>166827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17441</v>
      </c>
      <c r="Q750" s="274">
        <f>IF(S77&gt;0,ROUND(S77,0),0)</f>
        <v>0</v>
      </c>
      <c r="R750" s="274">
        <f>IF(S78&gt;0,ROUND(S78,0),0)</f>
        <v>6096</v>
      </c>
      <c r="S750" s="274">
        <f>IF(S79&gt;0,ROUND(S79,0),0)</f>
        <v>16509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3214794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">
      <c r="A751" s="209" t="str">
        <f>RIGHT($C$83,3)&amp;"*"&amp;RIGHT($C$82,4)&amp;"*"&amp;T$55&amp;"*"&amp;"A"</f>
        <v>032*2019*7060*A</v>
      </c>
      <c r="B751" s="274"/>
      <c r="C751" s="276">
        <f>ROUND(T60,2)</f>
        <v>13.67</v>
      </c>
      <c r="D751" s="331">
        <f>ROUND(T61,0)</f>
        <v>1558230</v>
      </c>
      <c r="E751" s="274">
        <f>ROUND(T62,0)</f>
        <v>372787</v>
      </c>
      <c r="F751" s="274">
        <f>ROUND(T63,0)</f>
        <v>0</v>
      </c>
      <c r="G751" s="274">
        <f>ROUND(T64,0)</f>
        <v>995926</v>
      </c>
      <c r="H751" s="274">
        <f>ROUND(T65,0)</f>
        <v>667</v>
      </c>
      <c r="I751" s="274">
        <f>ROUND(T66,0)</f>
        <v>-556289</v>
      </c>
      <c r="J751" s="274">
        <f>ROUND(T67,0)</f>
        <v>28955</v>
      </c>
      <c r="K751" s="274">
        <f>ROUND(T68,0)</f>
        <v>468</v>
      </c>
      <c r="L751" s="274">
        <f>ROUND(T69,0)</f>
        <v>3367</v>
      </c>
      <c r="M751" s="274">
        <f>ROUND(T70,0)</f>
        <v>3133</v>
      </c>
      <c r="N751" s="274">
        <f>ROUND(T75,0)</f>
        <v>12802179</v>
      </c>
      <c r="O751" s="274">
        <f>ROUND(T73,0)</f>
        <v>12318368</v>
      </c>
      <c r="P751" s="274">
        <f>IF(T76&gt;0,ROUND(T76,0),0)</f>
        <v>0</v>
      </c>
      <c r="Q751" s="274">
        <f>IF(T77&gt;0,ROUND(T77,0),0)</f>
        <v>63451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11.94</v>
      </c>
      <c r="U751" s="274"/>
      <c r="V751" s="275"/>
      <c r="W751" s="274"/>
      <c r="X751" s="274"/>
      <c r="Y751" s="274">
        <f t="shared" si="21"/>
        <v>725310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">
      <c r="A752" s="209" t="str">
        <f>RIGHT($C$83,3)&amp;"*"&amp;RIGHT($C$82,4)&amp;"*"&amp;U$55&amp;"*"&amp;"A"</f>
        <v>032*2019*7070*A</v>
      </c>
      <c r="B752" s="274">
        <f>ROUND(U59,0)</f>
        <v>1372424</v>
      </c>
      <c r="C752" s="276">
        <f>ROUND(U60,2)</f>
        <v>107.64</v>
      </c>
      <c r="D752" s="331">
        <f>ROUND(U61,0)</f>
        <v>7735600</v>
      </c>
      <c r="E752" s="274">
        <f>ROUND(U62,0)</f>
        <v>2283358</v>
      </c>
      <c r="F752" s="274">
        <f>ROUND(U63,0)</f>
        <v>95688</v>
      </c>
      <c r="G752" s="274">
        <f>ROUND(U64,0)</f>
        <v>6843403</v>
      </c>
      <c r="H752" s="274">
        <f>ROUND(U65,0)</f>
        <v>239097</v>
      </c>
      <c r="I752" s="274">
        <f>ROUND(U66,0)</f>
        <v>4049408</v>
      </c>
      <c r="J752" s="274">
        <f>ROUND(U67,0)</f>
        <v>750907</v>
      </c>
      <c r="K752" s="274">
        <f>ROUND(U68,0)</f>
        <v>696025</v>
      </c>
      <c r="L752" s="274">
        <f>ROUND(U69,0)</f>
        <v>203089</v>
      </c>
      <c r="M752" s="274">
        <f>ROUND(U70,0)</f>
        <v>1696361</v>
      </c>
      <c r="N752" s="274">
        <f>ROUND(U75,0)</f>
        <v>139158872</v>
      </c>
      <c r="O752" s="274">
        <f>ROUND(U73,0)</f>
        <v>102211638</v>
      </c>
      <c r="P752" s="274">
        <f>IF(U76&gt;0,ROUND(U76,0),0)</f>
        <v>16657</v>
      </c>
      <c r="Q752" s="274">
        <f>IF(U77&gt;0,ROUND(U77,0),0)</f>
        <v>0</v>
      </c>
      <c r="R752" s="274">
        <f>IF(U78&gt;0,ROUND(U78,0),0)</f>
        <v>5822</v>
      </c>
      <c r="S752" s="274">
        <f>IF(U79&gt;0,ROUND(U79,0),0)</f>
        <v>9767</v>
      </c>
      <c r="T752" s="276">
        <f>IF(U80&gt;0,ROUND(U80,2),0)</f>
        <v>4.5999999999999996</v>
      </c>
      <c r="U752" s="274"/>
      <c r="V752" s="275"/>
      <c r="W752" s="274"/>
      <c r="X752" s="274"/>
      <c r="Y752" s="274">
        <f t="shared" si="21"/>
        <v>7931582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">
      <c r="A753" s="209" t="str">
        <f>RIGHT($C$83,3)&amp;"*"&amp;RIGHT($C$82,4)&amp;"*"&amp;V$55&amp;"*"&amp;"A"</f>
        <v>032*2019*7110*A</v>
      </c>
      <c r="B753" s="274">
        <f>ROUND(V59,0)</f>
        <v>0</v>
      </c>
      <c r="C753" s="276">
        <f>ROUND(V60,2)</f>
        <v>8.73</v>
      </c>
      <c r="D753" s="331">
        <f>ROUND(V61,0)</f>
        <v>1078530</v>
      </c>
      <c r="E753" s="274">
        <f>ROUND(V62,0)</f>
        <v>225848</v>
      </c>
      <c r="F753" s="274">
        <f>ROUND(V63,0)</f>
        <v>0</v>
      </c>
      <c r="G753" s="274">
        <f>ROUND(V64,0)</f>
        <v>11893814</v>
      </c>
      <c r="H753" s="274">
        <f>ROUND(V65,0)</f>
        <v>0</v>
      </c>
      <c r="I753" s="274">
        <f>ROUND(V66,0)</f>
        <v>407200</v>
      </c>
      <c r="J753" s="274">
        <f>ROUND(V67,0)</f>
        <v>399270</v>
      </c>
      <c r="K753" s="274">
        <f>ROUND(V68,0)</f>
        <v>667</v>
      </c>
      <c r="L753" s="274">
        <f>ROUND(V69,0)</f>
        <v>3573</v>
      </c>
      <c r="M753" s="274">
        <f>ROUND(V70,0)</f>
        <v>2901</v>
      </c>
      <c r="N753" s="274">
        <f>ROUND(V75,0)</f>
        <v>102514848</v>
      </c>
      <c r="O753" s="274">
        <f>ROUND(V73,0)</f>
        <v>34323895</v>
      </c>
      <c r="P753" s="274">
        <f>IF(V76&gt;0,ROUND(V76,0),0)</f>
        <v>3310</v>
      </c>
      <c r="Q753" s="274">
        <f>IF(V77&gt;0,ROUND(V77,0),0)</f>
        <v>0</v>
      </c>
      <c r="R753" s="274">
        <f>IF(V78&gt;0,ROUND(V78,0),0)</f>
        <v>1157</v>
      </c>
      <c r="S753" s="274">
        <f>IF(V79&gt;0,ROUND(V79,0),0)</f>
        <v>0</v>
      </c>
      <c r="T753" s="276">
        <f>IF(V80&gt;0,ROUND(V80,2),0)</f>
        <v>4.58</v>
      </c>
      <c r="U753" s="274"/>
      <c r="V753" s="275"/>
      <c r="W753" s="274"/>
      <c r="X753" s="274"/>
      <c r="Y753" s="274">
        <f t="shared" si="21"/>
        <v>4119675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">
      <c r="A754" s="209" t="str">
        <f>RIGHT($C$83,3)&amp;"*"&amp;RIGHT($C$82,4)&amp;"*"&amp;W$55&amp;"*"&amp;"A"</f>
        <v>032*2019*7120*A</v>
      </c>
      <c r="B754" s="274">
        <f>ROUND(W59,0)</f>
        <v>7418</v>
      </c>
      <c r="C754" s="276">
        <f>ROUND(W60,2)</f>
        <v>0</v>
      </c>
      <c r="D754" s="331">
        <f>ROUND(W61,0)</f>
        <v>0</v>
      </c>
      <c r="E754" s="274">
        <f>ROUND(W62,0)</f>
        <v>0</v>
      </c>
      <c r="F754" s="274">
        <f>ROUND(W63,0)</f>
        <v>0</v>
      </c>
      <c r="G754" s="274">
        <f>ROUND(W64,0)</f>
        <v>0</v>
      </c>
      <c r="H754" s="274">
        <f>ROUND(W65,0)</f>
        <v>0</v>
      </c>
      <c r="I754" s="274">
        <f>ROUND(W66,0)</f>
        <v>0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0</v>
      </c>
      <c r="O754" s="274">
        <f>ROUND(W73,0)</f>
        <v>0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0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">
      <c r="A755" s="209" t="str">
        <f>RIGHT($C$83,3)&amp;"*"&amp;RIGHT($C$82,4)&amp;"*"&amp;X$55&amp;"*"&amp;"A"</f>
        <v>032*2019*7130*A</v>
      </c>
      <c r="B755" s="274">
        <f>ROUND(X59,0)</f>
        <v>30284</v>
      </c>
      <c r="C755" s="276">
        <f>ROUND(X60,2)</f>
        <v>10.210000000000001</v>
      </c>
      <c r="D755" s="331">
        <f>ROUND(X61,0)</f>
        <v>992690</v>
      </c>
      <c r="E755" s="274">
        <f>ROUND(X62,0)</f>
        <v>257826</v>
      </c>
      <c r="F755" s="274">
        <f>ROUND(X63,0)</f>
        <v>0</v>
      </c>
      <c r="G755" s="274">
        <f>ROUND(X64,0)</f>
        <v>320999</v>
      </c>
      <c r="H755" s="274">
        <f>ROUND(X65,0)</f>
        <v>326</v>
      </c>
      <c r="I755" s="274">
        <f>ROUND(X66,0)</f>
        <v>261404</v>
      </c>
      <c r="J755" s="274">
        <f>ROUND(X67,0)</f>
        <v>14032</v>
      </c>
      <c r="K755" s="274">
        <f>ROUND(X68,0)</f>
        <v>1273</v>
      </c>
      <c r="L755" s="274">
        <f>ROUND(X69,0)</f>
        <v>66</v>
      </c>
      <c r="M755" s="274">
        <f>ROUND(X70,0)</f>
        <v>0</v>
      </c>
      <c r="N755" s="274">
        <f>ROUND(X75,0)</f>
        <v>144602140</v>
      </c>
      <c r="O755" s="274">
        <f>ROUND(X73,0)</f>
        <v>66736789</v>
      </c>
      <c r="P755" s="274">
        <f>IF(X76&gt;0,ROUND(X76,0),0)</f>
        <v>0</v>
      </c>
      <c r="Q755" s="274">
        <f>IF(X77&gt;0,ROUND(X77,0),0)</f>
        <v>0</v>
      </c>
      <c r="R755" s="274">
        <f>IF(X78&gt;0,ROUND(X78,0),0)</f>
        <v>0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2785786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">
      <c r="A756" s="209" t="str">
        <f>RIGHT($C$83,3)&amp;"*"&amp;RIGHT($C$82,4)&amp;"*"&amp;Y$55&amp;"*"&amp;"A"</f>
        <v>032*2019*7140*A</v>
      </c>
      <c r="B756" s="274">
        <f>ROUND(Y59,0)</f>
        <v>200111</v>
      </c>
      <c r="C756" s="276">
        <f>ROUND(Y60,2)</f>
        <v>65.819999999999993</v>
      </c>
      <c r="D756" s="331">
        <f>ROUND(Y61,0)</f>
        <v>5762355</v>
      </c>
      <c r="E756" s="274">
        <f>ROUND(Y62,0)</f>
        <v>1561993</v>
      </c>
      <c r="F756" s="274">
        <f>ROUND(Y63,0)</f>
        <v>65835</v>
      </c>
      <c r="G756" s="274">
        <f>ROUND(Y64,0)</f>
        <v>3902490</v>
      </c>
      <c r="H756" s="274">
        <f>ROUND(Y65,0)</f>
        <v>6048</v>
      </c>
      <c r="I756" s="274">
        <f>ROUND(Y66,0)</f>
        <v>2238682</v>
      </c>
      <c r="J756" s="274">
        <f>ROUND(Y67,0)</f>
        <v>1148771</v>
      </c>
      <c r="K756" s="274">
        <f>ROUND(Y68,0)</f>
        <v>32389</v>
      </c>
      <c r="L756" s="274">
        <f>ROUND(Y69,0)</f>
        <v>8575</v>
      </c>
      <c r="M756" s="274">
        <f>ROUND(Y70,0)</f>
        <v>42685</v>
      </c>
      <c r="N756" s="274">
        <f>ROUND(Y75,0)</f>
        <v>134524017</v>
      </c>
      <c r="O756" s="274">
        <f>ROUND(Y73,0)</f>
        <v>66943846</v>
      </c>
      <c r="P756" s="274">
        <f>IF(Y76&gt;0,ROUND(Y76,0),0)</f>
        <v>46104</v>
      </c>
      <c r="Q756" s="274">
        <f>IF(Y77&gt;0,ROUND(Y77,0),0)</f>
        <v>0</v>
      </c>
      <c r="R756" s="274">
        <f>IF(Y78&gt;0,ROUND(Y78,0),0)</f>
        <v>16115</v>
      </c>
      <c r="S756" s="274">
        <f>IF(Y79&gt;0,ROUND(Y79,0),0)</f>
        <v>127483</v>
      </c>
      <c r="T756" s="276">
        <f>IF(Y80&gt;0,ROUND(Y80,2),0)</f>
        <v>5.82</v>
      </c>
      <c r="U756" s="274"/>
      <c r="V756" s="275"/>
      <c r="W756" s="274"/>
      <c r="X756" s="274"/>
      <c r="Y756" s="274">
        <f t="shared" si="21"/>
        <v>10512897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">
      <c r="A757" s="209" t="str">
        <f>RIGHT($C$83,3)&amp;"*"&amp;RIGHT($C$82,4)&amp;"*"&amp;Z$55&amp;"*"&amp;"A"</f>
        <v>032*2019*7150*A</v>
      </c>
      <c r="B757" s="274">
        <f>ROUND(Z59,0)</f>
        <v>0</v>
      </c>
      <c r="C757" s="276">
        <f>ROUND(Z60,2)</f>
        <v>0</v>
      </c>
      <c r="D757" s="331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">
      <c r="A758" s="209" t="str">
        <f>RIGHT($C$83,3)&amp;"*"&amp;RIGHT($C$82,4)&amp;"*"&amp;AA$55&amp;"*"&amp;"A"</f>
        <v>032*2019*7160*A</v>
      </c>
      <c r="B758" s="274">
        <f>ROUND(AA59,0)</f>
        <v>6052</v>
      </c>
      <c r="C758" s="276">
        <f>ROUND(AA60,2)</f>
        <v>6.68</v>
      </c>
      <c r="D758" s="331">
        <f>ROUND(AA61,0)</f>
        <v>625536</v>
      </c>
      <c r="E758" s="274">
        <f>ROUND(AA62,0)</f>
        <v>166096</v>
      </c>
      <c r="F758" s="274">
        <f>ROUND(AA63,0)</f>
        <v>0</v>
      </c>
      <c r="G758" s="274">
        <f>ROUND(AA64,0)</f>
        <v>775915</v>
      </c>
      <c r="H758" s="274">
        <f>ROUND(AA65,0)</f>
        <v>0</v>
      </c>
      <c r="I758" s="274">
        <f>ROUND(AA66,0)</f>
        <v>121851</v>
      </c>
      <c r="J758" s="274">
        <f>ROUND(AA67,0)</f>
        <v>5426</v>
      </c>
      <c r="K758" s="274">
        <f>ROUND(AA68,0)</f>
        <v>285</v>
      </c>
      <c r="L758" s="274">
        <f>ROUND(AA69,0)</f>
        <v>987</v>
      </c>
      <c r="M758" s="274">
        <f>ROUND(AA70,0)</f>
        <v>0</v>
      </c>
      <c r="N758" s="274">
        <f>ROUND(AA75,0)</f>
        <v>24626333</v>
      </c>
      <c r="O758" s="274">
        <f>ROUND(AA73,0)</f>
        <v>4121081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12145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689010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">
      <c r="A759" s="209" t="str">
        <f>RIGHT($C$83,3)&amp;"*"&amp;RIGHT($C$82,4)&amp;"*"&amp;AB$55&amp;"*"&amp;"A"</f>
        <v>032*2019*7170*A</v>
      </c>
      <c r="B759" s="274"/>
      <c r="C759" s="276">
        <f>ROUND(AB60,2)</f>
        <v>93.66</v>
      </c>
      <c r="D759" s="331">
        <f>ROUND(AB61,0)</f>
        <v>9343538</v>
      </c>
      <c r="E759" s="274">
        <f>ROUND(AB62,0)</f>
        <v>2364283</v>
      </c>
      <c r="F759" s="274">
        <f>ROUND(AB63,0)</f>
        <v>11933</v>
      </c>
      <c r="G759" s="274">
        <f>ROUND(AB64,0)</f>
        <v>16832557</v>
      </c>
      <c r="H759" s="274">
        <f>ROUND(AB65,0)</f>
        <v>5431</v>
      </c>
      <c r="I759" s="274">
        <f>ROUND(AB66,0)</f>
        <v>1635496</v>
      </c>
      <c r="J759" s="274">
        <f>ROUND(AB67,0)</f>
        <v>781490</v>
      </c>
      <c r="K759" s="274">
        <f>ROUND(AB68,0)</f>
        <v>97781</v>
      </c>
      <c r="L759" s="274">
        <f>ROUND(AB69,0)</f>
        <v>2887788</v>
      </c>
      <c r="M759" s="274">
        <f>ROUND(AB70,0)</f>
        <v>4805213</v>
      </c>
      <c r="N759" s="274">
        <f>ROUND(AB75,0)</f>
        <v>405523728</v>
      </c>
      <c r="O759" s="274">
        <f>ROUND(AB73,0)</f>
        <v>290419303</v>
      </c>
      <c r="P759" s="274">
        <f>IF(AB76&gt;0,ROUND(AB76,0),0)</f>
        <v>16636</v>
      </c>
      <c r="Q759" s="274">
        <f>IF(AB77&gt;0,ROUND(AB77,0),0)</f>
        <v>0</v>
      </c>
      <c r="R759" s="274">
        <f>IF(AB78&gt;0,ROUND(AB78,0),0)</f>
        <v>5815</v>
      </c>
      <c r="S759" s="274">
        <f>IF(AB79&gt;0,ROUND(AB79,0),0)</f>
        <v>0</v>
      </c>
      <c r="T759" s="276">
        <f>IF(AB80&gt;0,ROUND(AB80,2),0)</f>
        <v>2.39</v>
      </c>
      <c r="U759" s="274"/>
      <c r="V759" s="275"/>
      <c r="W759" s="274"/>
      <c r="X759" s="274"/>
      <c r="Y759" s="274">
        <f t="shared" si="21"/>
        <v>13454749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">
      <c r="A760" s="209" t="str">
        <f>RIGHT($C$83,3)&amp;"*"&amp;RIGHT($C$82,4)&amp;"*"&amp;AC$55&amp;"*"&amp;"A"</f>
        <v>032*2019*7180*A</v>
      </c>
      <c r="B760" s="274">
        <f>ROUND(AC59,0)</f>
        <v>63420</v>
      </c>
      <c r="C760" s="276">
        <f>ROUND(AC60,2)</f>
        <v>27.84</v>
      </c>
      <c r="D760" s="331">
        <f>ROUND(AC61,0)</f>
        <v>2481454</v>
      </c>
      <c r="E760" s="274">
        <f>ROUND(AC62,0)</f>
        <v>663572</v>
      </c>
      <c r="F760" s="274">
        <f>ROUND(AC63,0)</f>
        <v>58314</v>
      </c>
      <c r="G760" s="274">
        <f>ROUND(AC64,0)</f>
        <v>741925</v>
      </c>
      <c r="H760" s="274">
        <f>ROUND(AC65,0)</f>
        <v>807</v>
      </c>
      <c r="I760" s="274">
        <f>ROUND(AC66,0)</f>
        <v>185573</v>
      </c>
      <c r="J760" s="274">
        <f>ROUND(AC67,0)</f>
        <v>213488</v>
      </c>
      <c r="K760" s="274">
        <f>ROUND(AC68,0)</f>
        <v>102933</v>
      </c>
      <c r="L760" s="274">
        <f>ROUND(AC69,0)</f>
        <v>25350</v>
      </c>
      <c r="M760" s="274">
        <f>ROUND(AC70,0)</f>
        <v>0</v>
      </c>
      <c r="N760" s="274">
        <f>ROUND(AC75,0)</f>
        <v>66553866</v>
      </c>
      <c r="O760" s="274">
        <f>ROUND(AC73,0)</f>
        <v>58993710</v>
      </c>
      <c r="P760" s="274">
        <f>IF(AC76&gt;0,ROUND(AC76,0),0)</f>
        <v>981</v>
      </c>
      <c r="Q760" s="274">
        <f>IF(AC77&gt;0,ROUND(AC77,0),0)</f>
        <v>0</v>
      </c>
      <c r="R760" s="274">
        <f>IF(AC78&gt;0,ROUND(AC78,0),0)</f>
        <v>343</v>
      </c>
      <c r="S760" s="274">
        <f>IF(AC79&gt;0,ROUND(AC79,0),0)</f>
        <v>0</v>
      </c>
      <c r="T760" s="276">
        <f>IF(AC80&gt;0,ROUND(AC80,2),0)</f>
        <v>0.01</v>
      </c>
      <c r="U760" s="274"/>
      <c r="V760" s="275"/>
      <c r="W760" s="274"/>
      <c r="X760" s="274"/>
      <c r="Y760" s="274">
        <f t="shared" si="21"/>
        <v>2013064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">
      <c r="A761" s="209" t="str">
        <f>RIGHT($C$83,3)&amp;"*"&amp;RIGHT($C$82,4)&amp;"*"&amp;AD$55&amp;"*"&amp;"A"</f>
        <v>032*2019*7190*A</v>
      </c>
      <c r="B761" s="274">
        <f>ROUND(AD59,0)</f>
        <v>0</v>
      </c>
      <c r="C761" s="276">
        <f>ROUND(AD60,2)</f>
        <v>1</v>
      </c>
      <c r="D761" s="331">
        <f>ROUND(AD61,0)</f>
        <v>137736</v>
      </c>
      <c r="E761" s="274">
        <f>ROUND(AD62,0)</f>
        <v>35957</v>
      </c>
      <c r="F761" s="274">
        <f>ROUND(AD63,0)</f>
        <v>0</v>
      </c>
      <c r="G761" s="274">
        <f>ROUND(AD64,0)</f>
        <v>58907</v>
      </c>
      <c r="H761" s="274">
        <f>ROUND(AD65,0)</f>
        <v>3645</v>
      </c>
      <c r="I761" s="274">
        <f>ROUND(AD66,0)</f>
        <v>2352569</v>
      </c>
      <c r="J761" s="274">
        <f>ROUND(AD67,0)</f>
        <v>262586</v>
      </c>
      <c r="K761" s="274">
        <f>ROUND(AD68,0)</f>
        <v>3109</v>
      </c>
      <c r="L761" s="274">
        <f>ROUND(AD69,0)</f>
        <v>39933</v>
      </c>
      <c r="M761" s="274">
        <f>ROUND(AD70,0)</f>
        <v>572604</v>
      </c>
      <c r="N761" s="274">
        <f>ROUND(AD75,0)</f>
        <v>9723144</v>
      </c>
      <c r="O761" s="274">
        <f>ROUND(AD73,0)</f>
        <v>9194436</v>
      </c>
      <c r="P761" s="274">
        <f>IF(AD76&gt;0,ROUND(AD76,0),0)</f>
        <v>16507</v>
      </c>
      <c r="Q761" s="274">
        <f>IF(AD77&gt;0,ROUND(AD77,0),0)</f>
        <v>0</v>
      </c>
      <c r="R761" s="274">
        <f>IF(AD78&gt;0,ROUND(AD78,0),0)</f>
        <v>5770</v>
      </c>
      <c r="S761" s="274">
        <f>IF(AD79&gt;0,ROUND(AD79,0),0)</f>
        <v>23578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2562128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">
      <c r="A762" s="209" t="str">
        <f>RIGHT($C$83,3)&amp;"*"&amp;RIGHT($C$82,4)&amp;"*"&amp;AE$55&amp;"*"&amp;"A"</f>
        <v>032*2019*7200*A</v>
      </c>
      <c r="B762" s="274">
        <f>ROUND(AE59,0)</f>
        <v>143127</v>
      </c>
      <c r="C762" s="276">
        <f>ROUND(AE60,2)</f>
        <v>34.799999999999997</v>
      </c>
      <c r="D762" s="331">
        <f>ROUND(AE61,0)</f>
        <v>3356016</v>
      </c>
      <c r="E762" s="274">
        <f>ROUND(AE62,0)</f>
        <v>873208</v>
      </c>
      <c r="F762" s="274">
        <f>ROUND(AE63,0)</f>
        <v>0</v>
      </c>
      <c r="G762" s="274">
        <f>ROUND(AE64,0)</f>
        <v>45942</v>
      </c>
      <c r="H762" s="274">
        <f>ROUND(AE65,0)</f>
        <v>1396</v>
      </c>
      <c r="I762" s="274">
        <f>ROUND(AE66,0)</f>
        <v>55983</v>
      </c>
      <c r="J762" s="274">
        <f>ROUND(AE67,0)</f>
        <v>185540</v>
      </c>
      <c r="K762" s="274">
        <f>ROUND(AE68,0)</f>
        <v>158580</v>
      </c>
      <c r="L762" s="274">
        <f>ROUND(AE69,0)</f>
        <v>14847</v>
      </c>
      <c r="M762" s="274">
        <f>ROUND(AE70,0)</f>
        <v>320</v>
      </c>
      <c r="N762" s="274">
        <f>ROUND(AE75,0)</f>
        <v>24325732</v>
      </c>
      <c r="O762" s="274">
        <f>ROUND(AE73,0)</f>
        <v>8187153</v>
      </c>
      <c r="P762" s="274">
        <f>IF(AE76&gt;0,ROUND(AE76,0),0)</f>
        <v>11376</v>
      </c>
      <c r="Q762" s="274">
        <f>IF(AE77&gt;0,ROUND(AE77,0),0)</f>
        <v>0</v>
      </c>
      <c r="R762" s="274">
        <f>IF(AE78&gt;0,ROUND(AE78,0),0)</f>
        <v>3976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2660972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">
      <c r="A763" s="209" t="str">
        <f>RIGHT($C$83,3)&amp;"*"&amp;RIGHT($C$82,4)&amp;"*"&amp;AF$55&amp;"*"&amp;"A"</f>
        <v>032*2019*7220*A</v>
      </c>
      <c r="B763" s="274">
        <f>ROUND(AF59,0)</f>
        <v>0</v>
      </c>
      <c r="C763" s="276">
        <f>ROUND(AF60,2)</f>
        <v>0</v>
      </c>
      <c r="D763" s="331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">
      <c r="A764" s="209" t="str">
        <f>RIGHT($C$83,3)&amp;"*"&amp;RIGHT($C$82,4)&amp;"*"&amp;AG$55&amp;"*"&amp;"A"</f>
        <v>032*2019*7230*A</v>
      </c>
      <c r="B764" s="274">
        <f>ROUND(AG59,0)</f>
        <v>49565</v>
      </c>
      <c r="C764" s="276">
        <f>ROUND(AG60,2)</f>
        <v>88.14</v>
      </c>
      <c r="D764" s="331">
        <f>ROUND(AG61,0)</f>
        <v>7022829</v>
      </c>
      <c r="E764" s="274">
        <f>ROUND(AG62,0)</f>
        <v>2010299</v>
      </c>
      <c r="F764" s="274">
        <f>ROUND(AG63,0)</f>
        <v>7086820</v>
      </c>
      <c r="G764" s="274">
        <f>ROUND(AG64,0)</f>
        <v>1608206</v>
      </c>
      <c r="H764" s="274">
        <f>ROUND(AG65,0)</f>
        <v>989</v>
      </c>
      <c r="I764" s="274">
        <f>ROUND(AG66,0)</f>
        <v>2346826</v>
      </c>
      <c r="J764" s="274">
        <f>ROUND(AG67,0)</f>
        <v>1046781</v>
      </c>
      <c r="K764" s="274">
        <f>ROUND(AG68,0)</f>
        <v>34590</v>
      </c>
      <c r="L764" s="274">
        <f>ROUND(AG69,0)</f>
        <v>76168</v>
      </c>
      <c r="M764" s="274">
        <f>ROUND(AG70,0)</f>
        <v>3133</v>
      </c>
      <c r="N764" s="274">
        <f>ROUND(AG75,0)</f>
        <v>178624870</v>
      </c>
      <c r="O764" s="274">
        <f>ROUND(AG73,0)</f>
        <v>63076689</v>
      </c>
      <c r="P764" s="274">
        <f>IF(AG76&gt;0,ROUND(AG76,0),0)</f>
        <v>20182</v>
      </c>
      <c r="Q764" s="274">
        <f>IF(AG77&gt;0,ROUND(AG77,0),0)</f>
        <v>9236</v>
      </c>
      <c r="R764" s="274">
        <f>IF(AG78&gt;0,ROUND(AG78,0),0)</f>
        <v>7055</v>
      </c>
      <c r="S764" s="274">
        <f>IF(AG79&gt;0,ROUND(AG79,0),0)</f>
        <v>307170</v>
      </c>
      <c r="T764" s="276">
        <f>IF(AG80&gt;0,ROUND(AG80,2),0)</f>
        <v>50.98</v>
      </c>
      <c r="U764" s="274"/>
      <c r="V764" s="275"/>
      <c r="W764" s="274"/>
      <c r="X764" s="274"/>
      <c r="Y764" s="274">
        <f t="shared" si="21"/>
        <v>9493330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">
      <c r="A765" s="209" t="str">
        <f>RIGHT($C$83,3)&amp;"*"&amp;RIGHT($C$82,4)&amp;"*"&amp;AH$55&amp;"*"&amp;"A"</f>
        <v>032*2019*7240*A</v>
      </c>
      <c r="B765" s="274">
        <f>ROUND(AH59,0)</f>
        <v>0</v>
      </c>
      <c r="C765" s="276">
        <f>ROUND(AH60,2)</f>
        <v>0</v>
      </c>
      <c r="D765" s="331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">
      <c r="A766" s="209" t="str">
        <f>RIGHT($C$83,3)&amp;"*"&amp;RIGHT($C$82,4)&amp;"*"&amp;AI$55&amp;"*"&amp;"A"</f>
        <v>032*2019*7250*A</v>
      </c>
      <c r="B766" s="274">
        <f>ROUND(AI59,0)</f>
        <v>14617</v>
      </c>
      <c r="C766" s="276">
        <f>ROUND(AI60,2)</f>
        <v>137.12</v>
      </c>
      <c r="D766" s="331">
        <f>ROUND(AI61,0)</f>
        <v>10578526</v>
      </c>
      <c r="E766" s="274">
        <f>ROUND(AI62,0)</f>
        <v>3109381</v>
      </c>
      <c r="F766" s="274">
        <f>ROUND(AI63,0)</f>
        <v>0</v>
      </c>
      <c r="G766" s="274">
        <f>ROUND(AI64,0)</f>
        <v>859121</v>
      </c>
      <c r="H766" s="274">
        <f>ROUND(AI65,0)</f>
        <v>1739</v>
      </c>
      <c r="I766" s="274">
        <f>ROUND(AI66,0)</f>
        <v>168892</v>
      </c>
      <c r="J766" s="274">
        <f>ROUND(AI67,0)</f>
        <v>31704</v>
      </c>
      <c r="K766" s="274">
        <f>ROUND(AI68,0)</f>
        <v>-4469</v>
      </c>
      <c r="L766" s="274">
        <f>ROUND(AI69,0)</f>
        <v>68639</v>
      </c>
      <c r="M766" s="274">
        <f>ROUND(AI70,0)</f>
        <v>9750</v>
      </c>
      <c r="N766" s="274">
        <f>ROUND(AI75,0)</f>
        <v>89979130</v>
      </c>
      <c r="O766" s="274">
        <f>ROUND(AI73,0)</f>
        <v>49686321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75.959999999999994</v>
      </c>
      <c r="U766" s="274"/>
      <c r="V766" s="275"/>
      <c r="W766" s="274"/>
      <c r="X766" s="274"/>
      <c r="Y766" s="274">
        <f t="shared" si="21"/>
        <v>4978154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">
      <c r="A767" s="209" t="str">
        <f>RIGHT($C$83,3)&amp;"*"&amp;RIGHT($C$82,4)&amp;"*"&amp;AJ$55&amp;"*"&amp;"A"</f>
        <v>032*2019*7260*A</v>
      </c>
      <c r="B767" s="274">
        <f>ROUND(AJ59,0)</f>
        <v>36043</v>
      </c>
      <c r="C767" s="276">
        <f>ROUND(AJ60,2)</f>
        <v>822.78</v>
      </c>
      <c r="D767" s="331">
        <f>ROUND(AJ61,0)</f>
        <v>93652698</v>
      </c>
      <c r="E767" s="274">
        <f>ROUND(AJ62,0)</f>
        <v>16896915</v>
      </c>
      <c r="F767" s="274">
        <f>ROUND(AJ63,0)</f>
        <v>1959857</v>
      </c>
      <c r="G767" s="274">
        <f>ROUND(AJ64,0)</f>
        <v>6166695</v>
      </c>
      <c r="H767" s="274">
        <f>ROUND(AJ65,0)</f>
        <v>431195</v>
      </c>
      <c r="I767" s="274">
        <f>ROUND(AJ66,0)</f>
        <v>12015379</v>
      </c>
      <c r="J767" s="274">
        <f>ROUND(AJ67,0)</f>
        <v>4530386</v>
      </c>
      <c r="K767" s="274">
        <f>ROUND(AJ68,0)</f>
        <v>8725552</v>
      </c>
      <c r="L767" s="274">
        <f>ROUND(AJ69,0)</f>
        <v>1854130</v>
      </c>
      <c r="M767" s="274">
        <f>ROUND(AJ70,0)</f>
        <v>5287438</v>
      </c>
      <c r="N767" s="274">
        <f>ROUND(AJ75,0)</f>
        <v>244254240</v>
      </c>
      <c r="O767" s="274">
        <f>ROUND(AJ73,0)</f>
        <v>59078</v>
      </c>
      <c r="P767" s="274">
        <f>IF(AJ76&gt;0,ROUND(AJ76,0),0)</f>
        <v>22003</v>
      </c>
      <c r="Q767" s="274">
        <f>IF(AJ77&gt;0,ROUND(AJ77,0),0)</f>
        <v>0</v>
      </c>
      <c r="R767" s="274">
        <f>IF(AJ78&gt;0,ROUND(AJ78,0),0)</f>
        <v>7691</v>
      </c>
      <c r="S767" s="274">
        <f>IF(AJ79&gt;0,ROUND(AJ79,0),0)</f>
        <v>24058</v>
      </c>
      <c r="T767" s="276">
        <f>IF(AJ80&gt;0,ROUND(AJ80,2),0)</f>
        <v>145.86000000000001</v>
      </c>
      <c r="U767" s="274"/>
      <c r="V767" s="275"/>
      <c r="W767" s="274"/>
      <c r="X767" s="274"/>
      <c r="Y767" s="274">
        <f t="shared" si="21"/>
        <v>31545055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">
      <c r="A768" s="209" t="str">
        <f>RIGHT($C$83,3)&amp;"*"&amp;RIGHT($C$82,4)&amp;"*"&amp;AK$55&amp;"*"&amp;"A"</f>
        <v>032*2019*7310*A</v>
      </c>
      <c r="B768" s="274">
        <f>ROUND(AK59,0)</f>
        <v>52005</v>
      </c>
      <c r="C768" s="276">
        <f>ROUND(AK60,2)</f>
        <v>13.93</v>
      </c>
      <c r="D768" s="331">
        <f>ROUND(AK61,0)</f>
        <v>1365510</v>
      </c>
      <c r="E768" s="274">
        <f>ROUND(AK62,0)</f>
        <v>350358</v>
      </c>
      <c r="F768" s="274">
        <f>ROUND(AK63,0)</f>
        <v>0</v>
      </c>
      <c r="G768" s="274">
        <f>ROUND(AK64,0)</f>
        <v>4388</v>
      </c>
      <c r="H768" s="274">
        <f>ROUND(AK65,0)</f>
        <v>995</v>
      </c>
      <c r="I768" s="274">
        <f>ROUND(AK66,0)</f>
        <v>5676</v>
      </c>
      <c r="J768" s="274">
        <f>ROUND(AK67,0)</f>
        <v>90095</v>
      </c>
      <c r="K768" s="274">
        <f>ROUND(AK68,0)</f>
        <v>0</v>
      </c>
      <c r="L768" s="274">
        <f>ROUND(AK69,0)</f>
        <v>6914</v>
      </c>
      <c r="M768" s="274">
        <f>ROUND(AK70,0)</f>
        <v>160</v>
      </c>
      <c r="N768" s="274">
        <f>ROUND(AK75,0)</f>
        <v>10217072</v>
      </c>
      <c r="O768" s="274">
        <f>ROUND(AK73,0)</f>
        <v>6001370</v>
      </c>
      <c r="P768" s="274">
        <f>IF(AK76&gt;0,ROUND(AK76,0),0)</f>
        <v>5815</v>
      </c>
      <c r="Q768" s="274">
        <f>IF(AK77&gt;0,ROUND(AK77,0),0)</f>
        <v>0</v>
      </c>
      <c r="R768" s="274">
        <f>IF(AK78&gt;0,ROUND(AK78,0),0)</f>
        <v>2033</v>
      </c>
      <c r="S768" s="274">
        <f>IF(AK79&gt;0,ROUND(AK79,0),0)</f>
        <v>22406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1233053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">
      <c r="A769" s="209" t="str">
        <f>RIGHT($C$83,3)&amp;"*"&amp;RIGHT($C$82,4)&amp;"*"&amp;AL$55&amp;"*"&amp;"A"</f>
        <v>032*2019*7320*A</v>
      </c>
      <c r="B769" s="274">
        <f>ROUND(AL59,0)</f>
        <v>6844</v>
      </c>
      <c r="C769" s="276">
        <f>ROUND(AL60,2)</f>
        <v>4.58</v>
      </c>
      <c r="D769" s="331">
        <f>ROUND(AL61,0)</f>
        <v>413284</v>
      </c>
      <c r="E769" s="274">
        <f>ROUND(AL62,0)</f>
        <v>110781</v>
      </c>
      <c r="F769" s="274">
        <f>ROUND(AL63,0)</f>
        <v>0</v>
      </c>
      <c r="G769" s="274">
        <f>ROUND(AL64,0)</f>
        <v>1048</v>
      </c>
      <c r="H769" s="274">
        <f>ROUND(AL65,0)</f>
        <v>635</v>
      </c>
      <c r="I769" s="274">
        <f>ROUND(AL66,0)</f>
        <v>635</v>
      </c>
      <c r="J769" s="274">
        <f>ROUND(AL67,0)</f>
        <v>61300</v>
      </c>
      <c r="K769" s="274">
        <f>ROUND(AL68,0)</f>
        <v>0</v>
      </c>
      <c r="L769" s="274">
        <f>ROUND(AL69,0)</f>
        <v>4374</v>
      </c>
      <c r="M769" s="274">
        <f>ROUND(AL70,0)</f>
        <v>250</v>
      </c>
      <c r="N769" s="274">
        <f>ROUND(AL75,0)</f>
        <v>3127874</v>
      </c>
      <c r="O769" s="274">
        <f>ROUND(AL73,0)</f>
        <v>2343972</v>
      </c>
      <c r="P769" s="274">
        <f>IF(AL76&gt;0,ROUND(AL76,0),0)</f>
        <v>4171</v>
      </c>
      <c r="Q769" s="274">
        <f>IF(AL77&gt;0,ROUND(AL77,0),0)</f>
        <v>0</v>
      </c>
      <c r="R769" s="274">
        <f>IF(AL78&gt;0,ROUND(AL78,0),0)</f>
        <v>1458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681496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">
      <c r="A770" s="209" t="str">
        <f>RIGHT($C$83,3)&amp;"*"&amp;RIGHT($C$82,4)&amp;"*"&amp;AM$55&amp;"*"&amp;"A"</f>
        <v>032*2019*7330*A</v>
      </c>
      <c r="B770" s="274">
        <f>ROUND(AM59,0)</f>
        <v>0</v>
      </c>
      <c r="C770" s="276">
        <f>ROUND(AM60,2)</f>
        <v>0</v>
      </c>
      <c r="D770" s="331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">
      <c r="A771" s="209" t="str">
        <f>RIGHT($C$83,3)&amp;"*"&amp;RIGHT($C$82,4)&amp;"*"&amp;AN$55&amp;"*"&amp;"A"</f>
        <v>032*2019*7340*A</v>
      </c>
      <c r="B771" s="274">
        <f>ROUND(AN59,0)</f>
        <v>0</v>
      </c>
      <c r="C771" s="276">
        <f>ROUND(AN60,2)</f>
        <v>0</v>
      </c>
      <c r="D771" s="331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">
      <c r="A772" s="209" t="str">
        <f>RIGHT($C$83,3)&amp;"*"&amp;RIGHT($C$82,4)&amp;"*"&amp;AO$55&amp;"*"&amp;"A"</f>
        <v>032*2019*7350*A</v>
      </c>
      <c r="B772" s="274">
        <f>ROUND(AO59,0)</f>
        <v>0</v>
      </c>
      <c r="C772" s="276">
        <f>ROUND(AO60,2)</f>
        <v>0</v>
      </c>
      <c r="D772" s="331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">
      <c r="A773" s="209" t="str">
        <f>RIGHT($C$83,3)&amp;"*"&amp;RIGHT($C$82,4)&amp;"*"&amp;AP$55&amp;"*"&amp;"A"</f>
        <v>032*2019*7380*A</v>
      </c>
      <c r="B773" s="274">
        <f>ROUND(AP59,0)</f>
        <v>1085</v>
      </c>
      <c r="C773" s="276">
        <f>ROUND(AP60,2)</f>
        <v>2.12</v>
      </c>
      <c r="D773" s="331">
        <f>ROUND(AP61,0)</f>
        <v>460748</v>
      </c>
      <c r="E773" s="274">
        <f>ROUND(AP62,0)</f>
        <v>52768</v>
      </c>
      <c r="F773" s="274">
        <f>ROUND(AP63,0)</f>
        <v>0</v>
      </c>
      <c r="G773" s="274">
        <f>ROUND(AP64,0)</f>
        <v>42245</v>
      </c>
      <c r="H773" s="274">
        <f>ROUND(AP65,0)</f>
        <v>31998</v>
      </c>
      <c r="I773" s="274">
        <f>ROUND(AP66,0)</f>
        <v>187532</v>
      </c>
      <c r="J773" s="274">
        <f>ROUND(AP67,0)</f>
        <v>26606</v>
      </c>
      <c r="K773" s="274">
        <f>ROUND(AP68,0)</f>
        <v>161655</v>
      </c>
      <c r="L773" s="274">
        <f>ROUND(AP69,0)</f>
        <v>6485</v>
      </c>
      <c r="M773" s="274">
        <f>ROUND(AP70,0)</f>
        <v>456078</v>
      </c>
      <c r="N773" s="274">
        <f>ROUND(AP75,0)</f>
        <v>3835445</v>
      </c>
      <c r="O773" s="274">
        <f>ROUND(AP73,0)</f>
        <v>23382</v>
      </c>
      <c r="P773" s="274">
        <f>IF(AP76&gt;0,ROUND(AP76,0),0)</f>
        <v>1797</v>
      </c>
      <c r="Q773" s="274">
        <f>IF(AP77&gt;0,ROUND(AP77,0),0)</f>
        <v>0</v>
      </c>
      <c r="R773" s="274">
        <f>IF(AP78&gt;0,ROUND(AP78,0),0)</f>
        <v>628</v>
      </c>
      <c r="S773" s="274">
        <f>IF(AP79&gt;0,ROUND(AP79,0),0)</f>
        <v>98</v>
      </c>
      <c r="T773" s="276">
        <f>IF(AP80&gt;0,ROUND(AP80,2),0)</f>
        <v>1.0900000000000001</v>
      </c>
      <c r="U773" s="274"/>
      <c r="V773" s="275"/>
      <c r="W773" s="274"/>
      <c r="X773" s="274"/>
      <c r="Y773" s="274">
        <f t="shared" si="21"/>
        <v>381636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">
      <c r="A774" s="209" t="str">
        <f>RIGHT($C$83,3)&amp;"*"&amp;RIGHT($C$82,4)&amp;"*"&amp;AQ$55&amp;"*"&amp;"A"</f>
        <v>032*2019*7390*A</v>
      </c>
      <c r="B774" s="274">
        <f>ROUND(AQ59,0)</f>
        <v>0</v>
      </c>
      <c r="C774" s="276">
        <f>ROUND(AQ60,2)</f>
        <v>0</v>
      </c>
      <c r="D774" s="331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">
      <c r="A775" s="209" t="str">
        <f>RIGHT($C$83,3)&amp;"*"&amp;RIGHT($C$82,4)&amp;"*"&amp;AR$55&amp;"*"&amp;"A"</f>
        <v>032*2019*7400*A</v>
      </c>
      <c r="B775" s="274">
        <f>ROUND(AR59,0)</f>
        <v>386436</v>
      </c>
      <c r="C775" s="276">
        <f>ROUND(AR60,2)</f>
        <v>349.81</v>
      </c>
      <c r="D775" s="331">
        <f>ROUND(AR61,0)</f>
        <v>29404282</v>
      </c>
      <c r="E775" s="274">
        <f>ROUND(AR62,0)</f>
        <v>8137459</v>
      </c>
      <c r="F775" s="274">
        <f>ROUND(AR63,0)</f>
        <v>0</v>
      </c>
      <c r="G775" s="274">
        <f>ROUND(AR64,0)</f>
        <v>1383454</v>
      </c>
      <c r="H775" s="274">
        <f>ROUND(AR65,0)</f>
        <v>349321</v>
      </c>
      <c r="I775" s="274">
        <f>ROUND(AR66,0)</f>
        <v>12977748</v>
      </c>
      <c r="J775" s="274">
        <f>ROUND(AR67,0)</f>
        <v>900441</v>
      </c>
      <c r="K775" s="274">
        <f>ROUND(AR68,0)</f>
        <v>1323106</v>
      </c>
      <c r="L775" s="274">
        <f>ROUND(AR69,0)</f>
        <v>1247919</v>
      </c>
      <c r="M775" s="274">
        <f>ROUND(AR70,0)</f>
        <v>338305</v>
      </c>
      <c r="N775" s="274">
        <f>ROUND(AR75,0)</f>
        <v>72461817</v>
      </c>
      <c r="O775" s="274">
        <f>ROUND(AR73,0)</f>
        <v>0</v>
      </c>
      <c r="P775" s="274">
        <f>IF(AR76&gt;0,ROUND(AR76,0),0)</f>
        <v>44604</v>
      </c>
      <c r="Q775" s="274">
        <f>IF(AR77&gt;0,ROUND(AR77,0),0)</f>
        <v>0</v>
      </c>
      <c r="R775" s="274">
        <f>IF(AR78&gt;0,ROUND(AR78,0),0)</f>
        <v>15591</v>
      </c>
      <c r="S775" s="274">
        <f>IF(AR79&gt;0,ROUND(AR79,0),0)</f>
        <v>0</v>
      </c>
      <c r="T775" s="276">
        <f>IF(AR80&gt;0,ROUND(AR80,2),0)</f>
        <v>112.6</v>
      </c>
      <c r="U775" s="274"/>
      <c r="V775" s="275"/>
      <c r="W775" s="274"/>
      <c r="X775" s="274"/>
      <c r="Y775" s="274">
        <f t="shared" si="21"/>
        <v>17171785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">
      <c r="A776" s="209" t="str">
        <f>RIGHT($C$83,3)&amp;"*"&amp;RIGHT($C$82,4)&amp;"*"&amp;AS$55&amp;"*"&amp;"A"</f>
        <v>032*2019*7410*A</v>
      </c>
      <c r="B776" s="274">
        <f>ROUND(AS59,0)</f>
        <v>0</v>
      </c>
      <c r="C776" s="276">
        <f>ROUND(AS60,2)</f>
        <v>0</v>
      </c>
      <c r="D776" s="331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">
      <c r="A777" s="209" t="str">
        <f>RIGHT($C$83,3)&amp;"*"&amp;RIGHT($C$82,4)&amp;"*"&amp;AT$55&amp;"*"&amp;"A"</f>
        <v>032*2019*7420*A</v>
      </c>
      <c r="B777" s="274">
        <f>ROUND(AT59,0)</f>
        <v>0</v>
      </c>
      <c r="C777" s="276">
        <f>ROUND(AT60,2)</f>
        <v>0</v>
      </c>
      <c r="D777" s="331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">
      <c r="A778" s="209" t="str">
        <f>RIGHT($C$83,3)&amp;"*"&amp;RIGHT($C$82,4)&amp;"*"&amp;AU$55&amp;"*"&amp;"A"</f>
        <v>032*2019*7430*A</v>
      </c>
      <c r="B778" s="274">
        <f>ROUND(AU59,0)</f>
        <v>0</v>
      </c>
      <c r="C778" s="276">
        <f>ROUND(AU60,2)</f>
        <v>0</v>
      </c>
      <c r="D778" s="331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">
      <c r="A779" s="209" t="str">
        <f>RIGHT($C$83,3)&amp;"*"&amp;RIGHT($C$82,4)&amp;"*"&amp;AV$55&amp;"*"&amp;"A"</f>
        <v>032*2019*7490*A</v>
      </c>
      <c r="B779" s="274"/>
      <c r="C779" s="276">
        <f>ROUND(AV60,2)</f>
        <v>21.72</v>
      </c>
      <c r="D779" s="331">
        <f>ROUND(AV61,0)</f>
        <v>1823994</v>
      </c>
      <c r="E779" s="274">
        <f>ROUND(AV62,0)</f>
        <v>471129</v>
      </c>
      <c r="F779" s="274">
        <f>ROUND(AV63,0)</f>
        <v>8024627</v>
      </c>
      <c r="G779" s="274">
        <f>ROUND(AV64,0)</f>
        <v>519741</v>
      </c>
      <c r="H779" s="274">
        <f>ROUND(AV65,0)</f>
        <v>9558</v>
      </c>
      <c r="I779" s="274">
        <f>ROUND(AV66,0)</f>
        <v>3346249</v>
      </c>
      <c r="J779" s="274">
        <f>ROUND(AV67,0)</f>
        <v>52972</v>
      </c>
      <c r="K779" s="274">
        <f>ROUND(AV68,0)</f>
        <v>816845</v>
      </c>
      <c r="L779" s="274">
        <f>ROUND(AV69,0)</f>
        <v>951166</v>
      </c>
      <c r="M779" s="274">
        <f>ROUND(AV70,0)</f>
        <v>4123400</v>
      </c>
      <c r="N779" s="274">
        <f>ROUND(AV75,0)</f>
        <v>341323</v>
      </c>
      <c r="O779" s="274">
        <f>ROUND(AV73,0)</f>
        <v>97015</v>
      </c>
      <c r="P779" s="274">
        <f>IF(AV76&gt;0,ROUND(AV76,0),0)</f>
        <v>1394</v>
      </c>
      <c r="Q779" s="274">
        <f>IF(AV77&gt;0,ROUND(AV77,0),0)</f>
        <v>0</v>
      </c>
      <c r="R779" s="274">
        <f>IF(AV78&gt;0,ROUND(AV78,0),0)</f>
        <v>487</v>
      </c>
      <c r="S779" s="274">
        <f>IF(AV79&gt;0,ROUND(AV79,0),0)</f>
        <v>13120</v>
      </c>
      <c r="T779" s="276">
        <f>IF(AV80&gt;0,ROUND(AV80,2),0)</f>
        <v>2.58</v>
      </c>
      <c r="U779" s="274"/>
      <c r="V779" s="275"/>
      <c r="W779" s="274"/>
      <c r="X779" s="274"/>
      <c r="Y779" s="274">
        <f t="shared" si="21"/>
        <v>1902610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">
      <c r="A780" s="209" t="str">
        <f>RIGHT($C$83,3)&amp;"*"&amp;RIGHT($C$82,4)&amp;"*"&amp;AW$55&amp;"*"&amp;"A"</f>
        <v>032*2019*8200*A</v>
      </c>
      <c r="B780" s="274"/>
      <c r="C780" s="276">
        <f>ROUND(AW60,2)</f>
        <v>0</v>
      </c>
      <c r="D780" s="331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">
      <c r="A781" s="209" t="str">
        <f>RIGHT($C$83,3)&amp;"*"&amp;RIGHT($C$82,4)&amp;"*"&amp;AX$55&amp;"*"&amp;"A"</f>
        <v>032*2019*8310*A</v>
      </c>
      <c r="B781" s="274"/>
      <c r="C781" s="276">
        <f>ROUND(AX60,2)</f>
        <v>0</v>
      </c>
      <c r="D781" s="331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276736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">
      <c r="A782" s="209" t="str">
        <f>RIGHT($C$83,3)&amp;"*"&amp;RIGHT($C$82,4)&amp;"*"&amp;AY$55&amp;"*"&amp;"A"</f>
        <v>032*2019*8320*A</v>
      </c>
      <c r="B782" s="274">
        <f>ROUND(AY59,0)</f>
        <v>416105</v>
      </c>
      <c r="C782" s="276">
        <f>ROUND(AY60,2)</f>
        <v>0</v>
      </c>
      <c r="D782" s="331">
        <f>ROUND(AY61,0)</f>
        <v>0</v>
      </c>
      <c r="E782" s="274">
        <f>ROUND(AY62,0)</f>
        <v>0</v>
      </c>
      <c r="F782" s="274">
        <f>ROUND(AY63,0)</f>
        <v>0</v>
      </c>
      <c r="G782" s="274">
        <f>ROUND(AY64,0)</f>
        <v>0</v>
      </c>
      <c r="H782" s="274">
        <f>ROUND(AY65,0)</f>
        <v>0</v>
      </c>
      <c r="I782" s="274">
        <f>ROUND(AY66,0)</f>
        <v>0</v>
      </c>
      <c r="J782" s="274">
        <f>ROUND(AY67,0)</f>
        <v>0</v>
      </c>
      <c r="K782" s="274">
        <f>ROUND(AY68,0)</f>
        <v>0</v>
      </c>
      <c r="L782" s="274">
        <f>ROUND(AY69,0)</f>
        <v>0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">
      <c r="A783" s="209" t="str">
        <f>RIGHT($C$83,3)&amp;"*"&amp;RIGHT($C$82,4)&amp;"*"&amp;AZ$55&amp;"*"&amp;"A"</f>
        <v>032*2019*8330*A</v>
      </c>
      <c r="B783" s="274">
        <f>ROUND(AZ59,0)</f>
        <v>930126</v>
      </c>
      <c r="C783" s="276">
        <f>ROUND(AZ60,2)</f>
        <v>113.94</v>
      </c>
      <c r="D783" s="331">
        <f>ROUND(AZ61,0)</f>
        <v>4839545</v>
      </c>
      <c r="E783" s="274">
        <f>ROUND(AZ62,0)</f>
        <v>2083014</v>
      </c>
      <c r="F783" s="274">
        <f>ROUND(AZ63,0)</f>
        <v>0</v>
      </c>
      <c r="G783" s="274">
        <f>ROUND(AZ64,0)</f>
        <v>3139679</v>
      </c>
      <c r="H783" s="274">
        <f>ROUND(AZ65,0)</f>
        <v>2036</v>
      </c>
      <c r="I783" s="274">
        <f>ROUND(AZ66,0)</f>
        <v>2122057</v>
      </c>
      <c r="J783" s="274">
        <f>ROUND(AZ67,0)</f>
        <v>575092</v>
      </c>
      <c r="K783" s="274">
        <f>ROUND(AZ68,0)</f>
        <v>100514</v>
      </c>
      <c r="L783" s="274">
        <f>ROUND(AZ69,0)</f>
        <v>94262</v>
      </c>
      <c r="M783" s="274">
        <f>ROUND(AZ70,0)</f>
        <v>3648038</v>
      </c>
      <c r="N783" s="274"/>
      <c r="O783" s="274"/>
      <c r="P783" s="274">
        <f>IF(AZ76&gt;0,ROUND(AZ76,0),0)</f>
        <v>19038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">
      <c r="A784" s="209" t="str">
        <f>RIGHT($C$83,3)&amp;"*"&amp;RIGHT($C$82,4)&amp;"*"&amp;BA$55&amp;"*"&amp;"A"</f>
        <v>032*2019*8350*A</v>
      </c>
      <c r="B784" s="274">
        <f>ROUND(BA59,0)</f>
        <v>0</v>
      </c>
      <c r="C784" s="276">
        <f>ROUND(BA60,2)</f>
        <v>5.86</v>
      </c>
      <c r="D784" s="331">
        <f>ROUND(BA61,0)</f>
        <v>225089</v>
      </c>
      <c r="E784" s="274">
        <f>ROUND(BA62,0)</f>
        <v>103902</v>
      </c>
      <c r="F784" s="274">
        <f>ROUND(BA63,0)</f>
        <v>0</v>
      </c>
      <c r="G784" s="274">
        <f>ROUND(BA64,0)</f>
        <v>14107</v>
      </c>
      <c r="H784" s="274">
        <f>ROUND(BA65,0)</f>
        <v>0</v>
      </c>
      <c r="I784" s="274">
        <f>ROUND(BA66,0)</f>
        <v>3119</v>
      </c>
      <c r="J784" s="274">
        <f>ROUND(BA67,0)</f>
        <v>62373</v>
      </c>
      <c r="K784" s="274">
        <f>ROUND(BA68,0)</f>
        <v>-15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4244</v>
      </c>
      <c r="Q784" s="274">
        <f>IF(BA77&gt;0,ROUND(BA77,0),0)</f>
        <v>0</v>
      </c>
      <c r="R784" s="274">
        <f>IF(BA78&gt;0,ROUND(BA78,0),0)</f>
        <v>1483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">
      <c r="A785" s="209" t="str">
        <f>RIGHT($C$83,3)&amp;"*"&amp;RIGHT($C$82,4)&amp;"*"&amp;BB$55&amp;"*"&amp;"A"</f>
        <v>032*2019*8360*A</v>
      </c>
      <c r="B785" s="274"/>
      <c r="C785" s="276">
        <f>ROUND(BB60,2)</f>
        <v>0</v>
      </c>
      <c r="D785" s="331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">
      <c r="A786" s="209" t="str">
        <f>RIGHT($C$83,3)&amp;"*"&amp;RIGHT($C$82,4)&amp;"*"&amp;BC$55&amp;"*"&amp;"A"</f>
        <v>032*2019*8370*A</v>
      </c>
      <c r="B786" s="274"/>
      <c r="C786" s="276">
        <f>ROUND(BC60,2)</f>
        <v>11.32</v>
      </c>
      <c r="D786" s="331">
        <f>ROUND(BC61,0)</f>
        <v>456900</v>
      </c>
      <c r="E786" s="274">
        <f>ROUND(BC62,0)</f>
        <v>204360</v>
      </c>
      <c r="F786" s="274">
        <f>ROUND(BC63,0)</f>
        <v>0</v>
      </c>
      <c r="G786" s="274">
        <f>ROUND(BC64,0)</f>
        <v>2054</v>
      </c>
      <c r="H786" s="274">
        <f>ROUND(BC65,0)</f>
        <v>103</v>
      </c>
      <c r="I786" s="274">
        <f>ROUND(BC66,0)</f>
        <v>0</v>
      </c>
      <c r="J786" s="274">
        <f>ROUND(BC67,0)</f>
        <v>0</v>
      </c>
      <c r="K786" s="274">
        <f>ROUND(BC68,0)</f>
        <v>1684</v>
      </c>
      <c r="L786" s="274">
        <f>ROUND(BC69,0)</f>
        <v>0</v>
      </c>
      <c r="M786" s="274">
        <f>ROUND(BC70,0)</f>
        <v>500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">
      <c r="A787" s="209" t="str">
        <f>RIGHT($C$83,3)&amp;"*"&amp;RIGHT($C$82,4)&amp;"*"&amp;BD$55&amp;"*"&amp;"A"</f>
        <v>032*2019*8420*A</v>
      </c>
      <c r="B787" s="274"/>
      <c r="C787" s="276">
        <f>ROUND(BD60,2)</f>
        <v>0</v>
      </c>
      <c r="D787" s="331">
        <f>ROUND(BD61,0)</f>
        <v>0</v>
      </c>
      <c r="E787" s="274">
        <f>ROUND(BD62,0)</f>
        <v>0</v>
      </c>
      <c r="F787" s="274">
        <f>ROUND(BD63,0)</f>
        <v>0</v>
      </c>
      <c r="G787" s="274">
        <f>ROUND(BD64,0)</f>
        <v>0</v>
      </c>
      <c r="H787" s="274">
        <f>ROUND(BD65,0)</f>
        <v>0</v>
      </c>
      <c r="I787" s="274">
        <f>ROUND(BD66,0)</f>
        <v>0</v>
      </c>
      <c r="J787" s="274">
        <f>ROUND(BD67,0)</f>
        <v>0</v>
      </c>
      <c r="K787" s="274">
        <f>ROUND(BD68,0)</f>
        <v>0</v>
      </c>
      <c r="L787" s="274">
        <f>ROUND(BD69,0)</f>
        <v>0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">
      <c r="A788" s="209" t="str">
        <f>RIGHT($C$83,3)&amp;"*"&amp;RIGHT($C$82,4)&amp;"*"&amp;BE$55&amp;"*"&amp;"A"</f>
        <v>032*2019*8430*A</v>
      </c>
      <c r="B788" s="274">
        <f>ROUND(BE59,0)</f>
        <v>850148</v>
      </c>
      <c r="C788" s="276">
        <f>ROUND(BE60,2)</f>
        <v>19.3</v>
      </c>
      <c r="D788" s="331">
        <f>ROUND(BE61,0)</f>
        <v>1291033</v>
      </c>
      <c r="E788" s="274">
        <f>ROUND(BE62,0)</f>
        <v>411138</v>
      </c>
      <c r="F788" s="274">
        <f>ROUND(BE63,0)</f>
        <v>0</v>
      </c>
      <c r="G788" s="274">
        <f>ROUND(BE64,0)</f>
        <v>8370</v>
      </c>
      <c r="H788" s="274">
        <f>ROUND(BE65,0)</f>
        <v>3263454</v>
      </c>
      <c r="I788" s="274">
        <f>ROUND(BE66,0)</f>
        <v>16682406</v>
      </c>
      <c r="J788" s="274">
        <f>ROUND(BE67,0)</f>
        <v>4124409</v>
      </c>
      <c r="K788" s="274">
        <f>ROUND(BE68,0)</f>
        <v>2489420</v>
      </c>
      <c r="L788" s="274">
        <f>ROUND(BE69,0)</f>
        <v>430686</v>
      </c>
      <c r="M788" s="274">
        <f>ROUND(BE70,0)</f>
        <v>650</v>
      </c>
      <c r="N788" s="274"/>
      <c r="O788" s="274"/>
      <c r="P788" s="274">
        <f>IF(BE76&gt;0,ROUND(BE76,0),0)</f>
        <v>174493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">
      <c r="A789" s="209" t="str">
        <f>RIGHT($C$83,3)&amp;"*"&amp;RIGHT($C$82,4)&amp;"*"&amp;BF$55&amp;"*"&amp;"A"</f>
        <v>032*2019*8460*A</v>
      </c>
      <c r="B789" s="274"/>
      <c r="C789" s="276">
        <f>ROUND(BF60,2)</f>
        <v>81.48</v>
      </c>
      <c r="D789" s="331">
        <f>ROUND(BF61,0)</f>
        <v>3866549</v>
      </c>
      <c r="E789" s="274">
        <f>ROUND(BF62,0)</f>
        <v>1498021</v>
      </c>
      <c r="F789" s="274">
        <f>ROUND(BF63,0)</f>
        <v>0</v>
      </c>
      <c r="G789" s="274">
        <f>ROUND(BF64,0)</f>
        <v>547233</v>
      </c>
      <c r="H789" s="274">
        <f>ROUND(BF65,0)</f>
        <v>955</v>
      </c>
      <c r="I789" s="274">
        <f>ROUND(BF66,0)</f>
        <v>832308</v>
      </c>
      <c r="J789" s="274">
        <f>ROUND(BF67,0)</f>
        <v>65374</v>
      </c>
      <c r="K789" s="274">
        <f>ROUND(BF68,0)</f>
        <v>9874</v>
      </c>
      <c r="L789" s="274">
        <f>ROUND(BF69,0)</f>
        <v>4820</v>
      </c>
      <c r="M789" s="274">
        <f>ROUND(BF70,0)</f>
        <v>0</v>
      </c>
      <c r="N789" s="274"/>
      <c r="O789" s="274"/>
      <c r="P789" s="274">
        <f>IF(BF76&gt;0,ROUND(BF76,0),0)</f>
        <v>2066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">
      <c r="A790" s="209" t="str">
        <f>RIGHT($C$83,3)&amp;"*"&amp;RIGHT($C$82,4)&amp;"*"&amp;BG$55&amp;"*"&amp;"A"</f>
        <v>032*2019*8470*A</v>
      </c>
      <c r="B790" s="274"/>
      <c r="C790" s="276">
        <f>ROUND(BG60,2)</f>
        <v>0</v>
      </c>
      <c r="D790" s="331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1191320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">
      <c r="A791" s="209" t="str">
        <f>RIGHT($C$83,3)&amp;"*"&amp;RIGHT($C$82,4)&amp;"*"&amp;BH$55&amp;"*"&amp;"A"</f>
        <v>032*2019*8480*A</v>
      </c>
      <c r="B791" s="274"/>
      <c r="C791" s="276">
        <f>ROUND(BH60,2)</f>
        <v>0</v>
      </c>
      <c r="D791" s="331">
        <f>ROUND(BH61,0)</f>
        <v>0</v>
      </c>
      <c r="E791" s="274">
        <f>ROUND(BH62,0)</f>
        <v>0</v>
      </c>
      <c r="F791" s="274">
        <f>ROUND(BH63,0)</f>
        <v>0</v>
      </c>
      <c r="G791" s="274">
        <f>ROUND(BH64,0)</f>
        <v>0</v>
      </c>
      <c r="H791" s="274">
        <f>ROUND(BH65,0)</f>
        <v>0</v>
      </c>
      <c r="I791" s="274">
        <f>ROUND(BH66,0)</f>
        <v>5189988</v>
      </c>
      <c r="J791" s="274">
        <f>ROUND(BH67,0)</f>
        <v>0</v>
      </c>
      <c r="K791" s="274">
        <f>ROUND(BH68,0)</f>
        <v>0</v>
      </c>
      <c r="L791" s="274">
        <f>ROUND(BH69,0)</f>
        <v>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">
      <c r="A792" s="209" t="str">
        <f>RIGHT($C$83,3)&amp;"*"&amp;RIGHT($C$82,4)&amp;"*"&amp;BI$55&amp;"*"&amp;"A"</f>
        <v>032*2019*8490*A</v>
      </c>
      <c r="B792" s="274"/>
      <c r="C792" s="276">
        <f>ROUND(BI60,2)</f>
        <v>0.94</v>
      </c>
      <c r="D792" s="331">
        <f>ROUND(BI61,0)</f>
        <v>32292</v>
      </c>
      <c r="E792" s="274">
        <f>ROUND(BI62,0)</f>
        <v>17547</v>
      </c>
      <c r="F792" s="274">
        <f>ROUND(BI63,0)</f>
        <v>0</v>
      </c>
      <c r="G792" s="274">
        <f>ROUND(BI64,0)</f>
        <v>243179</v>
      </c>
      <c r="H792" s="274">
        <f>ROUND(BI65,0)</f>
        <v>0</v>
      </c>
      <c r="I792" s="274">
        <f>ROUND(BI66,0)</f>
        <v>2122</v>
      </c>
      <c r="J792" s="274">
        <f>ROUND(BI67,0)</f>
        <v>19663</v>
      </c>
      <c r="K792" s="274">
        <f>ROUND(BI68,0)</f>
        <v>0</v>
      </c>
      <c r="L792" s="274">
        <f>ROUND(BI69,0)</f>
        <v>1180</v>
      </c>
      <c r="M792" s="274">
        <f>ROUND(BI70,0)</f>
        <v>509706</v>
      </c>
      <c r="N792" s="274"/>
      <c r="O792" s="274"/>
      <c r="P792" s="274">
        <f>IF(BI76&gt;0,ROUND(BI76,0),0)</f>
        <v>1333</v>
      </c>
      <c r="Q792" s="274">
        <f>IF(BI77&gt;0,ROUND(BI77,0),0)</f>
        <v>29293</v>
      </c>
      <c r="R792" s="274">
        <f>IF(BI78&gt;0,ROUND(BI78,0),0)</f>
        <v>466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">
      <c r="A793" s="209" t="str">
        <f>RIGHT($C$83,3)&amp;"*"&amp;RIGHT($C$82,4)&amp;"*"&amp;BJ$55&amp;"*"&amp;"A"</f>
        <v>032*2019*8510*A</v>
      </c>
      <c r="B793" s="274"/>
      <c r="C793" s="276">
        <f>ROUND(BJ60,2)</f>
        <v>0</v>
      </c>
      <c r="D793" s="331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1239152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">
      <c r="A794" s="209" t="str">
        <f>RIGHT($C$83,3)&amp;"*"&amp;RIGHT($C$82,4)&amp;"*"&amp;BK$55&amp;"*"&amp;"A"</f>
        <v>032*2019*8530*A</v>
      </c>
      <c r="B794" s="274"/>
      <c r="C794" s="276">
        <f>ROUND(BK60,2)</f>
        <v>0</v>
      </c>
      <c r="D794" s="331">
        <f>ROUND(BK61,0)</f>
        <v>0</v>
      </c>
      <c r="E794" s="274">
        <f>ROUND(BK62,0)</f>
        <v>0</v>
      </c>
      <c r="F794" s="274">
        <f>ROUND(BK63,0)</f>
        <v>0</v>
      </c>
      <c r="G794" s="274">
        <f>ROUND(BK64,0)</f>
        <v>0</v>
      </c>
      <c r="H794" s="274">
        <f>ROUND(BK65,0)</f>
        <v>0</v>
      </c>
      <c r="I794" s="274">
        <f>ROUND(BK66,0)</f>
        <v>8085774</v>
      </c>
      <c r="J794" s="274">
        <f>ROUND(BK67,0)</f>
        <v>0</v>
      </c>
      <c r="K794" s="274">
        <f>ROUND(BK68,0)</f>
        <v>0</v>
      </c>
      <c r="L794" s="274">
        <f>ROUND(BK69,0)</f>
        <v>0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">
      <c r="A795" s="209" t="str">
        <f>RIGHT($C$83,3)&amp;"*"&amp;RIGHT($C$82,4)&amp;"*"&amp;BL$55&amp;"*"&amp;"A"</f>
        <v>032*2019*8560*A</v>
      </c>
      <c r="B795" s="274"/>
      <c r="C795" s="276">
        <f>ROUND(BL60,2)</f>
        <v>0</v>
      </c>
      <c r="D795" s="331">
        <f>ROUND(BL61,0)</f>
        <v>0</v>
      </c>
      <c r="E795" s="274">
        <f>ROUND(BL62,0)</f>
        <v>0</v>
      </c>
      <c r="F795" s="274">
        <f>ROUND(BL63,0)</f>
        <v>0</v>
      </c>
      <c r="G795" s="274">
        <f>ROUND(BL64,0)</f>
        <v>33373</v>
      </c>
      <c r="H795" s="274">
        <f>ROUND(BL65,0)</f>
        <v>336</v>
      </c>
      <c r="I795" s="274">
        <f>ROUND(BL66,0)</f>
        <v>7747444</v>
      </c>
      <c r="J795" s="274">
        <f>ROUND(BL67,0)</f>
        <v>241</v>
      </c>
      <c r="K795" s="274">
        <f>ROUND(BL68,0)</f>
        <v>15804</v>
      </c>
      <c r="L795" s="274">
        <f>ROUND(BL69,0)</f>
        <v>5422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">
      <c r="A796" s="209" t="str">
        <f>RIGHT($C$83,3)&amp;"*"&amp;RIGHT($C$82,4)&amp;"*"&amp;BM$55&amp;"*"&amp;"A"</f>
        <v>032*2019*8590*A</v>
      </c>
      <c r="B796" s="274"/>
      <c r="C796" s="276">
        <f>ROUND(BM60,2)</f>
        <v>0</v>
      </c>
      <c r="D796" s="331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">
      <c r="A797" s="209" t="str">
        <f>RIGHT($C$83,3)&amp;"*"&amp;RIGHT($C$82,4)&amp;"*"&amp;BN$55&amp;"*"&amp;"A"</f>
        <v>032*2019*8610*A</v>
      </c>
      <c r="B797" s="274"/>
      <c r="C797" s="276">
        <f>ROUND(BN60,2)</f>
        <v>72.72</v>
      </c>
      <c r="D797" s="331">
        <f>ROUND(BN61,0)</f>
        <v>6168849</v>
      </c>
      <c r="E797" s="274">
        <f>ROUND(BN62,0)</f>
        <v>1640668</v>
      </c>
      <c r="F797" s="274">
        <f>ROUND(BN63,0)</f>
        <v>220800</v>
      </c>
      <c r="G797" s="274">
        <f>ROUND(BN64,0)</f>
        <v>5513</v>
      </c>
      <c r="H797" s="274">
        <f>ROUND(BN65,0)</f>
        <v>2592</v>
      </c>
      <c r="I797" s="274">
        <f>ROUND(BN66,0)</f>
        <v>8680918</v>
      </c>
      <c r="J797" s="274">
        <f>ROUND(BN67,0)</f>
        <v>2611339</v>
      </c>
      <c r="K797" s="274">
        <f>ROUND(BN68,0)</f>
        <v>78730</v>
      </c>
      <c r="L797" s="274">
        <f>ROUND(BN69,0)</f>
        <v>493831</v>
      </c>
      <c r="M797" s="274">
        <f>ROUND(BN70,0)</f>
        <v>-3645522</v>
      </c>
      <c r="N797" s="274"/>
      <c r="O797" s="274"/>
      <c r="P797" s="274">
        <f>IF(BN76&gt;0,ROUND(BN76,0),0)</f>
        <v>169689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">
      <c r="A798" s="209" t="str">
        <f>RIGHT($C$83,3)&amp;"*"&amp;RIGHT($C$82,4)&amp;"*"&amp;BO$55&amp;"*"&amp;"A"</f>
        <v>032*2019*8620*A</v>
      </c>
      <c r="B798" s="274"/>
      <c r="C798" s="276">
        <f>ROUND(BO60,2)</f>
        <v>0</v>
      </c>
      <c r="D798" s="331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903228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">
      <c r="A799" s="209" t="str">
        <f>RIGHT($C$83,3)&amp;"*"&amp;RIGHT($C$82,4)&amp;"*"&amp;BP$55&amp;"*"&amp;"A"</f>
        <v>032*2019*8630*A</v>
      </c>
      <c r="B799" s="274"/>
      <c r="C799" s="276">
        <f>ROUND(BP60,2)</f>
        <v>0</v>
      </c>
      <c r="D799" s="331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4759958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">
      <c r="A800" s="209" t="str">
        <f>RIGHT($C$83,3)&amp;"*"&amp;RIGHT($C$82,4)&amp;"*"&amp;BQ$55&amp;"*"&amp;"A"</f>
        <v>032*2019*8640*A</v>
      </c>
      <c r="B800" s="274"/>
      <c r="C800" s="276">
        <f>ROUND(BQ60,2)</f>
        <v>0</v>
      </c>
      <c r="D800" s="331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">
      <c r="A801" s="209" t="str">
        <f>RIGHT($C$83,3)&amp;"*"&amp;RIGHT($C$82,4)&amp;"*"&amp;BR$55&amp;"*"&amp;"A"</f>
        <v>032*2019*8650*A</v>
      </c>
      <c r="B801" s="274"/>
      <c r="C801" s="276">
        <f>ROUND(BR60,2)</f>
        <v>0</v>
      </c>
      <c r="D801" s="331">
        <f>ROUND(BR61,0)</f>
        <v>0</v>
      </c>
      <c r="E801" s="274">
        <f>ROUND(BR62,0)</f>
        <v>2458</v>
      </c>
      <c r="F801" s="274">
        <f>ROUND(BR63,0)</f>
        <v>0</v>
      </c>
      <c r="G801" s="274">
        <f>ROUND(BR64,0)</f>
        <v>0</v>
      </c>
      <c r="H801" s="274">
        <f>ROUND(BR65,0)</f>
        <v>0</v>
      </c>
      <c r="I801" s="274">
        <f>ROUND(BR66,0)</f>
        <v>3039002</v>
      </c>
      <c r="J801" s="274">
        <f>ROUND(BR67,0)</f>
        <v>0</v>
      </c>
      <c r="K801" s="274">
        <f>ROUND(BR68,0)</f>
        <v>0</v>
      </c>
      <c r="L801" s="274">
        <f>ROUND(BR69,0)</f>
        <v>476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">
      <c r="A802" s="209" t="str">
        <f>RIGHT($C$83,3)&amp;"*"&amp;RIGHT($C$82,4)&amp;"*"&amp;BS$55&amp;"*"&amp;"A"</f>
        <v>032*2019*8660*A</v>
      </c>
      <c r="B802" s="274"/>
      <c r="C802" s="276">
        <f>ROUND(BS60,2)</f>
        <v>0</v>
      </c>
      <c r="D802" s="331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249574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">
      <c r="A803" s="209" t="str">
        <f>RIGHT($C$83,3)&amp;"*"&amp;RIGHT($C$82,4)&amp;"*"&amp;BT$55&amp;"*"&amp;"A"</f>
        <v>032*2019*8670*A</v>
      </c>
      <c r="B803" s="274"/>
      <c r="C803" s="276">
        <f>ROUND(BT60,2)</f>
        <v>3.66</v>
      </c>
      <c r="D803" s="331">
        <f>ROUND(BT61,0)</f>
        <v>220953</v>
      </c>
      <c r="E803" s="274">
        <f>ROUND(BT62,0)</f>
        <v>75613</v>
      </c>
      <c r="F803" s="274">
        <f>ROUND(BT63,0)</f>
        <v>0</v>
      </c>
      <c r="G803" s="274">
        <f>ROUND(BT64,0)</f>
        <v>302</v>
      </c>
      <c r="H803" s="274">
        <f>ROUND(BT65,0)</f>
        <v>0</v>
      </c>
      <c r="I803" s="274">
        <f>ROUND(BT66,0)</f>
        <v>427796</v>
      </c>
      <c r="J803" s="274">
        <f>ROUND(BT67,0)</f>
        <v>0</v>
      </c>
      <c r="K803" s="274">
        <f>ROUND(BT68,0)</f>
        <v>0</v>
      </c>
      <c r="L803" s="274">
        <f>ROUND(BT69,0)</f>
        <v>21149</v>
      </c>
      <c r="M803" s="274">
        <f>ROUND(BT70,0)</f>
        <v>20375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">
      <c r="A804" s="209" t="str">
        <f>RIGHT($C$83,3)&amp;"*"&amp;RIGHT($C$82,4)&amp;"*"&amp;BU$55&amp;"*"&amp;"A"</f>
        <v>032*2019*8680*A</v>
      </c>
      <c r="B804" s="274"/>
      <c r="C804" s="276">
        <f>ROUND(BU60,2)</f>
        <v>0</v>
      </c>
      <c r="D804" s="331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148855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">
      <c r="A805" s="209" t="str">
        <f>RIGHT($C$83,3)&amp;"*"&amp;RIGHT($C$82,4)&amp;"*"&amp;BV$55&amp;"*"&amp;"A"</f>
        <v>032*2019*8690*A</v>
      </c>
      <c r="B805" s="274"/>
      <c r="C805" s="276">
        <f>ROUND(BV60,2)</f>
        <v>0</v>
      </c>
      <c r="D805" s="331">
        <f>ROUND(BV61,0)</f>
        <v>0</v>
      </c>
      <c r="E805" s="274">
        <f>ROUND(BV62,0)</f>
        <v>0</v>
      </c>
      <c r="F805" s="274">
        <f>ROUND(BV63,0)</f>
        <v>0</v>
      </c>
      <c r="G805" s="274">
        <f>ROUND(BV64,0)</f>
        <v>0</v>
      </c>
      <c r="H805" s="274">
        <f>ROUND(BV65,0)</f>
        <v>0</v>
      </c>
      <c r="I805" s="274">
        <f>ROUND(BV66,0)</f>
        <v>11140090</v>
      </c>
      <c r="J805" s="274">
        <f>ROUND(BV67,0)</f>
        <v>138958</v>
      </c>
      <c r="K805" s="274">
        <f>ROUND(BV68,0)</f>
        <v>0</v>
      </c>
      <c r="L805" s="274">
        <f>ROUND(BV69,0)</f>
        <v>0</v>
      </c>
      <c r="M805" s="274">
        <f>ROUND(BV70,0)</f>
        <v>0</v>
      </c>
      <c r="N805" s="274"/>
      <c r="O805" s="274"/>
      <c r="P805" s="274">
        <f>IF(BV76&gt;0,ROUND(BV76,0),0)</f>
        <v>9455</v>
      </c>
      <c r="Q805" s="274">
        <f>IF(BV77&gt;0,ROUND(BV77,0),0)</f>
        <v>0</v>
      </c>
      <c r="R805" s="274">
        <f>IF(BV78&gt;0,ROUND(BV78,0),0)</f>
        <v>3305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">
      <c r="A806" s="209" t="str">
        <f>RIGHT($C$83,3)&amp;"*"&amp;RIGHT($C$82,4)&amp;"*"&amp;BW$55&amp;"*"&amp;"A"</f>
        <v>032*2019*8700*A</v>
      </c>
      <c r="B806" s="274"/>
      <c r="C806" s="276">
        <f>ROUND(BW60,2)</f>
        <v>0</v>
      </c>
      <c r="D806" s="331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2193228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">
      <c r="A807" s="209" t="str">
        <f>RIGHT($C$83,3)&amp;"*"&amp;RIGHT($C$82,4)&amp;"*"&amp;BX$55&amp;"*"&amp;"A"</f>
        <v>032*2019*8710*A</v>
      </c>
      <c r="B807" s="274"/>
      <c r="C807" s="276">
        <f>ROUND(BX60,2)</f>
        <v>0</v>
      </c>
      <c r="D807" s="331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11463193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">
      <c r="A808" s="209" t="str">
        <f>RIGHT($C$83,3)&amp;"*"&amp;RIGHT($C$82,4)&amp;"*"&amp;BY$55&amp;"*"&amp;"A"</f>
        <v>032*2019*8720*A</v>
      </c>
      <c r="B808" s="274"/>
      <c r="C808" s="276">
        <f>ROUND(BY60,2)</f>
        <v>45.1</v>
      </c>
      <c r="D808" s="331">
        <f>ROUND(BY61,0)</f>
        <v>4228049</v>
      </c>
      <c r="E808" s="274">
        <f>ROUND(BY62,0)</f>
        <v>1114728</v>
      </c>
      <c r="F808" s="274">
        <f>ROUND(BY63,0)</f>
        <v>0</v>
      </c>
      <c r="G808" s="274">
        <f>ROUND(BY64,0)</f>
        <v>1823</v>
      </c>
      <c r="H808" s="274">
        <f>ROUND(BY65,0)</f>
        <v>1926</v>
      </c>
      <c r="I808" s="274">
        <f>ROUND(BY66,0)</f>
        <v>415808</v>
      </c>
      <c r="J808" s="274">
        <f>ROUND(BY67,0)</f>
        <v>17896</v>
      </c>
      <c r="K808" s="274">
        <f>ROUND(BY68,0)</f>
        <v>13094</v>
      </c>
      <c r="L808" s="274">
        <f>ROUND(BY69,0)</f>
        <v>4526</v>
      </c>
      <c r="M808" s="274">
        <f>ROUND(BY70,0)</f>
        <v>0</v>
      </c>
      <c r="N808" s="274"/>
      <c r="O808" s="274"/>
      <c r="P808" s="274">
        <f>IF(BY76&gt;0,ROUND(BY76,0),0)</f>
        <v>978</v>
      </c>
      <c r="Q808" s="274">
        <f>IF(BY77&gt;0,ROUND(BY77,0),0)</f>
        <v>0</v>
      </c>
      <c r="R808" s="274">
        <f>IF(BY78&gt;0,ROUND(BY78,0),0)</f>
        <v>342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">
      <c r="A809" s="209" t="str">
        <f>RIGHT($C$83,3)&amp;"*"&amp;RIGHT($C$82,4)&amp;"*"&amp;BZ$55&amp;"*"&amp;"A"</f>
        <v>032*2019*8730*A</v>
      </c>
      <c r="B809" s="274"/>
      <c r="C809" s="276">
        <f>ROUND(BZ60,2)</f>
        <v>0</v>
      </c>
      <c r="D809" s="331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">
      <c r="A810" s="209" t="str">
        <f>RIGHT($C$83,3)&amp;"*"&amp;RIGHT($C$82,4)&amp;"*"&amp;CA$55&amp;"*"&amp;"A"</f>
        <v>032*2019*8740*A</v>
      </c>
      <c r="B810" s="274"/>
      <c r="C810" s="276">
        <f>ROUND(CA60,2)</f>
        <v>6.15</v>
      </c>
      <c r="D810" s="331">
        <f>ROUND(CA61,0)</f>
        <v>629821</v>
      </c>
      <c r="E810" s="274">
        <f>ROUND(CA62,0)</f>
        <v>160199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1321077</v>
      </c>
      <c r="J810" s="274">
        <f>ROUND(CA67,0)</f>
        <v>0</v>
      </c>
      <c r="K810" s="274">
        <f>ROUND(CA68,0)</f>
        <v>0</v>
      </c>
      <c r="L810" s="274">
        <f>ROUND(CA69,0)</f>
        <v>424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">
      <c r="A811" s="209" t="str">
        <f>RIGHT($C$83,3)&amp;"*"&amp;RIGHT($C$82,4)&amp;"*"&amp;CB$55&amp;"*"&amp;"A"</f>
        <v>032*2019*8770*A</v>
      </c>
      <c r="B811" s="274"/>
      <c r="C811" s="276">
        <f>ROUND(CB60,2)</f>
        <v>1.03</v>
      </c>
      <c r="D811" s="331">
        <f>ROUND(CB61,0)</f>
        <v>75732</v>
      </c>
      <c r="E811" s="274">
        <f>ROUND(CB62,0)</f>
        <v>22849</v>
      </c>
      <c r="F811" s="274">
        <f>ROUND(CB63,0)</f>
        <v>0</v>
      </c>
      <c r="G811" s="274">
        <f>ROUND(CB64,0)</f>
        <v>1669</v>
      </c>
      <c r="H811" s="274">
        <f>ROUND(CB65,0)</f>
        <v>0</v>
      </c>
      <c r="I811" s="274">
        <f>ROUND(CB66,0)</f>
        <v>159830</v>
      </c>
      <c r="J811" s="274">
        <f>ROUND(CB67,0)</f>
        <v>0</v>
      </c>
      <c r="K811" s="274">
        <f>ROUND(CB68,0)</f>
        <v>21</v>
      </c>
      <c r="L811" s="274">
        <f>ROUND(CB69,0)</f>
        <v>14721</v>
      </c>
      <c r="M811" s="274">
        <f>ROUND(CB70,0)</f>
        <v>125022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">
      <c r="A812" s="209" t="str">
        <f>RIGHT($C$83,3)&amp;"*"&amp;RIGHT($C$82,4)&amp;"*"&amp;CC$55&amp;"*"&amp;"A"</f>
        <v>032*2019*8790*A</v>
      </c>
      <c r="B812" s="274"/>
      <c r="C812" s="276">
        <f>ROUND(CC60,2)</f>
        <v>0.02</v>
      </c>
      <c r="D812" s="331">
        <f>ROUND(CC61,0)</f>
        <v>2045939</v>
      </c>
      <c r="E812" s="274">
        <f>ROUND(CC62,0)</f>
        <v>150931</v>
      </c>
      <c r="F812" s="274">
        <f>ROUND(CC63,0)</f>
        <v>27462</v>
      </c>
      <c r="G812" s="274">
        <f>ROUND(CC64,0)</f>
        <v>11537</v>
      </c>
      <c r="H812" s="274">
        <f>ROUND(CC65,0)</f>
        <v>24</v>
      </c>
      <c r="I812" s="274">
        <f>ROUND(CC66,0)</f>
        <v>41620756</v>
      </c>
      <c r="J812" s="274">
        <f>ROUND(CC67,0)</f>
        <v>2</v>
      </c>
      <c r="K812" s="274">
        <f>ROUND(CC68,0)</f>
        <v>8175</v>
      </c>
      <c r="L812" s="274">
        <f>ROUND(CC69,0)</f>
        <v>-1150795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">
      <c r="A813" s="209" t="str">
        <f>RIGHT($C$83,3)&amp;"*"&amp;RIGHT($C$82,4)&amp;"*"&amp;"9000"&amp;"*"&amp;"A"</f>
        <v>032*2019*9000*A</v>
      </c>
      <c r="B813" s="274"/>
      <c r="C813" s="277"/>
      <c r="D813" s="331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35935525</v>
      </c>
      <c r="V813" s="275">
        <f>ROUND(CD70,0)</f>
        <v>0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">
      <c r="B814" s="275"/>
      <c r="C814" s="275"/>
      <c r="D814" s="333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">
      <c r="B815" s="278" t="s">
        <v>1004</v>
      </c>
      <c r="C815" s="279">
        <f t="shared" ref="C815:K815" si="22">SUM(C734:C813)</f>
        <v>3271.06</v>
      </c>
      <c r="D815" s="333">
        <f t="shared" si="22"/>
        <v>294223411</v>
      </c>
      <c r="E815" s="275">
        <f t="shared" si="22"/>
        <v>72957134</v>
      </c>
      <c r="F815" s="275">
        <f t="shared" si="22"/>
        <v>29036332</v>
      </c>
      <c r="G815" s="275">
        <f t="shared" si="22"/>
        <v>113899944</v>
      </c>
      <c r="H815" s="275">
        <f t="shared" si="22"/>
        <v>4382737</v>
      </c>
      <c r="I815" s="275">
        <f t="shared" si="22"/>
        <v>181803924</v>
      </c>
      <c r="J815" s="275">
        <f t="shared" si="22"/>
        <v>33862828</v>
      </c>
      <c r="K815" s="275">
        <f t="shared" si="22"/>
        <v>15998784</v>
      </c>
      <c r="L815" s="275">
        <f>SUM(L734:L813)+SUM(U734:U813)</f>
        <v>44034626</v>
      </c>
      <c r="M815" s="275">
        <f>SUM(M734:M813)+SUM(V734:V813)</f>
        <v>18133635</v>
      </c>
      <c r="N815" s="275">
        <f t="shared" ref="N815:Y815" si="23">SUM(N734:N813)</f>
        <v>3220909840</v>
      </c>
      <c r="O815" s="275">
        <f t="shared" si="23"/>
        <v>1849598903</v>
      </c>
      <c r="P815" s="275">
        <f t="shared" si="23"/>
        <v>850148</v>
      </c>
      <c r="Q815" s="275">
        <f t="shared" si="23"/>
        <v>416105</v>
      </c>
      <c r="R815" s="275">
        <f t="shared" si="23"/>
        <v>169480</v>
      </c>
      <c r="S815" s="275">
        <f t="shared" si="23"/>
        <v>2767713</v>
      </c>
      <c r="T815" s="279">
        <f t="shared" si="23"/>
        <v>998.62000000000046</v>
      </c>
      <c r="U815" s="275">
        <f t="shared" si="23"/>
        <v>35935525</v>
      </c>
      <c r="V815" s="275">
        <f t="shared" si="23"/>
        <v>0</v>
      </c>
      <c r="W815" s="275">
        <f t="shared" si="23"/>
        <v>0</v>
      </c>
      <c r="X815" s="275">
        <f t="shared" si="23"/>
        <v>0</v>
      </c>
      <c r="Y815" s="275">
        <f t="shared" si="23"/>
        <v>214520551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">
      <c r="B816" s="275" t="s">
        <v>1005</v>
      </c>
      <c r="C816" s="279">
        <f>CE60</f>
        <v>3271.0675330769232</v>
      </c>
      <c r="D816" s="333">
        <f>CE61</f>
        <v>294223409.26000011</v>
      </c>
      <c r="E816" s="275">
        <f>CE62</f>
        <v>72957136.220000029</v>
      </c>
      <c r="F816" s="275">
        <f>CE63</f>
        <v>29036332.350000001</v>
      </c>
      <c r="G816" s="275">
        <f>CE64</f>
        <v>113899943.42000021</v>
      </c>
      <c r="H816" s="278">
        <f>CE65</f>
        <v>4382737.5599999996</v>
      </c>
      <c r="I816" s="278">
        <f>CE66</f>
        <v>181803922.85051626</v>
      </c>
      <c r="J816" s="278">
        <f>CE67</f>
        <v>33862828</v>
      </c>
      <c r="K816" s="278">
        <f>CE68</f>
        <v>15998782.84</v>
      </c>
      <c r="L816" s="278">
        <f>CE69</f>
        <v>44034625.549999997</v>
      </c>
      <c r="M816" s="278">
        <f>CE70</f>
        <v>18133636.280000001</v>
      </c>
      <c r="N816" s="275">
        <f>CE75</f>
        <v>3220909840.2200003</v>
      </c>
      <c r="O816" s="275">
        <f>CE73</f>
        <v>1849598903.3499999</v>
      </c>
      <c r="P816" s="275">
        <f>CE76</f>
        <v>850147.8713</v>
      </c>
      <c r="Q816" s="275">
        <f>CE77</f>
        <v>416105</v>
      </c>
      <c r="R816" s="275">
        <f>CE78</f>
        <v>169481.52000000002</v>
      </c>
      <c r="S816" s="275">
        <f>CE79</f>
        <v>2767712.82</v>
      </c>
      <c r="T816" s="279">
        <f>CE80</f>
        <v>998.65476442307704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214520551.71203369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">
      <c r="B817" s="180" t="s">
        <v>471</v>
      </c>
      <c r="C817" s="199" t="s">
        <v>1007</v>
      </c>
      <c r="D817" s="250">
        <f>C378</f>
        <v>294223409.25999999</v>
      </c>
      <c r="E817" s="180">
        <f>C379</f>
        <v>72957136.219999999</v>
      </c>
      <c r="F817" s="180">
        <f>C380</f>
        <v>29036332.350000001</v>
      </c>
      <c r="G817" s="238">
        <f>C381</f>
        <v>113899943.14999999</v>
      </c>
      <c r="H817" s="238">
        <f>C382</f>
        <v>4382737.5600000005</v>
      </c>
      <c r="I817" s="238">
        <f>C383</f>
        <v>181803922.60000002</v>
      </c>
      <c r="J817" s="238">
        <f>C384</f>
        <v>33862830.280000001</v>
      </c>
      <c r="K817" s="238">
        <f>C385</f>
        <v>15998782.84</v>
      </c>
      <c r="L817" s="238">
        <f>C386+C387+C388+C389</f>
        <v>44034625.549999893</v>
      </c>
      <c r="M817" s="238">
        <f>C370</f>
        <v>18133636.68</v>
      </c>
      <c r="N817" s="180">
        <f>D361</f>
        <v>3220909840.2200003</v>
      </c>
      <c r="O817" s="180">
        <f>C359</f>
        <v>1849598903.3499999</v>
      </c>
    </row>
  </sheetData>
  <mergeCells count="1">
    <mergeCell ref="B220:C220"/>
  </mergeCells>
  <phoneticPr fontId="0" type="noConversion"/>
  <hyperlinks>
    <hyperlink ref="F16" r:id="rId1" xr:uid="{00000000-0004-0000-0A00-000000000000}"/>
    <hyperlink ref="C17" r:id="rId2" xr:uid="{00000000-0004-0000-0A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SJ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2020-12-29T02:27:45Z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