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O\Department of Health Reports\DOH FY20\St Elizabeth\"/>
    </mc:Choice>
  </mc:AlternateContent>
  <xr:revisionPtr revIDLastSave="0" documentId="13_ncr:1_{CDEBF4E3-B203-42C7-9EA5-97A118398EEB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0" i="1" l="1"/>
  <c r="C323" i="1" l="1"/>
  <c r="C324" i="1"/>
  <c r="E59" i="1" l="1"/>
  <c r="D139" i="1"/>
  <c r="D138" i="1"/>
  <c r="C281" i="1" l="1"/>
  <c r="C282" i="1"/>
  <c r="D213" i="1" l="1"/>
  <c r="C213" i="1"/>
  <c r="C272" i="1"/>
  <c r="C276" i="1"/>
  <c r="D200" i="1" l="1"/>
  <c r="C200" i="1"/>
  <c r="C231" i="1" l="1"/>
  <c r="D215" i="1" l="1"/>
  <c r="D211" i="1"/>
  <c r="D210" i="1"/>
  <c r="C211" i="1"/>
  <c r="C210" i="1"/>
  <c r="D203" i="1" l="1"/>
  <c r="C203" i="1"/>
  <c r="C199" i="1"/>
  <c r="C202" i="1"/>
  <c r="C197" i="1"/>
  <c r="B197" i="1"/>
  <c r="B199" i="1"/>
  <c r="C313" i="1" l="1"/>
  <c r="C274" i="1"/>
  <c r="C269" i="1"/>
  <c r="AV69" i="1" l="1"/>
  <c r="CD69" i="1"/>
  <c r="C389" i="1"/>
  <c r="C387" i="1" l="1"/>
  <c r="C383" i="1" l="1"/>
  <c r="CC68" i="1" l="1"/>
  <c r="CC66" i="1"/>
  <c r="CC64" i="1" l="1"/>
  <c r="CC61" i="1"/>
  <c r="BF61" i="1"/>
  <c r="AV61" i="1"/>
  <c r="AJ61" i="1"/>
  <c r="AG61" i="1"/>
  <c r="Y61" i="1"/>
  <c r="X61" i="1"/>
  <c r="U61" i="1"/>
  <c r="E61" i="1"/>
  <c r="B51" i="1"/>
  <c r="BR76" i="1" l="1"/>
  <c r="BF76" i="1"/>
  <c r="AY76" i="1"/>
  <c r="AB76" i="1"/>
  <c r="O76" i="1"/>
  <c r="D142" i="1" l="1"/>
  <c r="C142" i="1"/>
  <c r="B142" i="1"/>
  <c r="C139" i="1"/>
  <c r="B139" i="1"/>
  <c r="C138" i="1"/>
  <c r="B138" i="1"/>
  <c r="C386" i="1" l="1"/>
  <c r="C384" i="1"/>
  <c r="C382" i="1"/>
  <c r="C385" i="1"/>
  <c r="C381" i="1"/>
  <c r="C380" i="1"/>
  <c r="C379" i="1"/>
  <c r="C378" i="1"/>
  <c r="C370" i="1"/>
  <c r="C365" i="1"/>
  <c r="C364" i="1"/>
  <c r="C360" i="1"/>
  <c r="C359" i="1"/>
  <c r="C228" i="1"/>
  <c r="C226" i="1"/>
  <c r="C223" i="1"/>
  <c r="C234" i="1"/>
  <c r="C233" i="1"/>
  <c r="C176" i="1"/>
  <c r="C175" i="1"/>
  <c r="C180" i="1"/>
  <c r="C179" i="1"/>
  <c r="O817" i="10" l="1"/>
  <c r="K817" i="10"/>
  <c r="J817" i="10"/>
  <c r="H817" i="10"/>
  <c r="G817" i="10"/>
  <c r="F817" i="10"/>
  <c r="E817" i="10"/>
  <c r="X815" i="10"/>
  <c r="X813" i="10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C789" i="10"/>
  <c r="A789" i="10"/>
  <c r="T788" i="10"/>
  <c r="S788" i="10"/>
  <c r="R788" i="10"/>
  <c r="Q788" i="10"/>
  <c r="P788" i="10"/>
  <c r="C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F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H756" i="10"/>
  <c r="F756" i="10"/>
  <c r="D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D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H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K734" i="10"/>
  <c r="C734" i="10"/>
  <c r="B734" i="10"/>
  <c r="A734" i="10"/>
  <c r="CF730" i="10"/>
  <c r="CE730" i="10"/>
  <c r="CB730" i="10"/>
  <c r="CA730" i="10"/>
  <c r="BY730" i="10"/>
  <c r="BX730" i="10"/>
  <c r="BW730" i="10"/>
  <c r="BU730" i="10"/>
  <c r="BT730" i="10"/>
  <c r="BS730" i="10"/>
  <c r="BR730" i="10"/>
  <c r="BP730" i="10"/>
  <c r="BN730" i="10"/>
  <c r="BM730" i="10"/>
  <c r="BL730" i="10"/>
  <c r="BJ730" i="10"/>
  <c r="BF730" i="10"/>
  <c r="BE730" i="10"/>
  <c r="BA730" i="10"/>
  <c r="AZ730" i="10"/>
  <c r="AY730" i="10"/>
  <c r="AX730" i="10"/>
  <c r="AV730" i="10"/>
  <c r="AU730" i="10"/>
  <c r="AT730" i="10"/>
  <c r="AR730" i="10"/>
  <c r="AQ730" i="10"/>
  <c r="AO730" i="10"/>
  <c r="AN730" i="10"/>
  <c r="AM730" i="10"/>
  <c r="AL730" i="10"/>
  <c r="AK730" i="10"/>
  <c r="AJ730" i="10"/>
  <c r="AH730" i="10"/>
  <c r="AG730" i="10"/>
  <c r="AE730" i="10"/>
  <c r="AD730" i="10"/>
  <c r="AB730" i="10"/>
  <c r="Z730" i="10"/>
  <c r="Y730" i="10"/>
  <c r="W730" i="10"/>
  <c r="R730" i="10"/>
  <c r="P730" i="10"/>
  <c r="O730" i="10"/>
  <c r="N730" i="10"/>
  <c r="M730" i="10"/>
  <c r="L730" i="10"/>
  <c r="K730" i="10"/>
  <c r="H730" i="10"/>
  <c r="F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V722" i="10"/>
  <c r="BS722" i="10"/>
  <c r="BR722" i="10"/>
  <c r="BQ722" i="10"/>
  <c r="BP722" i="10"/>
  <c r="BM722" i="10"/>
  <c r="BL722" i="10"/>
  <c r="BK722" i="10"/>
  <c r="BG722" i="10"/>
  <c r="BF722" i="10"/>
  <c r="BE722" i="10"/>
  <c r="BD722" i="10"/>
  <c r="BA722" i="10"/>
  <c r="AX722" i="10"/>
  <c r="AW722" i="10"/>
  <c r="AV722" i="10"/>
  <c r="AR722" i="10"/>
  <c r="AO722" i="10"/>
  <c r="AL722" i="10"/>
  <c r="AK722" i="10"/>
  <c r="AJ722" i="10"/>
  <c r="AF722" i="10"/>
  <c r="AC722" i="10"/>
  <c r="AB722" i="10"/>
  <c r="AA722" i="10"/>
  <c r="Z722" i="10"/>
  <c r="W722" i="10"/>
  <c r="V722" i="10"/>
  <c r="U722" i="10"/>
  <c r="T722" i="10"/>
  <c r="S722" i="10"/>
  <c r="R722" i="10"/>
  <c r="Q722" i="10"/>
  <c r="P722" i="10"/>
  <c r="O722" i="10"/>
  <c r="M722" i="10"/>
  <c r="B722" i="10"/>
  <c r="A722" i="10"/>
  <c r="H571" i="10"/>
  <c r="H562" i="10"/>
  <c r="H558" i="10"/>
  <c r="F550" i="10"/>
  <c r="H549" i="10"/>
  <c r="H548" i="10"/>
  <c r="H547" i="10"/>
  <c r="F546" i="10"/>
  <c r="E546" i="10"/>
  <c r="E545" i="10"/>
  <c r="F544" i="10"/>
  <c r="E544" i="10"/>
  <c r="H542" i="10"/>
  <c r="F540" i="10"/>
  <c r="E540" i="10"/>
  <c r="H540" i="10"/>
  <c r="E539" i="10"/>
  <c r="E538" i="10"/>
  <c r="H538" i="10"/>
  <c r="H537" i="10"/>
  <c r="F537" i="10"/>
  <c r="E537" i="10"/>
  <c r="E536" i="10"/>
  <c r="F535" i="10"/>
  <c r="E535" i="10"/>
  <c r="H535" i="10"/>
  <c r="H534" i="10"/>
  <c r="F534" i="10"/>
  <c r="E534" i="10"/>
  <c r="E533" i="10"/>
  <c r="F532" i="10"/>
  <c r="E532" i="10"/>
  <c r="H532" i="10"/>
  <c r="E531" i="10"/>
  <c r="F531" i="10"/>
  <c r="E530" i="10"/>
  <c r="F529" i="10"/>
  <c r="E529" i="10"/>
  <c r="H528" i="10"/>
  <c r="E528" i="10"/>
  <c r="F528" i="10"/>
  <c r="F527" i="10"/>
  <c r="E527" i="10"/>
  <c r="H527" i="10"/>
  <c r="F526" i="10"/>
  <c r="E526" i="10"/>
  <c r="E525" i="10"/>
  <c r="E524" i="10"/>
  <c r="F524" i="10"/>
  <c r="E523" i="10"/>
  <c r="F523" i="10"/>
  <c r="E522" i="10"/>
  <c r="F521" i="10"/>
  <c r="F520" i="10"/>
  <c r="E520" i="10"/>
  <c r="E519" i="10"/>
  <c r="F519" i="10"/>
  <c r="E518" i="10"/>
  <c r="F518" i="10"/>
  <c r="E517" i="10"/>
  <c r="E516" i="10"/>
  <c r="H515" i="10"/>
  <c r="F515" i="10"/>
  <c r="E515" i="10"/>
  <c r="E514" i="10"/>
  <c r="F514" i="10"/>
  <c r="F512" i="10"/>
  <c r="F511" i="10"/>
  <c r="E511" i="10"/>
  <c r="E510" i="10"/>
  <c r="F510" i="10"/>
  <c r="F509" i="10"/>
  <c r="E509" i="10"/>
  <c r="F508" i="10"/>
  <c r="E508" i="10"/>
  <c r="E507" i="10"/>
  <c r="F507" i="10"/>
  <c r="F506" i="10"/>
  <c r="E506" i="10"/>
  <c r="H506" i="10"/>
  <c r="F505" i="10"/>
  <c r="E505" i="10"/>
  <c r="H505" i="10"/>
  <c r="E504" i="10"/>
  <c r="F503" i="10"/>
  <c r="E503" i="10"/>
  <c r="E502" i="10"/>
  <c r="F502" i="10"/>
  <c r="F501" i="10"/>
  <c r="E501" i="10"/>
  <c r="H501" i="10"/>
  <c r="H500" i="10"/>
  <c r="F500" i="10"/>
  <c r="E500" i="10"/>
  <c r="H499" i="10"/>
  <c r="E499" i="10"/>
  <c r="F499" i="10"/>
  <c r="F498" i="10"/>
  <c r="E498" i="10"/>
  <c r="H497" i="10"/>
  <c r="E497" i="10"/>
  <c r="F497" i="10"/>
  <c r="E496" i="10"/>
  <c r="G493" i="10"/>
  <c r="E493" i="10"/>
  <c r="C493" i="10"/>
  <c r="A493" i="10"/>
  <c r="B471" i="10"/>
  <c r="B469" i="10"/>
  <c r="B468" i="10"/>
  <c r="B463" i="10"/>
  <c r="C459" i="10"/>
  <c r="B459" i="10"/>
  <c r="B454" i="10"/>
  <c r="B453" i="10"/>
  <c r="C447" i="10"/>
  <c r="C446" i="10"/>
  <c r="C445" i="10"/>
  <c r="C444" i="10"/>
  <c r="B437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2" i="10"/>
  <c r="CD730" i="10" s="1"/>
  <c r="C389" i="10"/>
  <c r="CC730" i="10" s="1"/>
  <c r="C387" i="10"/>
  <c r="B436" i="10" s="1"/>
  <c r="C383" i="10"/>
  <c r="C378" i="10"/>
  <c r="C370" i="10"/>
  <c r="D372" i="10" s="1"/>
  <c r="D367" i="10"/>
  <c r="C448" i="10" s="1"/>
  <c r="C360" i="10"/>
  <c r="C332" i="10"/>
  <c r="BB730" i="10" s="1"/>
  <c r="C324" i="10"/>
  <c r="AW730" i="10" s="1"/>
  <c r="C318" i="10"/>
  <c r="AS730" i="10" s="1"/>
  <c r="C313" i="10"/>
  <c r="C306" i="10"/>
  <c r="C289" i="10"/>
  <c r="AF730" i="10" s="1"/>
  <c r="C286" i="10"/>
  <c r="AC730" i="10" s="1"/>
  <c r="D283" i="10"/>
  <c r="C281" i="10"/>
  <c r="AA730" i="10" s="1"/>
  <c r="C276" i="10"/>
  <c r="X730" i="10" s="1"/>
  <c r="C274" i="10"/>
  <c r="C273" i="10"/>
  <c r="U730" i="10" s="1"/>
  <c r="C272" i="10"/>
  <c r="T730" i="10" s="1"/>
  <c r="C271" i="10"/>
  <c r="B472" i="10" s="1"/>
  <c r="C269" i="10"/>
  <c r="Q730" i="10" s="1"/>
  <c r="D265" i="10"/>
  <c r="C258" i="10"/>
  <c r="J730" i="10" s="1"/>
  <c r="C257" i="10"/>
  <c r="I730" i="10" s="1"/>
  <c r="C255" i="10"/>
  <c r="G730" i="10" s="1"/>
  <c r="C253" i="10"/>
  <c r="E730" i="10" s="1"/>
  <c r="C252" i="10"/>
  <c r="D730" i="10" s="1"/>
  <c r="C250" i="10"/>
  <c r="B730" i="10" s="1"/>
  <c r="D240" i="10"/>
  <c r="B447" i="10" s="1"/>
  <c r="C234" i="10"/>
  <c r="B455" i="10" s="1"/>
  <c r="C228" i="10"/>
  <c r="BY722" i="10" s="1"/>
  <c r="C226" i="10"/>
  <c r="BW722" i="10" s="1"/>
  <c r="C224" i="10"/>
  <c r="BU722" i="10" s="1"/>
  <c r="C223" i="10"/>
  <c r="D221" i="10"/>
  <c r="B444" i="10" s="1"/>
  <c r="E216" i="10"/>
  <c r="C215" i="10"/>
  <c r="BO722" i="10" s="1"/>
  <c r="B215" i="10"/>
  <c r="BN722" i="10" s="1"/>
  <c r="E214" i="10"/>
  <c r="D213" i="10"/>
  <c r="C213" i="10"/>
  <c r="B213" i="10"/>
  <c r="BH722" i="10" s="1"/>
  <c r="E212" i="10"/>
  <c r="C211" i="10"/>
  <c r="BC722" i="10" s="1"/>
  <c r="B211" i="10"/>
  <c r="BB722" i="10" s="1"/>
  <c r="C210" i="10"/>
  <c r="AZ722" i="10" s="1"/>
  <c r="B210" i="10"/>
  <c r="E209" i="10"/>
  <c r="C203" i="10"/>
  <c r="AQ722" i="10" s="1"/>
  <c r="B203" i="10"/>
  <c r="AP722" i="10" s="1"/>
  <c r="C202" i="10"/>
  <c r="AN722" i="10" s="1"/>
  <c r="B202" i="10"/>
  <c r="E201" i="10"/>
  <c r="D200" i="10"/>
  <c r="AI722" i="10" s="1"/>
  <c r="C200" i="10"/>
  <c r="AH722" i="10" s="1"/>
  <c r="B200" i="10"/>
  <c r="AG722" i="10" s="1"/>
  <c r="C199" i="10"/>
  <c r="AE722" i="10" s="1"/>
  <c r="B199" i="10"/>
  <c r="AD722" i="10" s="1"/>
  <c r="E198" i="10"/>
  <c r="C471" i="10" s="1"/>
  <c r="C197" i="10"/>
  <c r="C204" i="10" s="1"/>
  <c r="B197" i="10"/>
  <c r="X722" i="10" s="1"/>
  <c r="E196" i="10"/>
  <c r="C469" i="10" s="1"/>
  <c r="E195" i="10"/>
  <c r="C468" i="10" s="1"/>
  <c r="D190" i="10"/>
  <c r="D437" i="10" s="1"/>
  <c r="C184" i="10"/>
  <c r="N722" i="10" s="1"/>
  <c r="C180" i="10"/>
  <c r="C179" i="10"/>
  <c r="K722" i="10" s="1"/>
  <c r="C176" i="10"/>
  <c r="J722" i="10" s="1"/>
  <c r="C175" i="10"/>
  <c r="I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C166" i="10"/>
  <c r="C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E141" i="10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CF80" i="10"/>
  <c r="CE80" i="10"/>
  <c r="CF79" i="10"/>
  <c r="CE79" i="10"/>
  <c r="CE78" i="10"/>
  <c r="CE77" i="10"/>
  <c r="BR76" i="10"/>
  <c r="P801" i="10" s="1"/>
  <c r="BF76" i="10"/>
  <c r="P789" i="10" s="1"/>
  <c r="AY76" i="10"/>
  <c r="P782" i="10" s="1"/>
  <c r="AB76" i="10"/>
  <c r="O76" i="10"/>
  <c r="P746" i="10" s="1"/>
  <c r="AO75" i="10"/>
  <c r="N772" i="10" s="1"/>
  <c r="AL75" i="10"/>
  <c r="N769" i="10" s="1"/>
  <c r="AB75" i="10"/>
  <c r="N759" i="10" s="1"/>
  <c r="Z75" i="10"/>
  <c r="N757" i="10" s="1"/>
  <c r="Y75" i="10"/>
  <c r="N756" i="10" s="1"/>
  <c r="AV75" i="10"/>
  <c r="N779" i="10" s="1"/>
  <c r="AN75" i="10"/>
  <c r="N771" i="10" s="1"/>
  <c r="AG75" i="10"/>
  <c r="N764" i="10" s="1"/>
  <c r="V75" i="10"/>
  <c r="N753" i="10" s="1"/>
  <c r="N75" i="10"/>
  <c r="N745" i="10" s="1"/>
  <c r="O779" i="10"/>
  <c r="O777" i="10"/>
  <c r="O775" i="10"/>
  <c r="O774" i="10"/>
  <c r="O772" i="10"/>
  <c r="O771" i="10"/>
  <c r="O769" i="10"/>
  <c r="O767" i="10"/>
  <c r="O766" i="10"/>
  <c r="O764" i="10"/>
  <c r="O763" i="10"/>
  <c r="O761" i="10"/>
  <c r="O759" i="10"/>
  <c r="O758" i="10"/>
  <c r="O755" i="10"/>
  <c r="O753" i="10"/>
  <c r="O751" i="10"/>
  <c r="O748" i="10"/>
  <c r="O747" i="10"/>
  <c r="O745" i="10"/>
  <c r="O743" i="10"/>
  <c r="O740" i="10"/>
  <c r="O739" i="10"/>
  <c r="O737" i="10"/>
  <c r="O735" i="10"/>
  <c r="V813" i="10"/>
  <c r="V815" i="10" s="1"/>
  <c r="M812" i="10"/>
  <c r="M811" i="10"/>
  <c r="M810" i="10"/>
  <c r="M809" i="10"/>
  <c r="M807" i="10"/>
  <c r="M806" i="10"/>
  <c r="M805" i="10"/>
  <c r="M804" i="10"/>
  <c r="M803" i="10"/>
  <c r="M802" i="10"/>
  <c r="M801" i="10"/>
  <c r="M799" i="10"/>
  <c r="M798" i="10"/>
  <c r="M797" i="10"/>
  <c r="M796" i="10"/>
  <c r="M795" i="10"/>
  <c r="M794" i="10"/>
  <c r="M793" i="10"/>
  <c r="M791" i="10"/>
  <c r="M790" i="10"/>
  <c r="M789" i="10"/>
  <c r="M788" i="10"/>
  <c r="M787" i="10"/>
  <c r="M786" i="10"/>
  <c r="M785" i="10"/>
  <c r="M783" i="10"/>
  <c r="M782" i="10"/>
  <c r="M781" i="10"/>
  <c r="M780" i="10"/>
  <c r="M779" i="10"/>
  <c r="M778" i="10"/>
  <c r="M777" i="10"/>
  <c r="M775" i="10"/>
  <c r="M774" i="10"/>
  <c r="M773" i="10"/>
  <c r="M772" i="10"/>
  <c r="M771" i="10"/>
  <c r="M770" i="10"/>
  <c r="M769" i="10"/>
  <c r="M767" i="10"/>
  <c r="M766" i="10"/>
  <c r="M765" i="10"/>
  <c r="M764" i="10"/>
  <c r="M763" i="10"/>
  <c r="M762" i="10"/>
  <c r="M761" i="10"/>
  <c r="M759" i="10"/>
  <c r="M758" i="10"/>
  <c r="M755" i="10"/>
  <c r="M754" i="10"/>
  <c r="M753" i="10"/>
  <c r="M752" i="10"/>
  <c r="M751" i="10"/>
  <c r="M749" i="10"/>
  <c r="M748" i="10"/>
  <c r="M747" i="10"/>
  <c r="M746" i="10"/>
  <c r="M745" i="10"/>
  <c r="M744" i="10"/>
  <c r="M743" i="10"/>
  <c r="M741" i="10"/>
  <c r="M740" i="10"/>
  <c r="M739" i="10"/>
  <c r="M738" i="10"/>
  <c r="M737" i="10"/>
  <c r="M736" i="10"/>
  <c r="M735" i="10"/>
  <c r="C438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Y64" i="10"/>
  <c r="G756" i="10" s="1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D812" i="10"/>
  <c r="D811" i="10"/>
  <c r="D810" i="10"/>
  <c r="D809" i="10"/>
  <c r="D808" i="10"/>
  <c r="D807" i="10"/>
  <c r="D806" i="10"/>
  <c r="D805" i="10"/>
  <c r="D803" i="10"/>
  <c r="D802" i="10"/>
  <c r="D801" i="10"/>
  <c r="D800" i="10"/>
  <c r="D799" i="10"/>
  <c r="D798" i="10"/>
  <c r="D797" i="10"/>
  <c r="D795" i="10"/>
  <c r="D794" i="10"/>
  <c r="D793" i="10"/>
  <c r="D792" i="10"/>
  <c r="D791" i="10"/>
  <c r="D790" i="10"/>
  <c r="D789" i="10"/>
  <c r="D787" i="10"/>
  <c r="D786" i="10"/>
  <c r="D785" i="10"/>
  <c r="D784" i="10"/>
  <c r="D783" i="10"/>
  <c r="D782" i="10"/>
  <c r="D781" i="10"/>
  <c r="D779" i="10"/>
  <c r="D778" i="10"/>
  <c r="D777" i="10"/>
  <c r="D776" i="10"/>
  <c r="D775" i="10"/>
  <c r="D774" i="10"/>
  <c r="D773" i="10"/>
  <c r="D771" i="10"/>
  <c r="D770" i="10"/>
  <c r="D769" i="10"/>
  <c r="D768" i="10"/>
  <c r="D767" i="10"/>
  <c r="D766" i="10"/>
  <c r="D765" i="10"/>
  <c r="D763" i="10"/>
  <c r="D762" i="10"/>
  <c r="D761" i="10"/>
  <c r="D760" i="10"/>
  <c r="D759" i="10"/>
  <c r="D758" i="10"/>
  <c r="D755" i="10"/>
  <c r="D754" i="10"/>
  <c r="D753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CE60" i="10"/>
  <c r="BE59" i="10"/>
  <c r="B51" i="10"/>
  <c r="B53" i="10" s="1"/>
  <c r="B49" i="10"/>
  <c r="CE47" i="10"/>
  <c r="D181" i="10" l="1"/>
  <c r="B474" i="10"/>
  <c r="B217" i="10"/>
  <c r="E211" i="10"/>
  <c r="B438" i="10"/>
  <c r="D186" i="10"/>
  <c r="D436" i="10" s="1"/>
  <c r="E200" i="10"/>
  <c r="C473" i="10" s="1"/>
  <c r="B473" i="10"/>
  <c r="B470" i="10"/>
  <c r="C217" i="10"/>
  <c r="D433" i="10" s="1"/>
  <c r="C227" i="10"/>
  <c r="BX722" i="10" s="1"/>
  <c r="L722" i="10"/>
  <c r="BI722" i="10"/>
  <c r="CD722" i="10"/>
  <c r="E197" i="10"/>
  <c r="C470" i="10" s="1"/>
  <c r="E138" i="10"/>
  <c r="C414" i="10" s="1"/>
  <c r="D177" i="10"/>
  <c r="D434" i="10" s="1"/>
  <c r="D204" i="10"/>
  <c r="D328" i="10"/>
  <c r="Y722" i="10"/>
  <c r="B788" i="10"/>
  <c r="E550" i="10"/>
  <c r="M734" i="10"/>
  <c r="CE70" i="10"/>
  <c r="M742" i="10"/>
  <c r="M750" i="10"/>
  <c r="M760" i="10"/>
  <c r="M768" i="10"/>
  <c r="M776" i="10"/>
  <c r="M784" i="10"/>
  <c r="M792" i="10"/>
  <c r="M800" i="10"/>
  <c r="M808" i="10"/>
  <c r="O734" i="10"/>
  <c r="CE73" i="10"/>
  <c r="C75" i="10"/>
  <c r="O742" i="10"/>
  <c r="K75" i="10"/>
  <c r="N742" i="10" s="1"/>
  <c r="O750" i="10"/>
  <c r="S75" i="10"/>
  <c r="N750" i="10" s="1"/>
  <c r="O760" i="10"/>
  <c r="AC75" i="10"/>
  <c r="N760" i="10" s="1"/>
  <c r="O768" i="10"/>
  <c r="AK75" i="10"/>
  <c r="N768" i="10" s="1"/>
  <c r="O776" i="10"/>
  <c r="AS75" i="10"/>
  <c r="N776" i="10" s="1"/>
  <c r="CE51" i="10"/>
  <c r="CE68" i="10"/>
  <c r="K815" i="10"/>
  <c r="AI730" i="10"/>
  <c r="D314" i="10"/>
  <c r="F734" i="10"/>
  <c r="F815" i="10" s="1"/>
  <c r="CE63" i="10"/>
  <c r="D734" i="10"/>
  <c r="CE61" i="10"/>
  <c r="D764" i="10"/>
  <c r="D772" i="10"/>
  <c r="D780" i="10"/>
  <c r="D788" i="10"/>
  <c r="D796" i="10"/>
  <c r="D804" i="10"/>
  <c r="E142" i="10"/>
  <c r="D464" i="10" s="1"/>
  <c r="AB726" i="10"/>
  <c r="V730" i="10"/>
  <c r="B475" i="10"/>
  <c r="F539" i="10"/>
  <c r="H539" i="10"/>
  <c r="C816" i="10"/>
  <c r="BI730" i="10"/>
  <c r="H612" i="10"/>
  <c r="S816" i="10"/>
  <c r="J612" i="10"/>
  <c r="B439" i="10"/>
  <c r="B440" i="10" s="1"/>
  <c r="CE69" i="10"/>
  <c r="O741" i="10"/>
  <c r="J75" i="10"/>
  <c r="N741" i="10" s="1"/>
  <c r="O749" i="10"/>
  <c r="R75" i="10"/>
  <c r="N749" i="10" s="1"/>
  <c r="L75" i="10"/>
  <c r="N743" i="10" s="1"/>
  <c r="AJ75" i="10"/>
  <c r="N767" i="10" s="1"/>
  <c r="R816" i="10"/>
  <c r="I612" i="10"/>
  <c r="D463" i="10"/>
  <c r="D465" i="10" s="1"/>
  <c r="D290" i="10"/>
  <c r="H496" i="10"/>
  <c r="F496" i="10"/>
  <c r="H507" i="10"/>
  <c r="F522" i="10"/>
  <c r="H523" i="10"/>
  <c r="F530" i="10"/>
  <c r="P75" i="10"/>
  <c r="N747" i="10" s="1"/>
  <c r="AA75" i="10"/>
  <c r="N758" i="10" s="1"/>
  <c r="P759" i="10"/>
  <c r="P815" i="10" s="1"/>
  <c r="CE76" i="10"/>
  <c r="CB722" i="10"/>
  <c r="D236" i="10"/>
  <c r="B446" i="10" s="1"/>
  <c r="AP730" i="10"/>
  <c r="D329" i="10"/>
  <c r="BK730" i="10"/>
  <c r="D361" i="10"/>
  <c r="C439" i="10"/>
  <c r="F516" i="10"/>
  <c r="F517" i="10"/>
  <c r="CE65" i="10"/>
  <c r="CE66" i="10"/>
  <c r="O736" i="10"/>
  <c r="E75" i="10"/>
  <c r="N736" i="10" s="1"/>
  <c r="O744" i="10"/>
  <c r="M75" i="10"/>
  <c r="N744" i="10" s="1"/>
  <c r="O752" i="10"/>
  <c r="U75" i="10"/>
  <c r="N752" i="10" s="1"/>
  <c r="O762" i="10"/>
  <c r="AE75" i="10"/>
  <c r="N762" i="10" s="1"/>
  <c r="O770" i="10"/>
  <c r="AM75" i="10"/>
  <c r="N770" i="10" s="1"/>
  <c r="O778" i="10"/>
  <c r="AU75" i="10"/>
  <c r="N778" i="10" s="1"/>
  <c r="D75" i="10"/>
  <c r="N735" i="10" s="1"/>
  <c r="Q75" i="10"/>
  <c r="N748" i="10" s="1"/>
  <c r="T816" i="10"/>
  <c r="L612" i="10"/>
  <c r="AM722" i="10"/>
  <c r="E202" i="10"/>
  <c r="C474" i="10" s="1"/>
  <c r="AY722" i="10"/>
  <c r="E210" i="10"/>
  <c r="BJ722" i="10"/>
  <c r="D217" i="10"/>
  <c r="E213" i="10"/>
  <c r="D260" i="10"/>
  <c r="H536" i="10"/>
  <c r="F536" i="10"/>
  <c r="I815" i="10"/>
  <c r="F75" i="10"/>
  <c r="N737" i="10" s="1"/>
  <c r="AD75" i="10"/>
  <c r="N761" i="10" s="1"/>
  <c r="AQ75" i="10"/>
  <c r="N774" i="10" s="1"/>
  <c r="D173" i="10"/>
  <c r="D428" i="10" s="1"/>
  <c r="E199" i="10"/>
  <c r="D319" i="10"/>
  <c r="M817" i="10"/>
  <c r="BO730" i="10"/>
  <c r="B458" i="10"/>
  <c r="D435" i="10"/>
  <c r="H504" i="10"/>
  <c r="F504" i="10"/>
  <c r="F513" i="10"/>
  <c r="CE64" i="10"/>
  <c r="O738" i="10"/>
  <c r="G75" i="10"/>
  <c r="N738" i="10" s="1"/>
  <c r="O746" i="10"/>
  <c r="O75" i="10"/>
  <c r="N746" i="10" s="1"/>
  <c r="O754" i="10"/>
  <c r="W75" i="10"/>
  <c r="N754" i="10" s="1"/>
  <c r="H75" i="10"/>
  <c r="N739" i="10" s="1"/>
  <c r="T75" i="10"/>
  <c r="N751" i="10" s="1"/>
  <c r="AF75" i="10"/>
  <c r="N763" i="10" s="1"/>
  <c r="AR75" i="10"/>
  <c r="N775" i="10" s="1"/>
  <c r="E139" i="10"/>
  <c r="C415" i="10" s="1"/>
  <c r="E203" i="10"/>
  <c r="C475" i="10" s="1"/>
  <c r="BT722" i="10"/>
  <c r="D229" i="10"/>
  <c r="H502" i="10"/>
  <c r="H533" i="10"/>
  <c r="F533" i="10"/>
  <c r="F545" i="10"/>
  <c r="H815" i="10"/>
  <c r="O765" i="10"/>
  <c r="AH75" i="10"/>
  <c r="N765" i="10" s="1"/>
  <c r="O773" i="10"/>
  <c r="AP75" i="10"/>
  <c r="N773" i="10" s="1"/>
  <c r="CE74" i="10"/>
  <c r="C464" i="10" s="1"/>
  <c r="I75" i="10"/>
  <c r="N740" i="10" s="1"/>
  <c r="AT75" i="10"/>
  <c r="N777" i="10" s="1"/>
  <c r="D275" i="10"/>
  <c r="S730" i="10"/>
  <c r="D817" i="10"/>
  <c r="BQ730" i="10"/>
  <c r="B427" i="10"/>
  <c r="D390" i="10"/>
  <c r="B441" i="10" s="1"/>
  <c r="B464" i="10"/>
  <c r="B478" i="10"/>
  <c r="H525" i="10"/>
  <c r="F525" i="10"/>
  <c r="G815" i="10"/>
  <c r="U813" i="10"/>
  <c r="U815" i="10" s="1"/>
  <c r="C615" i="10"/>
  <c r="CD71" i="10"/>
  <c r="C575" i="10" s="1"/>
  <c r="H575" i="10" s="1"/>
  <c r="X75" i="10"/>
  <c r="N755" i="10" s="1"/>
  <c r="AI75" i="10"/>
  <c r="N766" i="10" s="1"/>
  <c r="Q816" i="10"/>
  <c r="G612" i="10"/>
  <c r="CF77" i="10"/>
  <c r="B204" i="10"/>
  <c r="E215" i="10"/>
  <c r="I817" i="10"/>
  <c r="BV730" i="10"/>
  <c r="B432" i="10"/>
  <c r="C815" i="10"/>
  <c r="L817" i="10"/>
  <c r="BZ730" i="10"/>
  <c r="F538" i="10"/>
  <c r="Q815" i="10"/>
  <c r="T815" i="10"/>
  <c r="S815" i="10"/>
  <c r="R815" i="10"/>
  <c r="D438" i="10" l="1"/>
  <c r="M815" i="10"/>
  <c r="D330" i="10"/>
  <c r="B476" i="10"/>
  <c r="D277" i="10"/>
  <c r="D292" i="10" s="1"/>
  <c r="D341" i="10" s="1"/>
  <c r="C481" i="10" s="1"/>
  <c r="L815" i="10"/>
  <c r="P816" i="10"/>
  <c r="D612" i="10"/>
  <c r="F816" i="10"/>
  <c r="C429" i="10"/>
  <c r="M816" i="10"/>
  <c r="C458" i="10"/>
  <c r="CF76" i="10"/>
  <c r="AW52" i="10" s="1"/>
  <c r="AW67" i="10" s="1"/>
  <c r="J780" i="10" s="1"/>
  <c r="D816" i="10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A48" i="10"/>
  <c r="CA62" i="10" s="1"/>
  <c r="BK48" i="10"/>
  <c r="BK62" i="10" s="1"/>
  <c r="AU48" i="10"/>
  <c r="AU62" i="10" s="1"/>
  <c r="W48" i="10"/>
  <c r="W62" i="10" s="1"/>
  <c r="AR48" i="10"/>
  <c r="AR62" i="10" s="1"/>
  <c r="L48" i="10"/>
  <c r="L62" i="10" s="1"/>
  <c r="BG48" i="10"/>
  <c r="BG62" i="10" s="1"/>
  <c r="BN48" i="10"/>
  <c r="BN62" i="10" s="1"/>
  <c r="R48" i="10"/>
  <c r="R62" i="10" s="1"/>
  <c r="O48" i="10"/>
  <c r="O62" i="10" s="1"/>
  <c r="D48" i="10"/>
  <c r="D62" i="10" s="1"/>
  <c r="BO48" i="10"/>
  <c r="BO62" i="10" s="1"/>
  <c r="AQ48" i="10"/>
  <c r="AQ62" i="10" s="1"/>
  <c r="S48" i="10"/>
  <c r="S62" i="10" s="1"/>
  <c r="BV48" i="10"/>
  <c r="BV62" i="10" s="1"/>
  <c r="AP48" i="10"/>
  <c r="AP62" i="10" s="1"/>
  <c r="Z48" i="10"/>
  <c r="Z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AY48" i="10"/>
  <c r="AY62" i="10" s="1"/>
  <c r="C48" i="10"/>
  <c r="BF48" i="10"/>
  <c r="B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AA48" i="10"/>
  <c r="AA62" i="10" s="1"/>
  <c r="BX48" i="10"/>
  <c r="BX62" i="10" s="1"/>
  <c r="BP48" i="10"/>
  <c r="BP62" i="10" s="1"/>
  <c r="BH48" i="10"/>
  <c r="BH62" i="10" s="1"/>
  <c r="AZ48" i="10"/>
  <c r="AZ62" i="10" s="1"/>
  <c r="AJ48" i="10"/>
  <c r="AJ62" i="10" s="1"/>
  <c r="T48" i="10"/>
  <c r="T62" i="10" s="1"/>
  <c r="BW48" i="10"/>
  <c r="BW62" i="10" s="1"/>
  <c r="AI48" i="10"/>
  <c r="AI62" i="10" s="1"/>
  <c r="AX48" i="10"/>
  <c r="AX62" i="10" s="1"/>
  <c r="AH48" i="10"/>
  <c r="AH62" i="10" s="1"/>
  <c r="J48" i="10"/>
  <c r="J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S48" i="10"/>
  <c r="BS62" i="10" s="1"/>
  <c r="BC48" i="10"/>
  <c r="BC62" i="10" s="1"/>
  <c r="AM48" i="10"/>
  <c r="AM62" i="10" s="1"/>
  <c r="AE48" i="10"/>
  <c r="AE62" i="10" s="1"/>
  <c r="G48" i="10"/>
  <c r="G62" i="10" s="1"/>
  <c r="AB48" i="10"/>
  <c r="AB62" i="10" s="1"/>
  <c r="K48" i="10"/>
  <c r="K62" i="10" s="1"/>
  <c r="D339" i="10"/>
  <c r="C482" i="10" s="1"/>
  <c r="K816" i="10"/>
  <c r="C434" i="10"/>
  <c r="D815" i="10"/>
  <c r="G816" i="10"/>
  <c r="F612" i="10"/>
  <c r="C430" i="10"/>
  <c r="N817" i="10"/>
  <c r="D368" i="10"/>
  <c r="D373" i="10" s="1"/>
  <c r="D391" i="10" s="1"/>
  <c r="D393" i="10" s="1"/>
  <c r="D396" i="10" s="1"/>
  <c r="B465" i="10"/>
  <c r="I816" i="10"/>
  <c r="C432" i="10"/>
  <c r="AV52" i="10"/>
  <c r="AV67" i="10" s="1"/>
  <c r="J779" i="10" s="1"/>
  <c r="N734" i="10"/>
  <c r="N815" i="10" s="1"/>
  <c r="CE75" i="10"/>
  <c r="BS52" i="10"/>
  <c r="BS67" i="10" s="1"/>
  <c r="J802" i="10" s="1"/>
  <c r="C472" i="10"/>
  <c r="E204" i="10"/>
  <c r="C476" i="10" s="1"/>
  <c r="H816" i="10"/>
  <c r="C431" i="10"/>
  <c r="L816" i="10"/>
  <c r="C440" i="10"/>
  <c r="O816" i="10"/>
  <c r="C463" i="10"/>
  <c r="E217" i="10"/>
  <c r="C478" i="10" s="1"/>
  <c r="CA52" i="10"/>
  <c r="CA67" i="10" s="1"/>
  <c r="J810" i="10" s="1"/>
  <c r="O815" i="10"/>
  <c r="B445" i="10"/>
  <c r="D242" i="10"/>
  <c r="B448" i="10" s="1"/>
  <c r="AH52" i="10" l="1"/>
  <c r="AH67" i="10" s="1"/>
  <c r="J765" i="10" s="1"/>
  <c r="J52" i="10"/>
  <c r="J67" i="10" s="1"/>
  <c r="J741" i="10" s="1"/>
  <c r="AD52" i="10"/>
  <c r="AD67" i="10" s="1"/>
  <c r="J761" i="10" s="1"/>
  <c r="D52" i="10"/>
  <c r="D67" i="10" s="1"/>
  <c r="J735" i="10" s="1"/>
  <c r="BP52" i="10"/>
  <c r="BP67" i="10" s="1"/>
  <c r="J799" i="10" s="1"/>
  <c r="O52" i="10"/>
  <c r="O67" i="10" s="1"/>
  <c r="J746" i="10" s="1"/>
  <c r="U52" i="10"/>
  <c r="U67" i="10" s="1"/>
  <c r="J752" i="10" s="1"/>
  <c r="Q52" i="10"/>
  <c r="Q67" i="10" s="1"/>
  <c r="J748" i="10" s="1"/>
  <c r="AC52" i="10"/>
  <c r="AC67" i="10" s="1"/>
  <c r="J760" i="10" s="1"/>
  <c r="S52" i="10"/>
  <c r="S67" i="10" s="1"/>
  <c r="J750" i="10" s="1"/>
  <c r="AX52" i="10"/>
  <c r="AX67" i="10" s="1"/>
  <c r="J781" i="10" s="1"/>
  <c r="BO52" i="10"/>
  <c r="BO67" i="10" s="1"/>
  <c r="J798" i="10" s="1"/>
  <c r="AE52" i="10"/>
  <c r="AE67" i="10" s="1"/>
  <c r="J762" i="10" s="1"/>
  <c r="AG52" i="10"/>
  <c r="AG67" i="10" s="1"/>
  <c r="J764" i="10" s="1"/>
  <c r="Y52" i="10"/>
  <c r="Y67" i="10" s="1"/>
  <c r="J756" i="10" s="1"/>
  <c r="BZ52" i="10"/>
  <c r="BZ67" i="10" s="1"/>
  <c r="J809" i="10" s="1"/>
  <c r="AK52" i="10"/>
  <c r="AK67" i="10" s="1"/>
  <c r="J768" i="10" s="1"/>
  <c r="AP52" i="10"/>
  <c r="AP67" i="10" s="1"/>
  <c r="J773" i="10" s="1"/>
  <c r="AL52" i="10"/>
  <c r="AL67" i="10" s="1"/>
  <c r="J769" i="10" s="1"/>
  <c r="C52" i="10"/>
  <c r="C67" i="10" s="1"/>
  <c r="V52" i="10"/>
  <c r="V67" i="10" s="1"/>
  <c r="J753" i="10" s="1"/>
  <c r="BB52" i="10"/>
  <c r="BB67" i="10" s="1"/>
  <c r="J785" i="10" s="1"/>
  <c r="AJ52" i="10"/>
  <c r="AJ67" i="10" s="1"/>
  <c r="J767" i="10" s="1"/>
  <c r="BU52" i="10"/>
  <c r="BU67" i="10" s="1"/>
  <c r="J804" i="10" s="1"/>
  <c r="AU52" i="10"/>
  <c r="AU67" i="10" s="1"/>
  <c r="J778" i="10" s="1"/>
  <c r="BA52" i="10"/>
  <c r="BA67" i="10" s="1"/>
  <c r="J784" i="10" s="1"/>
  <c r="BH52" i="10"/>
  <c r="BH67" i="10" s="1"/>
  <c r="J791" i="10" s="1"/>
  <c r="BN52" i="10"/>
  <c r="BN67" i="10" s="1"/>
  <c r="J797" i="10" s="1"/>
  <c r="BL52" i="10"/>
  <c r="BL67" i="10" s="1"/>
  <c r="J795" i="10" s="1"/>
  <c r="X52" i="10"/>
  <c r="X67" i="10" s="1"/>
  <c r="J755" i="10" s="1"/>
  <c r="AZ52" i="10"/>
  <c r="AZ67" i="10" s="1"/>
  <c r="J783" i="10" s="1"/>
  <c r="AR52" i="10"/>
  <c r="AR67" i="10" s="1"/>
  <c r="J775" i="10" s="1"/>
  <c r="BX52" i="10"/>
  <c r="BX67" i="10" s="1"/>
  <c r="J807" i="10" s="1"/>
  <c r="BE52" i="10"/>
  <c r="BE67" i="10" s="1"/>
  <c r="J788" i="10" s="1"/>
  <c r="E52" i="10"/>
  <c r="E67" i="10" s="1"/>
  <c r="J736" i="10" s="1"/>
  <c r="BF52" i="10"/>
  <c r="BF67" i="10" s="1"/>
  <c r="J789" i="10" s="1"/>
  <c r="F52" i="10"/>
  <c r="F67" i="10" s="1"/>
  <c r="J737" i="10" s="1"/>
  <c r="BR52" i="10"/>
  <c r="BR67" i="10" s="1"/>
  <c r="J801" i="10" s="1"/>
  <c r="AQ52" i="10"/>
  <c r="AQ67" i="10" s="1"/>
  <c r="J774" i="10" s="1"/>
  <c r="I52" i="10"/>
  <c r="I67" i="10" s="1"/>
  <c r="J740" i="10" s="1"/>
  <c r="BK52" i="10"/>
  <c r="BK67" i="10" s="1"/>
  <c r="J794" i="10" s="1"/>
  <c r="L52" i="10"/>
  <c r="L67" i="10" s="1"/>
  <c r="J743" i="10" s="1"/>
  <c r="BJ52" i="10"/>
  <c r="BJ67" i="10" s="1"/>
  <c r="J793" i="10" s="1"/>
  <c r="AT52" i="10"/>
  <c r="AT67" i="10" s="1"/>
  <c r="J777" i="10" s="1"/>
  <c r="T52" i="10"/>
  <c r="T67" i="10" s="1"/>
  <c r="J751" i="10" s="1"/>
  <c r="Z52" i="10"/>
  <c r="Z67" i="10" s="1"/>
  <c r="J757" i="10" s="1"/>
  <c r="CC52" i="10"/>
  <c r="CC67" i="10" s="1"/>
  <c r="J812" i="10" s="1"/>
  <c r="BV52" i="10"/>
  <c r="BV67" i="10" s="1"/>
  <c r="J805" i="10" s="1"/>
  <c r="E764" i="10"/>
  <c r="AG71" i="10"/>
  <c r="E776" i="10"/>
  <c r="E737" i="10"/>
  <c r="F71" i="10"/>
  <c r="E735" i="10"/>
  <c r="E778" i="10"/>
  <c r="AU71" i="10"/>
  <c r="E779" i="10"/>
  <c r="AV71" i="10"/>
  <c r="E762" i="10"/>
  <c r="AE71" i="10"/>
  <c r="E772" i="10"/>
  <c r="E781" i="10"/>
  <c r="AX71" i="10"/>
  <c r="E807" i="10"/>
  <c r="BX71" i="10"/>
  <c r="E784" i="10"/>
  <c r="BA71" i="10"/>
  <c r="E745" i="10"/>
  <c r="E809" i="10"/>
  <c r="E746" i="10"/>
  <c r="O71" i="10"/>
  <c r="E794" i="10"/>
  <c r="E787" i="10"/>
  <c r="E765" i="10"/>
  <c r="AH71" i="10"/>
  <c r="E770" i="10"/>
  <c r="E753" i="10"/>
  <c r="V71" i="10"/>
  <c r="E795" i="10"/>
  <c r="BL71" i="10"/>
  <c r="E786" i="10"/>
  <c r="E788" i="10"/>
  <c r="BE71" i="10"/>
  <c r="E806" i="10"/>
  <c r="E736" i="10"/>
  <c r="E71" i="10"/>
  <c r="E800" i="10"/>
  <c r="E761" i="10"/>
  <c r="AD71" i="10"/>
  <c r="E773" i="10"/>
  <c r="AP71" i="10"/>
  <c r="E797" i="10"/>
  <c r="E739" i="10"/>
  <c r="E803" i="10"/>
  <c r="E757" i="10"/>
  <c r="E799" i="10"/>
  <c r="BP71" i="10"/>
  <c r="E766" i="10"/>
  <c r="E749" i="10"/>
  <c r="E751" i="10"/>
  <c r="T71" i="10"/>
  <c r="E744" i="10"/>
  <c r="E805" i="10"/>
  <c r="E811" i="10"/>
  <c r="E740" i="10"/>
  <c r="E804" i="10"/>
  <c r="BU71" i="10"/>
  <c r="E767" i="10"/>
  <c r="AJ71" i="10"/>
  <c r="E752" i="10"/>
  <c r="U71" i="10"/>
  <c r="E789" i="10"/>
  <c r="E777" i="10"/>
  <c r="AT71" i="10"/>
  <c r="E750" i="10"/>
  <c r="S71" i="10"/>
  <c r="E743" i="10"/>
  <c r="E755" i="10"/>
  <c r="X71" i="10"/>
  <c r="E780" i="10"/>
  <c r="AW71" i="10"/>
  <c r="E792" i="10"/>
  <c r="E810" i="10"/>
  <c r="CA71" i="10"/>
  <c r="N816" i="10"/>
  <c r="C465" i="10"/>
  <c r="K612" i="10"/>
  <c r="E802" i="10"/>
  <c r="BS71" i="10"/>
  <c r="E808" i="10"/>
  <c r="E747" i="10"/>
  <c r="E748" i="10"/>
  <c r="Q71" i="10"/>
  <c r="E760" i="10"/>
  <c r="AC71" i="10"/>
  <c r="E785" i="10"/>
  <c r="BB71" i="10"/>
  <c r="E774" i="10"/>
  <c r="AQ71" i="10"/>
  <c r="E763" i="10"/>
  <c r="E758" i="10"/>
  <c r="E796" i="10"/>
  <c r="E769" i="10"/>
  <c r="AL71" i="10"/>
  <c r="E790" i="10"/>
  <c r="E742" i="10"/>
  <c r="E812" i="10"/>
  <c r="CC71" i="10"/>
  <c r="E783" i="10"/>
  <c r="AZ71" i="10"/>
  <c r="CE48" i="10"/>
  <c r="C62" i="10"/>
  <c r="E775" i="10"/>
  <c r="E759" i="10"/>
  <c r="E756" i="10"/>
  <c r="Y71" i="10"/>
  <c r="E741" i="10"/>
  <c r="J71" i="10"/>
  <c r="E791" i="10"/>
  <c r="BH71" i="10"/>
  <c r="E768" i="10"/>
  <c r="AK71" i="10"/>
  <c r="E782" i="10"/>
  <c r="E793" i="10"/>
  <c r="E798" i="10"/>
  <c r="E754" i="10"/>
  <c r="E771" i="10"/>
  <c r="P52" i="10"/>
  <c r="P67" i="10" s="1"/>
  <c r="J747" i="10" s="1"/>
  <c r="AS52" i="10"/>
  <c r="AS67" i="10" s="1"/>
  <c r="J776" i="10" s="1"/>
  <c r="BT52" i="10"/>
  <c r="BT67" i="10" s="1"/>
  <c r="J803" i="10" s="1"/>
  <c r="H52" i="10"/>
  <c r="H67" i="10" s="1"/>
  <c r="J739" i="10" s="1"/>
  <c r="BC52" i="10"/>
  <c r="BC67" i="10" s="1"/>
  <c r="J786" i="10" s="1"/>
  <c r="AM52" i="10"/>
  <c r="AM67" i="10" s="1"/>
  <c r="J770" i="10" s="1"/>
  <c r="BD52" i="10"/>
  <c r="BD67" i="10" s="1"/>
  <c r="J787" i="10" s="1"/>
  <c r="BW52" i="10"/>
  <c r="BW67" i="10" s="1"/>
  <c r="J806" i="10" s="1"/>
  <c r="K52" i="10"/>
  <c r="K67" i="10" s="1"/>
  <c r="J742" i="10" s="1"/>
  <c r="BY52" i="10"/>
  <c r="BY67" i="10" s="1"/>
  <c r="J808" i="10" s="1"/>
  <c r="BG52" i="10"/>
  <c r="BG67" i="10" s="1"/>
  <c r="J790" i="10" s="1"/>
  <c r="AF52" i="10"/>
  <c r="AF67" i="10" s="1"/>
  <c r="J763" i="10" s="1"/>
  <c r="W52" i="10"/>
  <c r="W67" i="10" s="1"/>
  <c r="J754" i="10" s="1"/>
  <c r="BI52" i="10"/>
  <c r="BI67" i="10" s="1"/>
  <c r="J792" i="10" s="1"/>
  <c r="AN52" i="10"/>
  <c r="AN67" i="10" s="1"/>
  <c r="J771" i="10" s="1"/>
  <c r="M52" i="10"/>
  <c r="M67" i="10" s="1"/>
  <c r="J744" i="10" s="1"/>
  <c r="AY52" i="10"/>
  <c r="AY67" i="10" s="1"/>
  <c r="J782" i="10" s="1"/>
  <c r="G52" i="10"/>
  <c r="G67" i="10" s="1"/>
  <c r="J738" i="10" s="1"/>
  <c r="CB52" i="10"/>
  <c r="CB67" i="10" s="1"/>
  <c r="J811" i="10" s="1"/>
  <c r="AI52" i="10"/>
  <c r="AI67" i="10" s="1"/>
  <c r="J766" i="10" s="1"/>
  <c r="R52" i="10"/>
  <c r="R67" i="10" s="1"/>
  <c r="J749" i="10" s="1"/>
  <c r="AA52" i="10"/>
  <c r="AA67" i="10" s="1"/>
  <c r="J758" i="10" s="1"/>
  <c r="BM52" i="10"/>
  <c r="BM67" i="10" s="1"/>
  <c r="J796" i="10" s="1"/>
  <c r="N52" i="10"/>
  <c r="N67" i="10" s="1"/>
  <c r="J745" i="10" s="1"/>
  <c r="AO52" i="10"/>
  <c r="AO67" i="10" s="1"/>
  <c r="J772" i="10" s="1"/>
  <c r="BQ52" i="10"/>
  <c r="BQ67" i="10" s="1"/>
  <c r="J800" i="10" s="1"/>
  <c r="AB52" i="10"/>
  <c r="AB67" i="10" s="1"/>
  <c r="J759" i="10" s="1"/>
  <c r="E738" i="10"/>
  <c r="E801" i="10"/>
  <c r="BR71" i="10"/>
  <c r="BV71" i="10" l="1"/>
  <c r="BN71" i="10"/>
  <c r="BZ71" i="10"/>
  <c r="D71" i="10"/>
  <c r="C669" i="10" s="1"/>
  <c r="BO71" i="10"/>
  <c r="BF71" i="10"/>
  <c r="I71" i="10"/>
  <c r="BJ71" i="10"/>
  <c r="C555" i="10" s="1"/>
  <c r="H555" i="10" s="1"/>
  <c r="AR71" i="10"/>
  <c r="L71" i="10"/>
  <c r="CB71" i="10"/>
  <c r="M71" i="10"/>
  <c r="C678" i="10" s="1"/>
  <c r="Z71" i="10"/>
  <c r="C691" i="10" s="1"/>
  <c r="G71" i="10"/>
  <c r="BI71" i="10"/>
  <c r="BK71" i="10"/>
  <c r="C556" i="10" s="1"/>
  <c r="H556" i="10" s="1"/>
  <c r="J734" i="10"/>
  <c r="J815" i="10" s="1"/>
  <c r="CE67" i="10"/>
  <c r="C711" i="10"/>
  <c r="C539" i="10"/>
  <c r="G539" i="10" s="1"/>
  <c r="C566" i="10"/>
  <c r="H566" i="10" s="1"/>
  <c r="C641" i="10"/>
  <c r="AN71" i="10"/>
  <c r="AY71" i="10"/>
  <c r="C690" i="10"/>
  <c r="C518" i="10"/>
  <c r="C628" i="10"/>
  <c r="C545" i="10"/>
  <c r="C531" i="10"/>
  <c r="C703" i="10"/>
  <c r="C708" i="10"/>
  <c r="C536" i="10"/>
  <c r="G536" i="10" s="1"/>
  <c r="P71" i="10"/>
  <c r="CE52" i="10"/>
  <c r="C621" i="10"/>
  <c r="C561" i="10"/>
  <c r="H561" i="10" s="1"/>
  <c r="C619" i="10"/>
  <c r="C559" i="10"/>
  <c r="H559" i="10" s="1"/>
  <c r="C498" i="10"/>
  <c r="C670" i="10"/>
  <c r="C557" i="10"/>
  <c r="H557" i="10" s="1"/>
  <c r="C637" i="10"/>
  <c r="BD71" i="10"/>
  <c r="N71" i="10"/>
  <c r="AO71" i="10"/>
  <c r="C497" i="10"/>
  <c r="G497" i="10" s="1"/>
  <c r="C572" i="10"/>
  <c r="H572" i="10" s="1"/>
  <c r="C647" i="10"/>
  <c r="C689" i="10"/>
  <c r="C517" i="10"/>
  <c r="C629" i="10"/>
  <c r="C551" i="10"/>
  <c r="H551" i="10" s="1"/>
  <c r="C674" i="10"/>
  <c r="C502" i="10"/>
  <c r="G502" i="10" s="1"/>
  <c r="C513" i="10"/>
  <c r="C685" i="10"/>
  <c r="W71" i="10"/>
  <c r="C702" i="10"/>
  <c r="C530" i="10"/>
  <c r="AB71" i="10"/>
  <c r="C574" i="10"/>
  <c r="H574" i="10" s="1"/>
  <c r="C620" i="10"/>
  <c r="BM71" i="10"/>
  <c r="C547" i="10"/>
  <c r="C632" i="10"/>
  <c r="BY71" i="10"/>
  <c r="C707" i="10"/>
  <c r="C535" i="10"/>
  <c r="G535" i="10" s="1"/>
  <c r="BW71" i="10"/>
  <c r="C687" i="10"/>
  <c r="C515" i="10"/>
  <c r="G515" i="10" s="1"/>
  <c r="C630" i="10"/>
  <c r="C546" i="10"/>
  <c r="C696" i="10"/>
  <c r="C524" i="10"/>
  <c r="C671" i="10"/>
  <c r="C499" i="10"/>
  <c r="G499" i="10" s="1"/>
  <c r="C686" i="10"/>
  <c r="C514" i="10"/>
  <c r="C627" i="10"/>
  <c r="C560" i="10"/>
  <c r="H560" i="10" s="1"/>
  <c r="C636" i="10"/>
  <c r="C553" i="10"/>
  <c r="H553" i="10" s="1"/>
  <c r="C709" i="10"/>
  <c r="C537" i="10"/>
  <c r="G537" i="10" s="1"/>
  <c r="K71" i="10"/>
  <c r="AA71" i="10"/>
  <c r="C694" i="10"/>
  <c r="C522" i="10"/>
  <c r="C639" i="10"/>
  <c r="C564" i="10"/>
  <c r="H564" i="10" s="1"/>
  <c r="R71" i="10"/>
  <c r="BT71" i="10"/>
  <c r="C695" i="10"/>
  <c r="C523" i="10"/>
  <c r="G523" i="10" s="1"/>
  <c r="C614" i="10"/>
  <c r="C550" i="10"/>
  <c r="AM71" i="10"/>
  <c r="C680" i="10"/>
  <c r="C508" i="10"/>
  <c r="C644" i="10"/>
  <c r="C569" i="10"/>
  <c r="H569" i="10" s="1"/>
  <c r="C713" i="10"/>
  <c r="C541" i="10"/>
  <c r="H541" i="10" s="1"/>
  <c r="AS71" i="10"/>
  <c r="C563" i="10"/>
  <c r="H563" i="10" s="1"/>
  <c r="C626" i="10"/>
  <c r="C677" i="10"/>
  <c r="C505" i="10"/>
  <c r="G505" i="10" s="1"/>
  <c r="C631" i="10"/>
  <c r="C542" i="10"/>
  <c r="C684" i="10"/>
  <c r="C512" i="10"/>
  <c r="C701" i="10"/>
  <c r="C529" i="10"/>
  <c r="C642" i="10"/>
  <c r="C567" i="10"/>
  <c r="H567" i="10" s="1"/>
  <c r="C672" i="10"/>
  <c r="C500" i="10"/>
  <c r="G500" i="10" s="1"/>
  <c r="C634" i="10"/>
  <c r="C554" i="10"/>
  <c r="H554" i="10" s="1"/>
  <c r="C622" i="10"/>
  <c r="C573" i="10"/>
  <c r="H573" i="10" s="1"/>
  <c r="C617" i="10"/>
  <c r="C675" i="10"/>
  <c r="C503" i="10"/>
  <c r="E734" i="10"/>
  <c r="E815" i="10" s="1"/>
  <c r="CE62" i="10"/>
  <c r="C71" i="10"/>
  <c r="BG71" i="10"/>
  <c r="AF71" i="10"/>
  <c r="C682" i="10"/>
  <c r="C510" i="10"/>
  <c r="AI71" i="10"/>
  <c r="H71" i="10"/>
  <c r="BQ71" i="10"/>
  <c r="BC71" i="10"/>
  <c r="C699" i="10"/>
  <c r="C527" i="10"/>
  <c r="G527" i="10" s="1"/>
  <c r="C571" i="10"/>
  <c r="C646" i="10"/>
  <c r="C543" i="10"/>
  <c r="H543" i="10" s="1"/>
  <c r="C616" i="10"/>
  <c r="C712" i="10"/>
  <c r="C540" i="10"/>
  <c r="G540" i="10" s="1"/>
  <c r="C698" i="10"/>
  <c r="C526" i="10"/>
  <c r="C506" i="10" l="1"/>
  <c r="G506" i="10" s="1"/>
  <c r="C635" i="10"/>
  <c r="C519" i="10"/>
  <c r="C633" i="10"/>
  <c r="C548" i="10"/>
  <c r="C623" i="10"/>
  <c r="C562" i="10"/>
  <c r="E816" i="10"/>
  <c r="C428" i="10"/>
  <c r="CE71" i="10"/>
  <c r="C716" i="10" s="1"/>
  <c r="G512" i="10"/>
  <c r="H512" i="10"/>
  <c r="C710" i="10"/>
  <c r="C538" i="10"/>
  <c r="G538" i="10" s="1"/>
  <c r="G550" i="10"/>
  <c r="H550" i="10" s="1"/>
  <c r="G522" i="10"/>
  <c r="H522" i="10" s="1"/>
  <c r="G546" i="10"/>
  <c r="H546" i="10"/>
  <c r="C704" i="10"/>
  <c r="C532" i="10"/>
  <c r="G532" i="10" s="1"/>
  <c r="G498" i="10"/>
  <c r="H498" i="10" s="1"/>
  <c r="D615" i="10"/>
  <c r="H519" i="10"/>
  <c r="G519" i="10"/>
  <c r="C521" i="10"/>
  <c r="C693" i="10"/>
  <c r="C706" i="10"/>
  <c r="C534" i="10"/>
  <c r="G534" i="10" s="1"/>
  <c r="G531" i="10"/>
  <c r="H531" i="10"/>
  <c r="C700" i="10"/>
  <c r="C528" i="10"/>
  <c r="G528" i="10" s="1"/>
  <c r="G503" i="10"/>
  <c r="H503" i="10"/>
  <c r="C692" i="10"/>
  <c r="C520" i="10"/>
  <c r="G514" i="10"/>
  <c r="H514" i="10" s="1"/>
  <c r="G530" i="10"/>
  <c r="H530" i="10"/>
  <c r="C507" i="10"/>
  <c r="G507" i="10" s="1"/>
  <c r="C679" i="10"/>
  <c r="G545" i="10"/>
  <c r="H545" i="10"/>
  <c r="C645" i="10"/>
  <c r="C570" i="10"/>
  <c r="H570" i="10" s="1"/>
  <c r="G517" i="10"/>
  <c r="H517" i="10"/>
  <c r="C565" i="10"/>
  <c r="H565" i="10" s="1"/>
  <c r="C640" i="10"/>
  <c r="C516" i="10"/>
  <c r="C688" i="10"/>
  <c r="G518" i="10"/>
  <c r="H518" i="10"/>
  <c r="C496" i="10"/>
  <c r="G496" i="10" s="1"/>
  <c r="C668" i="10"/>
  <c r="C697" i="10"/>
  <c r="C525" i="10"/>
  <c r="G525" i="10" s="1"/>
  <c r="G508" i="10"/>
  <c r="H508" i="10" s="1"/>
  <c r="C683" i="10"/>
  <c r="C511" i="10"/>
  <c r="C509" i="10"/>
  <c r="C681" i="10"/>
  <c r="C705" i="10"/>
  <c r="C533" i="10"/>
  <c r="G533" i="10" s="1"/>
  <c r="C673" i="10"/>
  <c r="C501" i="10"/>
  <c r="G501" i="10" s="1"/>
  <c r="G510" i="10"/>
  <c r="H510" i="10" s="1"/>
  <c r="C676" i="10"/>
  <c r="C504" i="10"/>
  <c r="G504" i="10" s="1"/>
  <c r="C624" i="10"/>
  <c r="C549" i="10"/>
  <c r="G526" i="10"/>
  <c r="H526" i="10" s="1"/>
  <c r="C618" i="10"/>
  <c r="C552" i="10"/>
  <c r="H552" i="10" s="1"/>
  <c r="G529" i="10"/>
  <c r="H529" i="10"/>
  <c r="G524" i="10"/>
  <c r="H524" i="10"/>
  <c r="C643" i="10"/>
  <c r="C568" i="10"/>
  <c r="H568" i="10" s="1"/>
  <c r="C638" i="10"/>
  <c r="C558" i="10"/>
  <c r="G513" i="10"/>
  <c r="H513" i="10"/>
  <c r="C625" i="10"/>
  <c r="C544" i="10"/>
  <c r="J816" i="10"/>
  <c r="C433" i="10"/>
  <c r="C715" i="10" l="1"/>
  <c r="C648" i="10"/>
  <c r="M716" i="10" s="1"/>
  <c r="Y816" i="10" s="1"/>
  <c r="G516" i="10"/>
  <c r="H516" i="10"/>
  <c r="G520" i="10"/>
  <c r="H520" i="10" s="1"/>
  <c r="C441" i="10"/>
  <c r="E441" i="10" s="1"/>
  <c r="G521" i="10"/>
  <c r="H521" i="10"/>
  <c r="G509" i="10"/>
  <c r="H509" i="10" s="1"/>
  <c r="G511" i="10"/>
  <c r="H511" i="10" s="1"/>
  <c r="G544" i="10"/>
  <c r="H544" i="10" s="1"/>
  <c r="D709" i="10"/>
  <c r="D701" i="10"/>
  <c r="D693" i="10"/>
  <c r="D711" i="10"/>
  <c r="D703" i="10"/>
  <c r="D695" i="10"/>
  <c r="D710" i="10"/>
  <c r="D702" i="10"/>
  <c r="D694" i="10"/>
  <c r="D704" i="10"/>
  <c r="D697" i="10"/>
  <c r="D690" i="10"/>
  <c r="D689" i="10"/>
  <c r="D713" i="10"/>
  <c r="D706" i="10"/>
  <c r="D699" i="10"/>
  <c r="D692" i="10"/>
  <c r="D688" i="10"/>
  <c r="D680" i="10"/>
  <c r="D672" i="10"/>
  <c r="D687" i="10"/>
  <c r="D679" i="10"/>
  <c r="D671" i="10"/>
  <c r="D698" i="10"/>
  <c r="D670" i="10"/>
  <c r="D669" i="10"/>
  <c r="D668" i="10"/>
  <c r="D647" i="10"/>
  <c r="D625" i="10"/>
  <c r="D705" i="10"/>
  <c r="D712" i="10"/>
  <c r="D686" i="10"/>
  <c r="D685" i="10"/>
  <c r="D684" i="10"/>
  <c r="D645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8" i="10"/>
  <c r="D683" i="10"/>
  <c r="D682" i="10"/>
  <c r="D681" i="10"/>
  <c r="D641" i="10"/>
  <c r="D620" i="10"/>
  <c r="D616" i="10"/>
  <c r="D716" i="10"/>
  <c r="D700" i="10"/>
  <c r="D675" i="10"/>
  <c r="D674" i="10"/>
  <c r="D673" i="10"/>
  <c r="D642" i="10"/>
  <c r="D623" i="10"/>
  <c r="D619" i="10"/>
  <c r="D707" i="10"/>
  <c r="D617" i="10"/>
  <c r="D677" i="10"/>
  <c r="D643" i="10"/>
  <c r="D629" i="10"/>
  <c r="D696" i="10"/>
  <c r="D691" i="10"/>
  <c r="D646" i="10"/>
  <c r="D628" i="10"/>
  <c r="D676" i="10"/>
  <c r="D622" i="10"/>
  <c r="D627" i="10"/>
  <c r="D621" i="10"/>
  <c r="D644" i="10"/>
  <c r="D626" i="10"/>
  <c r="D618" i="10"/>
  <c r="D678" i="10"/>
  <c r="E612" i="10" l="1"/>
  <c r="D715" i="10"/>
  <c r="E623" i="10"/>
  <c r="E706" i="10" l="1"/>
  <c r="E698" i="10"/>
  <c r="E690" i="10"/>
  <c r="E708" i="10"/>
  <c r="E700" i="10"/>
  <c r="E692" i="10"/>
  <c r="E716" i="10"/>
  <c r="E707" i="10"/>
  <c r="E699" i="10"/>
  <c r="E691" i="10"/>
  <c r="E712" i="10"/>
  <c r="E705" i="10"/>
  <c r="E685" i="10"/>
  <c r="E677" i="10"/>
  <c r="E669" i="10"/>
  <c r="E709" i="10"/>
  <c r="E702" i="10"/>
  <c r="E695" i="10"/>
  <c r="E684" i="10"/>
  <c r="E676" i="10"/>
  <c r="E668" i="10"/>
  <c r="E711" i="10"/>
  <c r="E696" i="10"/>
  <c r="E643" i="10"/>
  <c r="E628" i="10"/>
  <c r="E703" i="10"/>
  <c r="E644" i="10"/>
  <c r="E629" i="10"/>
  <c r="E626" i="10"/>
  <c r="E710" i="10"/>
  <c r="E697" i="10"/>
  <c r="E687" i="10"/>
  <c r="E683" i="10"/>
  <c r="E682" i="10"/>
  <c r="E681" i="10"/>
  <c r="E641" i="10"/>
  <c r="E693" i="10"/>
  <c r="E688" i="10"/>
  <c r="E680" i="10"/>
  <c r="E679" i="10"/>
  <c r="E678" i="10"/>
  <c r="E646" i="10"/>
  <c r="E627" i="10"/>
  <c r="E713" i="10"/>
  <c r="E689" i="10"/>
  <c r="E672" i="10"/>
  <c r="E671" i="10"/>
  <c r="E670" i="10"/>
  <c r="E647" i="10"/>
  <c r="E625" i="10"/>
  <c r="E640" i="10"/>
  <c r="E632" i="10"/>
  <c r="E637" i="10"/>
  <c r="E701" i="10"/>
  <c r="E674" i="10"/>
  <c r="E634" i="10"/>
  <c r="E624" i="10"/>
  <c r="E642" i="10"/>
  <c r="E639" i="10"/>
  <c r="E631" i="10"/>
  <c r="E645" i="10"/>
  <c r="E636" i="10"/>
  <c r="E704" i="10"/>
  <c r="E694" i="10"/>
  <c r="E686" i="10"/>
  <c r="E673" i="10"/>
  <c r="E633" i="10"/>
  <c r="E675" i="10"/>
  <c r="E635" i="10"/>
  <c r="E630" i="10"/>
  <c r="E638" i="10"/>
  <c r="E715" i="10" l="1"/>
  <c r="F624" i="10"/>
  <c r="F711" i="10" l="1"/>
  <c r="F703" i="10"/>
  <c r="F695" i="10"/>
  <c r="F713" i="10"/>
  <c r="F705" i="10"/>
  <c r="F697" i="10"/>
  <c r="F689" i="10"/>
  <c r="F712" i="10"/>
  <c r="F704" i="10"/>
  <c r="F696" i="10"/>
  <c r="F698" i="10"/>
  <c r="F691" i="10"/>
  <c r="F688" i="10"/>
  <c r="F707" i="10"/>
  <c r="F700" i="10"/>
  <c r="F693" i="10"/>
  <c r="F682" i="10"/>
  <c r="F674" i="10"/>
  <c r="F710" i="10"/>
  <c r="F681" i="10"/>
  <c r="F673" i="10"/>
  <c r="F709" i="10"/>
  <c r="F694" i="10"/>
  <c r="F701" i="10"/>
  <c r="F690" i="10"/>
  <c r="F686" i="10"/>
  <c r="F645" i="10"/>
  <c r="F640" i="10"/>
  <c r="F639" i="10"/>
  <c r="F638" i="10"/>
  <c r="F637" i="10"/>
  <c r="F636" i="10"/>
  <c r="F635" i="10"/>
  <c r="F634" i="10"/>
  <c r="F633" i="10"/>
  <c r="F632" i="10"/>
  <c r="F631" i="10"/>
  <c r="F630" i="10"/>
  <c r="F708" i="10"/>
  <c r="F680" i="10"/>
  <c r="F679" i="10"/>
  <c r="F678" i="10"/>
  <c r="F646" i="10"/>
  <c r="F627" i="10"/>
  <c r="F706" i="10"/>
  <c r="F677" i="10"/>
  <c r="F676" i="10"/>
  <c r="F675" i="10"/>
  <c r="F642" i="10"/>
  <c r="F669" i="10"/>
  <c r="F668" i="10"/>
  <c r="F643" i="10"/>
  <c r="F628" i="10"/>
  <c r="F702" i="10"/>
  <c r="F692" i="10"/>
  <c r="F685" i="10"/>
  <c r="F672" i="10"/>
  <c r="F629" i="10"/>
  <c r="F625" i="10"/>
  <c r="F687" i="10"/>
  <c r="F716" i="10"/>
  <c r="F684" i="10"/>
  <c r="F671" i="10"/>
  <c r="F699" i="10"/>
  <c r="F641" i="10"/>
  <c r="F647" i="10"/>
  <c r="F670" i="10"/>
  <c r="F626" i="10"/>
  <c r="F644" i="10"/>
  <c r="F683" i="10"/>
  <c r="F715" i="10" l="1"/>
  <c r="G625" i="10"/>
  <c r="G708" i="10" l="1"/>
  <c r="G700" i="10"/>
  <c r="G692" i="10"/>
  <c r="G710" i="10"/>
  <c r="G702" i="10"/>
  <c r="G694" i="10"/>
  <c r="G709" i="10"/>
  <c r="G701" i="10"/>
  <c r="G693" i="10"/>
  <c r="G713" i="10"/>
  <c r="G706" i="10"/>
  <c r="G699" i="10"/>
  <c r="G716" i="10"/>
  <c r="G687" i="10"/>
  <c r="G679" i="10"/>
  <c r="G671" i="10"/>
  <c r="G703" i="10"/>
  <c r="G696" i="10"/>
  <c r="G686" i="10"/>
  <c r="G678" i="10"/>
  <c r="G670" i="10"/>
  <c r="G647" i="10"/>
  <c r="G646" i="10"/>
  <c r="G645" i="10"/>
  <c r="G707" i="10"/>
  <c r="G644" i="10"/>
  <c r="G629" i="10"/>
  <c r="G626" i="10"/>
  <c r="G685" i="10"/>
  <c r="G684" i="10"/>
  <c r="G683" i="10"/>
  <c r="G641" i="10"/>
  <c r="G695" i="10"/>
  <c r="G688" i="10"/>
  <c r="G677" i="10"/>
  <c r="G676" i="10"/>
  <c r="G675" i="10"/>
  <c r="G642" i="10"/>
  <c r="G704" i="10"/>
  <c r="G691" i="10"/>
  <c r="G674" i="10"/>
  <c r="G673" i="10"/>
  <c r="G672" i="10"/>
  <c r="G711" i="10"/>
  <c r="G698" i="10"/>
  <c r="G712" i="10"/>
  <c r="G697" i="10"/>
  <c r="G643" i="10"/>
  <c r="G637" i="10"/>
  <c r="G682" i="10"/>
  <c r="G669" i="10"/>
  <c r="G634" i="10"/>
  <c r="G639" i="10"/>
  <c r="G631" i="10"/>
  <c r="G628" i="10"/>
  <c r="G705" i="10"/>
  <c r="G690" i="10"/>
  <c r="G636" i="10"/>
  <c r="G681" i="10"/>
  <c r="G668" i="10"/>
  <c r="G633" i="10"/>
  <c r="G627" i="10"/>
  <c r="G689" i="10"/>
  <c r="G638" i="10"/>
  <c r="G630" i="10"/>
  <c r="G680" i="10"/>
  <c r="G640" i="10"/>
  <c r="G632" i="10"/>
  <c r="G635" i="10"/>
  <c r="H628" i="10" l="1"/>
  <c r="H713" i="10" s="1"/>
  <c r="G715" i="10"/>
  <c r="H705" i="10"/>
  <c r="H697" i="10"/>
  <c r="H716" i="10"/>
  <c r="H707" i="10"/>
  <c r="H699" i="10"/>
  <c r="H691" i="10"/>
  <c r="H706" i="10"/>
  <c r="H698" i="10"/>
  <c r="H690" i="10"/>
  <c r="H692" i="10"/>
  <c r="H708" i="10"/>
  <c r="H701" i="10"/>
  <c r="H694" i="10"/>
  <c r="H684" i="10"/>
  <c r="H676" i="10"/>
  <c r="H668" i="10"/>
  <c r="H711" i="10"/>
  <c r="H704" i="10"/>
  <c r="H689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2" i="10"/>
  <c r="H687" i="10"/>
  <c r="H682" i="10"/>
  <c r="H681" i="10"/>
  <c r="H680" i="10"/>
  <c r="H693" i="10"/>
  <c r="H674" i="10"/>
  <c r="H673" i="10"/>
  <c r="H672" i="10"/>
  <c r="H702" i="10"/>
  <c r="H671" i="10"/>
  <c r="H670" i="10"/>
  <c r="H669" i="10"/>
  <c r="H647" i="10"/>
  <c r="H709" i="10"/>
  <c r="H696" i="10"/>
  <c r="H629" i="10"/>
  <c r="H677" i="10"/>
  <c r="H646" i="10"/>
  <c r="H679" i="10"/>
  <c r="H710" i="10"/>
  <c r="H700" i="10"/>
  <c r="H695" i="10"/>
  <c r="H645" i="10"/>
  <c r="H686" i="10"/>
  <c r="H678" i="10"/>
  <c r="H688" i="10"/>
  <c r="H685" i="10"/>
  <c r="H703" i="10"/>
  <c r="H715" i="10" l="1"/>
  <c r="I629" i="10"/>
  <c r="I710" i="10" l="1"/>
  <c r="I702" i="10"/>
  <c r="I694" i="10"/>
  <c r="I712" i="10"/>
  <c r="I704" i="10"/>
  <c r="I696" i="10"/>
  <c r="I711" i="10"/>
  <c r="I703" i="10"/>
  <c r="I695" i="10"/>
  <c r="I707" i="10"/>
  <c r="I700" i="10"/>
  <c r="I693" i="10"/>
  <c r="I687" i="10"/>
  <c r="I709" i="10"/>
  <c r="I681" i="10"/>
  <c r="I673" i="10"/>
  <c r="I697" i="10"/>
  <c r="I690" i="10"/>
  <c r="I688" i="10"/>
  <c r="I680" i="10"/>
  <c r="I672" i="10"/>
  <c r="I705" i="10"/>
  <c r="I692" i="10"/>
  <c r="I686" i="10"/>
  <c r="I685" i="10"/>
  <c r="I645" i="10"/>
  <c r="I640" i="10"/>
  <c r="I699" i="10"/>
  <c r="I679" i="10"/>
  <c r="I678" i="10"/>
  <c r="I677" i="10"/>
  <c r="I646" i="10"/>
  <c r="I706" i="10"/>
  <c r="I691" i="10"/>
  <c r="I671" i="10"/>
  <c r="I670" i="10"/>
  <c r="I669" i="10"/>
  <c r="I647" i="10"/>
  <c r="I716" i="10"/>
  <c r="I689" i="10"/>
  <c r="I668" i="10"/>
  <c r="I643" i="10"/>
  <c r="I644" i="10"/>
  <c r="I639" i="10"/>
  <c r="I638" i="10"/>
  <c r="I637" i="10"/>
  <c r="I636" i="10"/>
  <c r="I635" i="10"/>
  <c r="I634" i="10"/>
  <c r="I633" i="10"/>
  <c r="I632" i="10"/>
  <c r="I631" i="10"/>
  <c r="I630" i="10"/>
  <c r="I682" i="10"/>
  <c r="I701" i="10"/>
  <c r="I674" i="10"/>
  <c r="I684" i="10"/>
  <c r="I642" i="10"/>
  <c r="I676" i="10"/>
  <c r="I641" i="10"/>
  <c r="I683" i="10"/>
  <c r="I675" i="10"/>
  <c r="I698" i="10"/>
  <c r="I713" i="10"/>
  <c r="I708" i="10"/>
  <c r="I715" i="10" l="1"/>
  <c r="J630" i="10"/>
  <c r="J716" i="10" l="1"/>
  <c r="J707" i="10"/>
  <c r="J699" i="10"/>
  <c r="J691" i="10"/>
  <c r="J709" i="10"/>
  <c r="J701" i="10"/>
  <c r="J693" i="10"/>
  <c r="J708" i="10"/>
  <c r="J700" i="10"/>
  <c r="J692" i="10"/>
  <c r="J702" i="10"/>
  <c r="J695" i="10"/>
  <c r="J686" i="10"/>
  <c r="J678" i="10"/>
  <c r="J670" i="10"/>
  <c r="J647" i="10"/>
  <c r="L647" i="10" s="1"/>
  <c r="J646" i="10"/>
  <c r="J645" i="10"/>
  <c r="J712" i="10"/>
  <c r="J705" i="10"/>
  <c r="J698" i="10"/>
  <c r="J685" i="10"/>
  <c r="J677" i="10"/>
  <c r="J669" i="10"/>
  <c r="J703" i="10"/>
  <c r="J690" i="10"/>
  <c r="J684" i="10"/>
  <c r="J683" i="10"/>
  <c r="J682" i="10"/>
  <c r="J641" i="10"/>
  <c r="J710" i="10"/>
  <c r="J697" i="10"/>
  <c r="J688" i="10"/>
  <c r="J676" i="10"/>
  <c r="J675" i="10"/>
  <c r="J674" i="10"/>
  <c r="J642" i="10"/>
  <c r="J704" i="10"/>
  <c r="J689" i="10"/>
  <c r="J668" i="10"/>
  <c r="J643" i="10"/>
  <c r="J713" i="10"/>
  <c r="J694" i="10"/>
  <c r="J640" i="10"/>
  <c r="J634" i="10"/>
  <c r="J711" i="10"/>
  <c r="J706" i="10"/>
  <c r="J696" i="10"/>
  <c r="J687" i="10"/>
  <c r="J679" i="10"/>
  <c r="J639" i="10"/>
  <c r="J631" i="10"/>
  <c r="J671" i="10"/>
  <c r="J636" i="10"/>
  <c r="J681" i="10"/>
  <c r="J633" i="10"/>
  <c r="J673" i="10"/>
  <c r="J638" i="10"/>
  <c r="J644" i="10"/>
  <c r="J635" i="10"/>
  <c r="J672" i="10"/>
  <c r="J637" i="10"/>
  <c r="J632" i="10"/>
  <c r="J680" i="10"/>
  <c r="L709" i="10" l="1"/>
  <c r="L701" i="10"/>
  <c r="L693" i="10"/>
  <c r="L711" i="10"/>
  <c r="L703" i="10"/>
  <c r="L695" i="10"/>
  <c r="L710" i="10"/>
  <c r="L702" i="10"/>
  <c r="L694" i="10"/>
  <c r="L686" i="10"/>
  <c r="L696" i="10"/>
  <c r="L689" i="10"/>
  <c r="L688" i="10"/>
  <c r="L680" i="10"/>
  <c r="L672" i="10"/>
  <c r="L713" i="10"/>
  <c r="L706" i="10"/>
  <c r="L699" i="10"/>
  <c r="L692" i="10"/>
  <c r="L687" i="10"/>
  <c r="L679" i="10"/>
  <c r="L671" i="10"/>
  <c r="L678" i="10"/>
  <c r="L677" i="10"/>
  <c r="L676" i="10"/>
  <c r="L708" i="10"/>
  <c r="L670" i="10"/>
  <c r="L669" i="10"/>
  <c r="L668" i="10"/>
  <c r="L716" i="10"/>
  <c r="L700" i="10"/>
  <c r="L698" i="10"/>
  <c r="L705" i="10"/>
  <c r="L690" i="10"/>
  <c r="L683" i="10"/>
  <c r="L682" i="10"/>
  <c r="L681" i="10"/>
  <c r="L674" i="10"/>
  <c r="L691" i="10"/>
  <c r="L684" i="10"/>
  <c r="L673" i="10"/>
  <c r="L704" i="10"/>
  <c r="L675" i="10"/>
  <c r="L712" i="10"/>
  <c r="L707" i="10"/>
  <c r="L697" i="10"/>
  <c r="L685" i="10"/>
  <c r="J715" i="10"/>
  <c r="K644" i="10"/>
  <c r="L715" i="10" l="1"/>
  <c r="K712" i="10"/>
  <c r="M712" i="10" s="1"/>
  <c r="Y778" i="10" s="1"/>
  <c r="K704" i="10"/>
  <c r="M704" i="10" s="1"/>
  <c r="Y770" i="10" s="1"/>
  <c r="K696" i="10"/>
  <c r="M696" i="10" s="1"/>
  <c r="Y762" i="10" s="1"/>
  <c r="K706" i="10"/>
  <c r="K698" i="10"/>
  <c r="M698" i="10" s="1"/>
  <c r="Y764" i="10" s="1"/>
  <c r="K690" i="10"/>
  <c r="M690" i="10" s="1"/>
  <c r="Y756" i="10" s="1"/>
  <c r="K713" i="10"/>
  <c r="M713" i="10" s="1"/>
  <c r="Y779" i="10" s="1"/>
  <c r="K705" i="10"/>
  <c r="K697" i="10"/>
  <c r="M697" i="10" s="1"/>
  <c r="Y763" i="10" s="1"/>
  <c r="K689" i="10"/>
  <c r="M689" i="10" s="1"/>
  <c r="Y755" i="10" s="1"/>
  <c r="K716" i="10"/>
  <c r="K708" i="10"/>
  <c r="M708" i="10" s="1"/>
  <c r="Y774" i="10" s="1"/>
  <c r="K701" i="10"/>
  <c r="M701" i="10" s="1"/>
  <c r="Y767" i="10" s="1"/>
  <c r="K694" i="10"/>
  <c r="M694" i="10" s="1"/>
  <c r="Y760" i="10" s="1"/>
  <c r="K710" i="10"/>
  <c r="M710" i="10" s="1"/>
  <c r="Y776" i="10" s="1"/>
  <c r="K703" i="10"/>
  <c r="M703" i="10" s="1"/>
  <c r="Y769" i="10" s="1"/>
  <c r="K683" i="10"/>
  <c r="M683" i="10" s="1"/>
  <c r="Y749" i="10" s="1"/>
  <c r="K675" i="10"/>
  <c r="M675" i="10" s="1"/>
  <c r="Y741" i="10" s="1"/>
  <c r="K691" i="10"/>
  <c r="M691" i="10" s="1"/>
  <c r="Y757" i="10" s="1"/>
  <c r="K682" i="10"/>
  <c r="M682" i="10" s="1"/>
  <c r="Y748" i="10" s="1"/>
  <c r="K674" i="10"/>
  <c r="M674" i="10" s="1"/>
  <c r="Y740" i="10" s="1"/>
  <c r="K687" i="10"/>
  <c r="M687" i="10" s="1"/>
  <c r="Y753" i="10" s="1"/>
  <c r="K681" i="10"/>
  <c r="M681" i="10" s="1"/>
  <c r="Y747" i="10" s="1"/>
  <c r="K680" i="10"/>
  <c r="M680" i="10" s="1"/>
  <c r="Y746" i="10" s="1"/>
  <c r="K679" i="10"/>
  <c r="M679" i="10" s="1"/>
  <c r="Y745" i="10" s="1"/>
  <c r="K695" i="10"/>
  <c r="M695" i="10" s="1"/>
  <c r="Y761" i="10" s="1"/>
  <c r="K673" i="10"/>
  <c r="M673" i="10" s="1"/>
  <c r="Y739" i="10" s="1"/>
  <c r="K672" i="10"/>
  <c r="M672" i="10" s="1"/>
  <c r="Y738" i="10" s="1"/>
  <c r="K671" i="10"/>
  <c r="M671" i="10" s="1"/>
  <c r="Y737" i="10" s="1"/>
  <c r="K702" i="10"/>
  <c r="M702" i="10" s="1"/>
  <c r="Y768" i="10" s="1"/>
  <c r="K711" i="10"/>
  <c r="M711" i="10" s="1"/>
  <c r="Y777" i="10" s="1"/>
  <c r="K700" i="10"/>
  <c r="M700" i="10" s="1"/>
  <c r="Y766" i="10" s="1"/>
  <c r="K707" i="10"/>
  <c r="M707" i="10" s="1"/>
  <c r="Y773" i="10" s="1"/>
  <c r="K692" i="10"/>
  <c r="M692" i="10" s="1"/>
  <c r="Y758" i="10" s="1"/>
  <c r="K686" i="10"/>
  <c r="M686" i="10" s="1"/>
  <c r="Y752" i="10" s="1"/>
  <c r="K685" i="10"/>
  <c r="M685" i="10" s="1"/>
  <c r="Y751" i="10" s="1"/>
  <c r="K684" i="10"/>
  <c r="M684" i="10" s="1"/>
  <c r="Y750" i="10" s="1"/>
  <c r="K669" i="10"/>
  <c r="M669" i="10" s="1"/>
  <c r="Y735" i="10" s="1"/>
  <c r="K676" i="10"/>
  <c r="M676" i="10" s="1"/>
  <c r="Y742" i="10" s="1"/>
  <c r="K668" i="10"/>
  <c r="M668" i="10" s="1"/>
  <c r="K709" i="10"/>
  <c r="M709" i="10" s="1"/>
  <c r="Y775" i="10" s="1"/>
  <c r="K699" i="10"/>
  <c r="M699" i="10" s="1"/>
  <c r="Y765" i="10" s="1"/>
  <c r="K678" i="10"/>
  <c r="M678" i="10" s="1"/>
  <c r="Y744" i="10" s="1"/>
  <c r="K670" i="10"/>
  <c r="M670" i="10" s="1"/>
  <c r="Y736" i="10" s="1"/>
  <c r="K677" i="10"/>
  <c r="M677" i="10" s="1"/>
  <c r="Y743" i="10" s="1"/>
  <c r="K693" i="10"/>
  <c r="M693" i="10" s="1"/>
  <c r="Y759" i="10" s="1"/>
  <c r="K688" i="10"/>
  <c r="M688" i="10" s="1"/>
  <c r="Y754" i="10" s="1"/>
  <c r="M705" i="10"/>
  <c r="Y771" i="10" s="1"/>
  <c r="M706" i="10"/>
  <c r="Y772" i="10" s="1"/>
  <c r="Y734" i="10" l="1"/>
  <c r="Y815" i="10" s="1"/>
  <c r="M715" i="10"/>
  <c r="K715" i="10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L48" i="1" s="1"/>
  <c r="L62" i="1" s="1"/>
  <c r="CE65" i="1"/>
  <c r="C431" i="1" s="1"/>
  <c r="CE63" i="1"/>
  <c r="I365" i="9" s="1"/>
  <c r="CE66" i="1"/>
  <c r="I368" i="9" s="1"/>
  <c r="CE68" i="1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P75" i="1"/>
  <c r="I58" i="9" s="1"/>
  <c r="O75" i="1"/>
  <c r="N75" i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AB75" i="1"/>
  <c r="N759" i="1" s="1"/>
  <c r="Y75" i="1"/>
  <c r="D122" i="9" s="1"/>
  <c r="U75" i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R816" i="1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C33" i="8" s="1"/>
  <c r="D277" i="1"/>
  <c r="C35" i="8" s="1"/>
  <c r="D290" i="1"/>
  <c r="C49" i="8" s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D204" i="1"/>
  <c r="E16" i="6" s="1"/>
  <c r="B204" i="1"/>
  <c r="D190" i="1"/>
  <c r="D437" i="1" s="1"/>
  <c r="D186" i="1"/>
  <c r="D181" i="1"/>
  <c r="C27" i="5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61" i="1"/>
  <c r="N764" i="1"/>
  <c r="N777" i="1"/>
  <c r="N739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43" i="1"/>
  <c r="N769" i="1"/>
  <c r="N753" i="1"/>
  <c r="N774" i="1"/>
  <c r="C16" i="8"/>
  <c r="G122" i="9"/>
  <c r="N740" i="1"/>
  <c r="F90" i="9"/>
  <c r="N751" i="1"/>
  <c r="D366" i="9"/>
  <c r="G812" i="1"/>
  <c r="CE64" i="1"/>
  <c r="C430" i="1" s="1"/>
  <c r="D368" i="9"/>
  <c r="I812" i="1"/>
  <c r="C276" i="9"/>
  <c r="CE70" i="1"/>
  <c r="I372" i="9" s="1"/>
  <c r="CE76" i="1"/>
  <c r="D612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AE48" i="1"/>
  <c r="AE62" i="1" s="1"/>
  <c r="CD722" i="1"/>
  <c r="CD71" i="1"/>
  <c r="E373" i="9" s="1"/>
  <c r="I48" i="1"/>
  <c r="I62" i="1" s="1"/>
  <c r="I12" i="9" s="1"/>
  <c r="N765" i="1"/>
  <c r="N757" i="1"/>
  <c r="C615" i="1"/>
  <c r="E372" i="9"/>
  <c r="I380" i="9"/>
  <c r="P816" i="1"/>
  <c r="CF76" i="1"/>
  <c r="AV52" i="1" s="1"/>
  <c r="AV67" i="1" s="1"/>
  <c r="F499" i="1"/>
  <c r="H505" i="1"/>
  <c r="F505" i="1"/>
  <c r="H515" i="1"/>
  <c r="H501" i="1"/>
  <c r="F501" i="1"/>
  <c r="F497" i="1"/>
  <c r="H497" i="1"/>
  <c r="H499" i="1"/>
  <c r="I52" i="1" l="1"/>
  <c r="I67" i="1" s="1"/>
  <c r="J740" i="1" s="1"/>
  <c r="C218" i="9"/>
  <c r="C52" i="1"/>
  <c r="C67" i="1" s="1"/>
  <c r="S52" i="1"/>
  <c r="S67" i="1" s="1"/>
  <c r="E81" i="9" s="1"/>
  <c r="F9" i="6"/>
  <c r="C14" i="5"/>
  <c r="C816" i="1"/>
  <c r="BI730" i="1"/>
  <c r="N736" i="1"/>
  <c r="N768" i="1"/>
  <c r="I377" i="9"/>
  <c r="N758" i="1"/>
  <c r="N755" i="1"/>
  <c r="N747" i="1"/>
  <c r="C575" i="1"/>
  <c r="L816" i="1"/>
  <c r="C440" i="1"/>
  <c r="C432" i="1"/>
  <c r="I816" i="1"/>
  <c r="G816" i="1"/>
  <c r="F816" i="1"/>
  <c r="C429" i="1"/>
  <c r="BP48" i="1"/>
  <c r="BP62" i="1" s="1"/>
  <c r="E300" i="9" s="1"/>
  <c r="AS48" i="1"/>
  <c r="AS62" i="1" s="1"/>
  <c r="E776" i="1" s="1"/>
  <c r="K48" i="1"/>
  <c r="K62" i="1" s="1"/>
  <c r="D44" i="9" s="1"/>
  <c r="AW48" i="1"/>
  <c r="AW62" i="1" s="1"/>
  <c r="E780" i="1" s="1"/>
  <c r="AJ48" i="1"/>
  <c r="AJ62" i="1" s="1"/>
  <c r="H140" i="9" s="1"/>
  <c r="AN48" i="1"/>
  <c r="AN62" i="1" s="1"/>
  <c r="E172" i="9" s="1"/>
  <c r="BQ48" i="1"/>
  <c r="BQ62" i="1" s="1"/>
  <c r="BI48" i="1"/>
  <c r="BI62" i="1" s="1"/>
  <c r="E792" i="1" s="1"/>
  <c r="R48" i="1"/>
  <c r="R62" i="1" s="1"/>
  <c r="E749" i="1" s="1"/>
  <c r="AZ48" i="1"/>
  <c r="AZ62" i="1" s="1"/>
  <c r="E783" i="1" s="1"/>
  <c r="BY48" i="1"/>
  <c r="BY62" i="1" s="1"/>
  <c r="AI48" i="1"/>
  <c r="AI62" i="1" s="1"/>
  <c r="E766" i="1" s="1"/>
  <c r="BM48" i="1"/>
  <c r="BM62" i="1" s="1"/>
  <c r="E796" i="1" s="1"/>
  <c r="AU48" i="1"/>
  <c r="AU62" i="1" s="1"/>
  <c r="AU71" i="1" s="1"/>
  <c r="C540" i="1" s="1"/>
  <c r="G540" i="1" s="1"/>
  <c r="T48" i="1"/>
  <c r="T62" i="1" s="1"/>
  <c r="F76" i="9" s="1"/>
  <c r="D815" i="1"/>
  <c r="V48" i="1"/>
  <c r="V62" i="1" s="1"/>
  <c r="E753" i="1" s="1"/>
  <c r="BD48" i="1"/>
  <c r="BD62" i="1" s="1"/>
  <c r="BD71" i="1" s="1"/>
  <c r="BW48" i="1"/>
  <c r="BW62" i="1" s="1"/>
  <c r="E332" i="9" s="1"/>
  <c r="AK48" i="1"/>
  <c r="AK62" i="1" s="1"/>
  <c r="E768" i="1" s="1"/>
  <c r="X48" i="1"/>
  <c r="X62" i="1" s="1"/>
  <c r="C236" i="9"/>
  <c r="AD48" i="1"/>
  <c r="AD62" i="1" s="1"/>
  <c r="I108" i="9" s="1"/>
  <c r="BF48" i="1"/>
  <c r="BF62" i="1" s="1"/>
  <c r="I236" i="9" s="1"/>
  <c r="AY48" i="1"/>
  <c r="AY62" i="1" s="1"/>
  <c r="E782" i="1" s="1"/>
  <c r="Q48" i="1"/>
  <c r="Q62" i="1" s="1"/>
  <c r="E748" i="1" s="1"/>
  <c r="O48" i="1"/>
  <c r="O62" i="1" s="1"/>
  <c r="H44" i="9" s="1"/>
  <c r="G48" i="1"/>
  <c r="G62" i="1" s="1"/>
  <c r="G12" i="9" s="1"/>
  <c r="H48" i="1"/>
  <c r="H62" i="1" s="1"/>
  <c r="H12" i="9" s="1"/>
  <c r="I363" i="9"/>
  <c r="D816" i="1"/>
  <c r="AP48" i="1"/>
  <c r="AP62" i="1" s="1"/>
  <c r="E773" i="1" s="1"/>
  <c r="BT48" i="1"/>
  <c r="BT62" i="1" s="1"/>
  <c r="E803" i="1" s="1"/>
  <c r="AZ71" i="1"/>
  <c r="C628" i="1" s="1"/>
  <c r="J48" i="1"/>
  <c r="J62" i="1" s="1"/>
  <c r="C44" i="9" s="1"/>
  <c r="AT48" i="1"/>
  <c r="AT62" i="1" s="1"/>
  <c r="AT71" i="1" s="1"/>
  <c r="BJ48" i="1"/>
  <c r="BJ62" i="1" s="1"/>
  <c r="F268" i="9" s="1"/>
  <c r="BV48" i="1"/>
  <c r="BV62" i="1" s="1"/>
  <c r="D332" i="9" s="1"/>
  <c r="BG48" i="1"/>
  <c r="BG62" i="1" s="1"/>
  <c r="AG48" i="1"/>
  <c r="AG62" i="1" s="1"/>
  <c r="E48" i="1"/>
  <c r="E62" i="1" s="1"/>
  <c r="E12" i="9" s="1"/>
  <c r="BW52" i="1"/>
  <c r="BW67" i="1" s="1"/>
  <c r="J806" i="1" s="1"/>
  <c r="AH52" i="1"/>
  <c r="AH67" i="1" s="1"/>
  <c r="F145" i="9" s="1"/>
  <c r="BT52" i="1"/>
  <c r="BT67" i="1" s="1"/>
  <c r="J803" i="1" s="1"/>
  <c r="BU52" i="1"/>
  <c r="BU67" i="1" s="1"/>
  <c r="C337" i="9" s="1"/>
  <c r="AJ52" i="1"/>
  <c r="AJ67" i="1" s="1"/>
  <c r="J767" i="1" s="1"/>
  <c r="W52" i="1"/>
  <c r="W67" i="1" s="1"/>
  <c r="J754" i="1" s="1"/>
  <c r="AN52" i="1"/>
  <c r="AN67" i="1" s="1"/>
  <c r="J771" i="1" s="1"/>
  <c r="AF52" i="1"/>
  <c r="AF67" i="1" s="1"/>
  <c r="D145" i="9" s="1"/>
  <c r="AD52" i="1"/>
  <c r="AD67" i="1" s="1"/>
  <c r="J761" i="1" s="1"/>
  <c r="G612" i="1"/>
  <c r="J750" i="1"/>
  <c r="BG52" i="1"/>
  <c r="BG67" i="1" s="1"/>
  <c r="C273" i="9" s="1"/>
  <c r="BH52" i="1"/>
  <c r="BH67" i="1" s="1"/>
  <c r="BO52" i="1"/>
  <c r="BO67" i="1" s="1"/>
  <c r="J798" i="1" s="1"/>
  <c r="Q52" i="1"/>
  <c r="Q67" i="1" s="1"/>
  <c r="J748" i="1" s="1"/>
  <c r="AE52" i="1"/>
  <c r="AE67" i="1" s="1"/>
  <c r="C145" i="9" s="1"/>
  <c r="BX52" i="1"/>
  <c r="BX67" i="1" s="1"/>
  <c r="BK52" i="1"/>
  <c r="BK67" i="1" s="1"/>
  <c r="G273" i="9" s="1"/>
  <c r="V52" i="1"/>
  <c r="V67" i="1" s="1"/>
  <c r="J753" i="1" s="1"/>
  <c r="AT52" i="1"/>
  <c r="AT67" i="1" s="1"/>
  <c r="J777" i="1" s="1"/>
  <c r="AO52" i="1"/>
  <c r="AO67" i="1" s="1"/>
  <c r="F177" i="9" s="1"/>
  <c r="BZ52" i="1"/>
  <c r="BZ67" i="1" s="1"/>
  <c r="H337" i="9" s="1"/>
  <c r="AR52" i="1"/>
  <c r="AR67" i="1" s="1"/>
  <c r="L52" i="1"/>
  <c r="L67" i="1" s="1"/>
  <c r="J743" i="1" s="1"/>
  <c r="BI52" i="1"/>
  <c r="BI67" i="1" s="1"/>
  <c r="E273" i="9" s="1"/>
  <c r="AC52" i="1"/>
  <c r="AC67" i="1" s="1"/>
  <c r="N52" i="1"/>
  <c r="N67" i="1" s="1"/>
  <c r="J745" i="1" s="1"/>
  <c r="BJ52" i="1"/>
  <c r="BJ67" i="1" s="1"/>
  <c r="J793" i="1" s="1"/>
  <c r="AI52" i="1"/>
  <c r="AI67" i="1" s="1"/>
  <c r="J766" i="1" s="1"/>
  <c r="AL52" i="1"/>
  <c r="AL67" i="1" s="1"/>
  <c r="H52" i="1"/>
  <c r="H67" i="1" s="1"/>
  <c r="BS52" i="1"/>
  <c r="BS67" i="1" s="1"/>
  <c r="J802" i="1" s="1"/>
  <c r="J52" i="1"/>
  <c r="J67" i="1" s="1"/>
  <c r="J741" i="1" s="1"/>
  <c r="BA52" i="1"/>
  <c r="BA67" i="1" s="1"/>
  <c r="J784" i="1" s="1"/>
  <c r="E52" i="1"/>
  <c r="E67" i="1" s="1"/>
  <c r="J736" i="1" s="1"/>
  <c r="BP52" i="1"/>
  <c r="BP67" i="1" s="1"/>
  <c r="E305" i="9" s="1"/>
  <c r="AG52" i="1"/>
  <c r="AG67" i="1" s="1"/>
  <c r="J764" i="1" s="1"/>
  <c r="CC52" i="1"/>
  <c r="CC67" i="1" s="1"/>
  <c r="J812" i="1" s="1"/>
  <c r="AU52" i="1"/>
  <c r="AU67" i="1" s="1"/>
  <c r="R52" i="1"/>
  <c r="R67" i="1" s="1"/>
  <c r="J749" i="1" s="1"/>
  <c r="K52" i="1"/>
  <c r="K67" i="1" s="1"/>
  <c r="J742" i="1" s="1"/>
  <c r="AP52" i="1"/>
  <c r="AP67" i="1" s="1"/>
  <c r="J773" i="1" s="1"/>
  <c r="BC52" i="1"/>
  <c r="BC67" i="1" s="1"/>
  <c r="F241" i="9" s="1"/>
  <c r="AQ52" i="1"/>
  <c r="AQ67" i="1" s="1"/>
  <c r="H177" i="9" s="1"/>
  <c r="AS52" i="1"/>
  <c r="AS67" i="1" s="1"/>
  <c r="Y52" i="1"/>
  <c r="Y67" i="1" s="1"/>
  <c r="AZ52" i="1"/>
  <c r="AZ67" i="1" s="1"/>
  <c r="BB52" i="1"/>
  <c r="BB67" i="1" s="1"/>
  <c r="E241" i="9" s="1"/>
  <c r="P52" i="1"/>
  <c r="P67" i="1" s="1"/>
  <c r="U52" i="1"/>
  <c r="U67" i="1" s="1"/>
  <c r="Z52" i="1"/>
  <c r="Z67" i="1" s="1"/>
  <c r="E113" i="9" s="1"/>
  <c r="X52" i="1"/>
  <c r="X67" i="1" s="1"/>
  <c r="C113" i="9" s="1"/>
  <c r="CA52" i="1"/>
  <c r="CA67" i="1" s="1"/>
  <c r="O52" i="1"/>
  <c r="O67" i="1" s="1"/>
  <c r="J746" i="1" s="1"/>
  <c r="BL52" i="1"/>
  <c r="BL67" i="1" s="1"/>
  <c r="J795" i="1" s="1"/>
  <c r="AB52" i="1"/>
  <c r="AB67" i="1" s="1"/>
  <c r="G113" i="9" s="1"/>
  <c r="F11" i="6"/>
  <c r="B440" i="1"/>
  <c r="C141" i="8"/>
  <c r="N817" i="1"/>
  <c r="C112" i="8"/>
  <c r="D13" i="7"/>
  <c r="D5" i="7"/>
  <c r="G10" i="4"/>
  <c r="D463" i="1"/>
  <c r="F12" i="6"/>
  <c r="C473" i="1"/>
  <c r="C84" i="8"/>
  <c r="D330" i="1"/>
  <c r="C86" i="8" s="1"/>
  <c r="C154" i="9"/>
  <c r="N762" i="1"/>
  <c r="N775" i="1"/>
  <c r="I186" i="9"/>
  <c r="C448" i="1"/>
  <c r="D368" i="1"/>
  <c r="C120" i="8" s="1"/>
  <c r="C119" i="8"/>
  <c r="I113" i="9"/>
  <c r="J786" i="1"/>
  <c r="D435" i="1"/>
  <c r="D436" i="1"/>
  <c r="C34" i="5"/>
  <c r="N778" i="1"/>
  <c r="E218" i="9"/>
  <c r="J763" i="1"/>
  <c r="D32" i="6"/>
  <c r="E10" i="4"/>
  <c r="F815" i="1"/>
  <c r="N773" i="1"/>
  <c r="G186" i="9"/>
  <c r="C90" i="9"/>
  <c r="N748" i="1"/>
  <c r="I90" i="9"/>
  <c r="E186" i="9"/>
  <c r="N771" i="1"/>
  <c r="J790" i="1"/>
  <c r="D209" i="9"/>
  <c r="E44" i="9"/>
  <c r="E743" i="1"/>
  <c r="G19" i="4"/>
  <c r="E19" i="4"/>
  <c r="G90" i="9"/>
  <c r="N752" i="1"/>
  <c r="G81" i="9"/>
  <c r="J752" i="1"/>
  <c r="B19" i="4"/>
  <c r="C417" i="1"/>
  <c r="C475" i="1"/>
  <c r="F15" i="6"/>
  <c r="E762" i="1"/>
  <c r="C140" i="9"/>
  <c r="CF77" i="1"/>
  <c r="Q816" i="1"/>
  <c r="F8" i="6"/>
  <c r="C815" i="1"/>
  <c r="H815" i="1"/>
  <c r="I612" i="1"/>
  <c r="I382" i="9"/>
  <c r="H122" i="9"/>
  <c r="N760" i="1"/>
  <c r="G58" i="9"/>
  <c r="N745" i="1"/>
  <c r="C415" i="1"/>
  <c r="C10" i="4"/>
  <c r="H58" i="9"/>
  <c r="N746" i="1"/>
  <c r="I370" i="9"/>
  <c r="K816" i="1"/>
  <c r="BK48" i="1"/>
  <c r="BK62" i="1" s="1"/>
  <c r="W48" i="1"/>
  <c r="W62" i="1" s="1"/>
  <c r="I76" i="9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BO48" i="1"/>
  <c r="BO62" i="1" s="1"/>
  <c r="AA48" i="1"/>
  <c r="AA62" i="1" s="1"/>
  <c r="F108" i="9" s="1"/>
  <c r="C48" i="1"/>
  <c r="BX48" i="1"/>
  <c r="BX62" i="1" s="1"/>
  <c r="BN48" i="1"/>
  <c r="BN62" i="1" s="1"/>
  <c r="E797" i="1" s="1"/>
  <c r="BH48" i="1"/>
  <c r="BH62" i="1" s="1"/>
  <c r="AX48" i="1"/>
  <c r="AX62" i="1" s="1"/>
  <c r="AR48" i="1"/>
  <c r="AR62" i="1" s="1"/>
  <c r="AH48" i="1"/>
  <c r="AH62" i="1" s="1"/>
  <c r="AH71" i="1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Y71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G300" i="9" s="1"/>
  <c r="BL48" i="1"/>
  <c r="BL62" i="1" s="1"/>
  <c r="BB48" i="1"/>
  <c r="BB62" i="1" s="1"/>
  <c r="E236" i="9" s="1"/>
  <c r="AV48" i="1"/>
  <c r="AV62" i="1" s="1"/>
  <c r="AL48" i="1"/>
  <c r="AL62" i="1" s="1"/>
  <c r="C172" i="9" s="1"/>
  <c r="AF48" i="1"/>
  <c r="AF62" i="1" s="1"/>
  <c r="N48" i="1"/>
  <c r="N62" i="1" s="1"/>
  <c r="G44" i="9" s="1"/>
  <c r="I71" i="1"/>
  <c r="E740" i="1"/>
  <c r="C414" i="1"/>
  <c r="B10" i="4"/>
  <c r="C458" i="1"/>
  <c r="M816" i="1"/>
  <c r="F612" i="1"/>
  <c r="I366" i="9"/>
  <c r="N770" i="1"/>
  <c r="D186" i="9"/>
  <c r="I815" i="1"/>
  <c r="G815" i="1"/>
  <c r="P815" i="1"/>
  <c r="Q815" i="1"/>
  <c r="R815" i="1"/>
  <c r="S815" i="1"/>
  <c r="G28" i="4"/>
  <c r="I362" i="9"/>
  <c r="J804" i="1"/>
  <c r="E49" i="9"/>
  <c r="J799" i="1"/>
  <c r="J779" i="1"/>
  <c r="F209" i="9"/>
  <c r="D241" i="9"/>
  <c r="H305" i="9"/>
  <c r="J734" i="1"/>
  <c r="C17" i="9"/>
  <c r="J775" i="1"/>
  <c r="I177" i="9"/>
  <c r="B446" i="1"/>
  <c r="D242" i="1"/>
  <c r="J762" i="1"/>
  <c r="H81" i="9"/>
  <c r="C418" i="1"/>
  <c r="D438" i="1"/>
  <c r="F14" i="6"/>
  <c r="O815" i="1"/>
  <c r="T815" i="1"/>
  <c r="C471" i="1"/>
  <c r="F10" i="6"/>
  <c r="D26" i="9"/>
  <c r="N735" i="1"/>
  <c r="CE75" i="1"/>
  <c r="E177" i="9"/>
  <c r="G49" i="9"/>
  <c r="I305" i="9"/>
  <c r="F7" i="6"/>
  <c r="E204" i="1"/>
  <c r="C468" i="1"/>
  <c r="I383" i="9"/>
  <c r="S816" i="1"/>
  <c r="D22" i="7"/>
  <c r="C40" i="5"/>
  <c r="C420" i="1"/>
  <c r="B28" i="4"/>
  <c r="N772" i="1"/>
  <c r="F186" i="9"/>
  <c r="I17" i="9"/>
  <c r="E17" i="9"/>
  <c r="F273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AX71" i="1" l="1"/>
  <c r="H145" i="9"/>
  <c r="AG71" i="1"/>
  <c r="C698" i="1" s="1"/>
  <c r="D71" i="1"/>
  <c r="J757" i="1"/>
  <c r="BG71" i="1"/>
  <c r="C618" i="1" s="1"/>
  <c r="BY71" i="1"/>
  <c r="BQ71" i="1"/>
  <c r="L71" i="1"/>
  <c r="X71" i="1"/>
  <c r="C117" i="9" s="1"/>
  <c r="AE71" i="1"/>
  <c r="D339" i="1"/>
  <c r="C102" i="8" s="1"/>
  <c r="E742" i="1"/>
  <c r="BJ71" i="1"/>
  <c r="C555" i="1" s="1"/>
  <c r="C300" i="9"/>
  <c r="K71" i="1"/>
  <c r="D53" i="9" s="1"/>
  <c r="F300" i="9"/>
  <c r="E268" i="9"/>
  <c r="AW71" i="1"/>
  <c r="C631" i="1" s="1"/>
  <c r="E789" i="1"/>
  <c r="Q71" i="1"/>
  <c r="C510" i="1" s="1"/>
  <c r="G510" i="1" s="1"/>
  <c r="BP71" i="1"/>
  <c r="C561" i="1" s="1"/>
  <c r="AS71" i="1"/>
  <c r="C710" i="1" s="1"/>
  <c r="E799" i="1"/>
  <c r="G172" i="9"/>
  <c r="C204" i="9"/>
  <c r="E771" i="1"/>
  <c r="AI71" i="1"/>
  <c r="C528" i="1" s="1"/>
  <c r="G528" i="1" s="1"/>
  <c r="E777" i="1"/>
  <c r="AN71" i="1"/>
  <c r="E181" i="9" s="1"/>
  <c r="E140" i="9"/>
  <c r="BF71" i="1"/>
  <c r="C629" i="1" s="1"/>
  <c r="E741" i="1"/>
  <c r="BW71" i="1"/>
  <c r="C568" i="1" s="1"/>
  <c r="E808" i="1"/>
  <c r="G236" i="9"/>
  <c r="BI71" i="1"/>
  <c r="E277" i="9" s="1"/>
  <c r="E149" i="9"/>
  <c r="AJ71" i="1"/>
  <c r="H149" i="9" s="1"/>
  <c r="T71" i="1"/>
  <c r="C685" i="1" s="1"/>
  <c r="G204" i="9"/>
  <c r="E71" i="1"/>
  <c r="E21" i="9" s="1"/>
  <c r="G332" i="9"/>
  <c r="E800" i="1"/>
  <c r="E767" i="1"/>
  <c r="C623" i="1"/>
  <c r="E806" i="1"/>
  <c r="E790" i="1"/>
  <c r="E739" i="1"/>
  <c r="BM71" i="1"/>
  <c r="C638" i="1" s="1"/>
  <c r="E751" i="1"/>
  <c r="E785" i="1"/>
  <c r="C76" i="9"/>
  <c r="I204" i="9"/>
  <c r="E204" i="9"/>
  <c r="N71" i="1"/>
  <c r="G53" i="9" s="1"/>
  <c r="C245" i="9"/>
  <c r="E787" i="1"/>
  <c r="C712" i="1"/>
  <c r="I300" i="9"/>
  <c r="E778" i="1"/>
  <c r="E213" i="9"/>
  <c r="BV71" i="1"/>
  <c r="D341" i="9" s="1"/>
  <c r="E735" i="1"/>
  <c r="I140" i="9"/>
  <c r="R71" i="1"/>
  <c r="D85" i="9" s="1"/>
  <c r="E736" i="1"/>
  <c r="H76" i="9"/>
  <c r="I268" i="9"/>
  <c r="C526" i="1"/>
  <c r="G526" i="1" s="1"/>
  <c r="AY71" i="1"/>
  <c r="I213" i="9" s="1"/>
  <c r="C108" i="9"/>
  <c r="G71" i="1"/>
  <c r="C672" i="1" s="1"/>
  <c r="G140" i="9"/>
  <c r="AP71" i="1"/>
  <c r="C707" i="1" s="1"/>
  <c r="V71" i="1"/>
  <c r="C687" i="1" s="1"/>
  <c r="E793" i="1"/>
  <c r="D204" i="9"/>
  <c r="E764" i="1"/>
  <c r="AK71" i="1"/>
  <c r="C530" i="1" s="1"/>
  <c r="G530" i="1" s="1"/>
  <c r="D76" i="9"/>
  <c r="C545" i="1"/>
  <c r="G545" i="1" s="1"/>
  <c r="H71" i="1"/>
  <c r="H21" i="9" s="1"/>
  <c r="E755" i="1"/>
  <c r="E738" i="1"/>
  <c r="M71" i="1"/>
  <c r="C678" i="1" s="1"/>
  <c r="BT71" i="1"/>
  <c r="C565" i="1" s="1"/>
  <c r="E746" i="1"/>
  <c r="AD71" i="1"/>
  <c r="C695" i="1" s="1"/>
  <c r="C268" i="9"/>
  <c r="O71" i="1"/>
  <c r="C680" i="1" s="1"/>
  <c r="AL71" i="1"/>
  <c r="C531" i="1" s="1"/>
  <c r="G531" i="1" s="1"/>
  <c r="E781" i="1"/>
  <c r="E805" i="1"/>
  <c r="E761" i="1"/>
  <c r="C542" i="1"/>
  <c r="H172" i="9"/>
  <c r="D108" i="9"/>
  <c r="J71" i="1"/>
  <c r="C53" i="9" s="1"/>
  <c r="AA71" i="1"/>
  <c r="F117" i="9" s="1"/>
  <c r="BB71" i="1"/>
  <c r="C632" i="1" s="1"/>
  <c r="E765" i="1"/>
  <c r="D364" i="9"/>
  <c r="AQ71" i="1"/>
  <c r="H181" i="9" s="1"/>
  <c r="E801" i="1"/>
  <c r="E769" i="1"/>
  <c r="AC71" i="1"/>
  <c r="H117" i="9" s="1"/>
  <c r="E754" i="1"/>
  <c r="CB71" i="1"/>
  <c r="C373" i="9" s="1"/>
  <c r="F44" i="9"/>
  <c r="E745" i="1"/>
  <c r="H204" i="9"/>
  <c r="W71" i="1"/>
  <c r="C516" i="1" s="1"/>
  <c r="G516" i="1" s="1"/>
  <c r="E758" i="1"/>
  <c r="E760" i="1"/>
  <c r="E811" i="1"/>
  <c r="J755" i="1"/>
  <c r="E337" i="9"/>
  <c r="J792" i="1"/>
  <c r="D305" i="9"/>
  <c r="J785" i="1"/>
  <c r="G177" i="9"/>
  <c r="J794" i="1"/>
  <c r="D81" i="9"/>
  <c r="D369" i="9"/>
  <c r="J759" i="1"/>
  <c r="C81" i="9"/>
  <c r="H49" i="9"/>
  <c r="CE67" i="1"/>
  <c r="J816" i="1" s="1"/>
  <c r="E756" i="1"/>
  <c r="I81" i="9"/>
  <c r="J774" i="1"/>
  <c r="CE52" i="1"/>
  <c r="J765" i="1"/>
  <c r="J809" i="1"/>
  <c r="H273" i="9"/>
  <c r="D49" i="9"/>
  <c r="J772" i="1"/>
  <c r="E145" i="9"/>
  <c r="G145" i="9"/>
  <c r="C177" i="9"/>
  <c r="J769" i="1"/>
  <c r="H113" i="9"/>
  <c r="J760" i="1"/>
  <c r="J807" i="1"/>
  <c r="F337" i="9"/>
  <c r="C49" i="9"/>
  <c r="D273" i="9"/>
  <c r="J791" i="1"/>
  <c r="J778" i="1"/>
  <c r="E209" i="9"/>
  <c r="H17" i="9"/>
  <c r="J739" i="1"/>
  <c r="C241" i="9"/>
  <c r="J783" i="1"/>
  <c r="D113" i="9"/>
  <c r="J756" i="1"/>
  <c r="J810" i="1"/>
  <c r="I337" i="9"/>
  <c r="I49" i="9"/>
  <c r="J747" i="1"/>
  <c r="C209" i="9"/>
  <c r="J776" i="1"/>
  <c r="D465" i="1"/>
  <c r="C674" i="1"/>
  <c r="C502" i="1"/>
  <c r="G502" i="1" s="1"/>
  <c r="I21" i="9"/>
  <c r="E795" i="1"/>
  <c r="H268" i="9"/>
  <c r="BL71" i="1"/>
  <c r="AM71" i="1"/>
  <c r="E770" i="1"/>
  <c r="D172" i="9"/>
  <c r="D300" i="9"/>
  <c r="E798" i="1"/>
  <c r="C332" i="9"/>
  <c r="E804" i="1"/>
  <c r="BU71" i="1"/>
  <c r="D373" i="1"/>
  <c r="D391" i="1" s="1"/>
  <c r="BN71" i="1"/>
  <c r="C619" i="1" s="1"/>
  <c r="D12" i="9"/>
  <c r="I44" i="9"/>
  <c r="P71" i="1"/>
  <c r="E747" i="1"/>
  <c r="E759" i="1"/>
  <c r="AB71" i="1"/>
  <c r="G108" i="9"/>
  <c r="BO71" i="1"/>
  <c r="D309" i="9" s="1"/>
  <c r="BR71" i="1"/>
  <c r="C563" i="1" s="1"/>
  <c r="F140" i="9"/>
  <c r="E779" i="1"/>
  <c r="F204" i="9"/>
  <c r="AV71" i="1"/>
  <c r="I332" i="9"/>
  <c r="CA71" i="1"/>
  <c r="E810" i="1"/>
  <c r="C518" i="1"/>
  <c r="G518" i="1" s="1"/>
  <c r="C690" i="1"/>
  <c r="D117" i="9"/>
  <c r="F71" i="1"/>
  <c r="E737" i="1"/>
  <c r="C62" i="1"/>
  <c r="CE48" i="1"/>
  <c r="E772" i="1"/>
  <c r="F172" i="9"/>
  <c r="AO71" i="1"/>
  <c r="D236" i="9"/>
  <c r="E784" i="1"/>
  <c r="BA71" i="1"/>
  <c r="G245" i="9"/>
  <c r="C549" i="1"/>
  <c r="C624" i="1"/>
  <c r="D140" i="9"/>
  <c r="AF71" i="1"/>
  <c r="E763" i="1"/>
  <c r="E750" i="1"/>
  <c r="E76" i="9"/>
  <c r="S71" i="1"/>
  <c r="H332" i="9"/>
  <c r="BZ71" i="1"/>
  <c r="E809" i="1"/>
  <c r="F236" i="9"/>
  <c r="BC71" i="1"/>
  <c r="E786" i="1"/>
  <c r="I172" i="9"/>
  <c r="E775" i="1"/>
  <c r="AR71" i="1"/>
  <c r="E807" i="1"/>
  <c r="F332" i="9"/>
  <c r="BX71" i="1"/>
  <c r="G76" i="9"/>
  <c r="E752" i="1"/>
  <c r="U71" i="1"/>
  <c r="CC71" i="1"/>
  <c r="C574" i="1" s="1"/>
  <c r="N815" i="1"/>
  <c r="E108" i="9"/>
  <c r="Z71" i="1"/>
  <c r="E757" i="1"/>
  <c r="E791" i="1"/>
  <c r="D268" i="9"/>
  <c r="BH71" i="1"/>
  <c r="E788" i="1"/>
  <c r="H236" i="9"/>
  <c r="BE71" i="1"/>
  <c r="E802" i="1"/>
  <c r="BS71" i="1"/>
  <c r="H300" i="9"/>
  <c r="G268" i="9"/>
  <c r="E794" i="1"/>
  <c r="BK71" i="1"/>
  <c r="J738" i="1"/>
  <c r="G17" i="9"/>
  <c r="I273" i="9"/>
  <c r="J796" i="1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616" i="1"/>
  <c r="C543" i="1"/>
  <c r="H213" i="9"/>
  <c r="C126" i="8"/>
  <c r="F32" i="6"/>
  <c r="C478" i="1"/>
  <c r="C305" i="9"/>
  <c r="J797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G341" i="9"/>
  <c r="C570" i="1"/>
  <c r="C645" i="1"/>
  <c r="C711" i="1"/>
  <c r="D213" i="9"/>
  <c r="C539" i="1"/>
  <c r="G539" i="1" s="1"/>
  <c r="F516" i="1"/>
  <c r="J735" i="1"/>
  <c r="D17" i="9"/>
  <c r="J800" i="1"/>
  <c r="F305" i="9"/>
  <c r="C699" i="1"/>
  <c r="C527" i="1"/>
  <c r="G527" i="1" s="1"/>
  <c r="F149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617" i="1"/>
  <c r="C277" i="9" l="1"/>
  <c r="F309" i="9"/>
  <c r="C562" i="1"/>
  <c r="C517" i="1"/>
  <c r="G517" i="1" s="1"/>
  <c r="H517" i="1" s="1"/>
  <c r="C524" i="1"/>
  <c r="C696" i="1"/>
  <c r="C149" i="9"/>
  <c r="C552" i="1"/>
  <c r="C689" i="1"/>
  <c r="C677" i="1"/>
  <c r="C505" i="1"/>
  <c r="G505" i="1" s="1"/>
  <c r="E53" i="9"/>
  <c r="C482" i="1"/>
  <c r="F277" i="9"/>
  <c r="C181" i="9"/>
  <c r="C670" i="1"/>
  <c r="C701" i="1"/>
  <c r="C213" i="9"/>
  <c r="C682" i="1"/>
  <c r="G213" i="9"/>
  <c r="C676" i="1"/>
  <c r="C506" i="1"/>
  <c r="G506" i="1" s="1"/>
  <c r="C700" i="1"/>
  <c r="C504" i="1"/>
  <c r="G504" i="1" s="1"/>
  <c r="I245" i="9"/>
  <c r="C529" i="1"/>
  <c r="G529" i="1" s="1"/>
  <c r="C507" i="1"/>
  <c r="G507" i="1" s="1"/>
  <c r="C85" i="9"/>
  <c r="E309" i="9"/>
  <c r="C544" i="1"/>
  <c r="G544" i="1" s="1"/>
  <c r="C567" i="1"/>
  <c r="C511" i="1"/>
  <c r="G511" i="1" s="1"/>
  <c r="H511" i="1" s="1"/>
  <c r="C621" i="1"/>
  <c r="C573" i="1"/>
  <c r="C551" i="1"/>
  <c r="C536" i="1"/>
  <c r="G536" i="1" s="1"/>
  <c r="G149" i="9"/>
  <c r="C538" i="1"/>
  <c r="G538" i="1" s="1"/>
  <c r="C692" i="1"/>
  <c r="C643" i="1"/>
  <c r="C500" i="1"/>
  <c r="G500" i="1" s="1"/>
  <c r="C498" i="1"/>
  <c r="G498" i="1" s="1"/>
  <c r="C533" i="1"/>
  <c r="G533" i="1" s="1"/>
  <c r="C705" i="1"/>
  <c r="E341" i="9"/>
  <c r="C642" i="1"/>
  <c r="F53" i="9"/>
  <c r="C703" i="1"/>
  <c r="C683" i="1"/>
  <c r="C634" i="1"/>
  <c r="C523" i="1"/>
  <c r="G523" i="1" s="1"/>
  <c r="H53" i="9"/>
  <c r="C554" i="1"/>
  <c r="F85" i="9"/>
  <c r="E245" i="9"/>
  <c r="G21" i="9"/>
  <c r="C708" i="1"/>
  <c r="C513" i="1"/>
  <c r="G513" i="1" s="1"/>
  <c r="G181" i="9"/>
  <c r="C520" i="1"/>
  <c r="G520" i="1" s="1"/>
  <c r="C558" i="1"/>
  <c r="I309" i="9"/>
  <c r="C679" i="1"/>
  <c r="I277" i="9"/>
  <c r="C625" i="1"/>
  <c r="C535" i="1"/>
  <c r="G535" i="1" s="1"/>
  <c r="C673" i="1"/>
  <c r="C622" i="1"/>
  <c r="C501" i="1"/>
  <c r="G501" i="1" s="1"/>
  <c r="C503" i="1"/>
  <c r="G503" i="1" s="1"/>
  <c r="C702" i="1"/>
  <c r="C547" i="1"/>
  <c r="C515" i="1"/>
  <c r="G515" i="1" s="1"/>
  <c r="C675" i="1"/>
  <c r="H85" i="9"/>
  <c r="I149" i="9"/>
  <c r="C640" i="1"/>
  <c r="C694" i="1"/>
  <c r="I117" i="9"/>
  <c r="C508" i="1"/>
  <c r="G508" i="1" s="1"/>
  <c r="C522" i="1"/>
  <c r="G522" i="1" s="1"/>
  <c r="C688" i="1"/>
  <c r="I85" i="9"/>
  <c r="C620" i="1"/>
  <c r="J815" i="1"/>
  <c r="C433" i="1"/>
  <c r="I369" i="9"/>
  <c r="C309" i="9"/>
  <c r="C560" i="1"/>
  <c r="C559" i="1"/>
  <c r="D373" i="9"/>
  <c r="C626" i="1"/>
  <c r="H245" i="9"/>
  <c r="C614" i="1"/>
  <c r="C550" i="1"/>
  <c r="D245" i="9"/>
  <c r="C630" i="1"/>
  <c r="C546" i="1"/>
  <c r="G546" i="1" s="1"/>
  <c r="G117" i="9"/>
  <c r="C693" i="1"/>
  <c r="C521" i="1"/>
  <c r="G521" i="1" s="1"/>
  <c r="G309" i="9"/>
  <c r="F21" i="9"/>
  <c r="C499" i="1"/>
  <c r="G499" i="1" s="1"/>
  <c r="C671" i="1"/>
  <c r="C627" i="1"/>
  <c r="G277" i="9"/>
  <c r="C635" i="1"/>
  <c r="C556" i="1"/>
  <c r="C639" i="1"/>
  <c r="H309" i="9"/>
  <c r="C564" i="1"/>
  <c r="C709" i="1"/>
  <c r="C537" i="1"/>
  <c r="G537" i="1" s="1"/>
  <c r="I181" i="9"/>
  <c r="C633" i="1"/>
  <c r="C548" i="1"/>
  <c r="F245" i="9"/>
  <c r="E85" i="9"/>
  <c r="C512" i="1"/>
  <c r="G512" i="1" s="1"/>
  <c r="C684" i="1"/>
  <c r="C697" i="1"/>
  <c r="C525" i="1"/>
  <c r="G525" i="1" s="1"/>
  <c r="D149" i="9"/>
  <c r="I341" i="9"/>
  <c r="C572" i="1"/>
  <c r="C647" i="1"/>
  <c r="C641" i="1"/>
  <c r="C566" i="1"/>
  <c r="C341" i="9"/>
  <c r="C557" i="1"/>
  <c r="H277" i="9"/>
  <c r="C637" i="1"/>
  <c r="G85" i="9"/>
  <c r="C686" i="1"/>
  <c r="C514" i="1"/>
  <c r="G514" i="1" s="1"/>
  <c r="C571" i="1"/>
  <c r="C646" i="1"/>
  <c r="H341" i="9"/>
  <c r="C541" i="1"/>
  <c r="F213" i="9"/>
  <c r="C713" i="1"/>
  <c r="C532" i="1"/>
  <c r="G532" i="1" s="1"/>
  <c r="D181" i="9"/>
  <c r="C704" i="1"/>
  <c r="H516" i="1"/>
  <c r="C553" i="1"/>
  <c r="C636" i="1"/>
  <c r="D277" i="9"/>
  <c r="E117" i="9"/>
  <c r="C691" i="1"/>
  <c r="C519" i="1"/>
  <c r="G519" i="1" s="1"/>
  <c r="C569" i="1"/>
  <c r="C644" i="1"/>
  <c r="F341" i="9"/>
  <c r="F181" i="9"/>
  <c r="C534" i="1"/>
  <c r="G534" i="1" s="1"/>
  <c r="C706" i="1"/>
  <c r="E734" i="1"/>
  <c r="E815" i="1" s="1"/>
  <c r="CE62" i="1"/>
  <c r="C71" i="1"/>
  <c r="C12" i="9"/>
  <c r="I53" i="9"/>
  <c r="C681" i="1"/>
  <c r="C509" i="1"/>
  <c r="G509" i="1" s="1"/>
  <c r="F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F514" i="1"/>
  <c r="H507" i="1"/>
  <c r="F507" i="1"/>
  <c r="F518" i="1"/>
  <c r="H518" i="1" s="1"/>
  <c r="H546" i="1"/>
  <c r="F546" i="1"/>
  <c r="F506" i="1"/>
  <c r="H506" i="1"/>
  <c r="F500" i="1"/>
  <c r="F509" i="1"/>
  <c r="G524" i="1" l="1"/>
  <c r="H524" i="1"/>
  <c r="H513" i="1"/>
  <c r="H498" i="1"/>
  <c r="H512" i="1"/>
  <c r="H544" i="1"/>
  <c r="H508" i="1"/>
  <c r="H500" i="1"/>
  <c r="H522" i="1"/>
  <c r="H520" i="1"/>
  <c r="H514" i="1"/>
  <c r="G550" i="1"/>
  <c r="H550" i="1" s="1"/>
  <c r="I364" i="9"/>
  <c r="E816" i="1"/>
  <c r="CE71" i="1"/>
  <c r="C428" i="1"/>
  <c r="C441" i="1" s="1"/>
  <c r="C648" i="1"/>
  <c r="M716" i="1" s="1"/>
  <c r="Y816" i="1" s="1"/>
  <c r="D615" i="1"/>
  <c r="C496" i="1"/>
  <c r="G496" i="1" s="1"/>
  <c r="C668" i="1"/>
  <c r="C21" i="9"/>
  <c r="H509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41" i="1"/>
  <c r="D633" i="1"/>
  <c r="D646" i="1"/>
  <c r="D708" i="1"/>
  <c r="D683" i="1"/>
  <c r="D624" i="1"/>
  <c r="D625" i="1"/>
  <c r="D681" i="1"/>
  <c r="D687" i="1"/>
  <c r="D692" i="1"/>
  <c r="D622" i="1"/>
  <c r="D700" i="1"/>
  <c r="D623" i="1"/>
  <c r="D686" i="1"/>
  <c r="D699" i="1"/>
  <c r="D675" i="1"/>
  <c r="D706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68" i="1"/>
  <c r="D680" i="1"/>
  <c r="D643" i="1"/>
  <c r="D619" i="1"/>
  <c r="D695" i="1"/>
  <c r="D688" i="1"/>
  <c r="D679" i="1"/>
  <c r="D693" i="1"/>
  <c r="D618" i="1"/>
  <c r="D644" i="1"/>
  <c r="D645" i="1"/>
  <c r="D704" i="1"/>
  <c r="D639" i="1"/>
  <c r="D628" i="1"/>
  <c r="D705" i="1"/>
  <c r="D711" i="1"/>
  <c r="D631" i="1"/>
  <c r="D630" i="1"/>
  <c r="D682" i="1"/>
  <c r="C716" i="1"/>
  <c r="I373" i="9"/>
  <c r="E623" i="1" l="1"/>
  <c r="E612" i="1"/>
  <c r="D715" i="1"/>
  <c r="E716" i="1" l="1"/>
  <c r="E693" i="1"/>
  <c r="E679" i="1"/>
  <c r="E629" i="1"/>
  <c r="E636" i="1"/>
  <c r="E670" i="1"/>
  <c r="E643" i="1"/>
  <c r="E684" i="1"/>
  <c r="E698" i="1"/>
  <c r="E644" i="1"/>
  <c r="E672" i="1"/>
  <c r="E699" i="1"/>
  <c r="E637" i="1"/>
  <c r="E697" i="1"/>
  <c r="E642" i="1"/>
  <c r="E646" i="1"/>
  <c r="E696" i="1"/>
  <c r="E671" i="1"/>
  <c r="E691" i="1"/>
  <c r="E680" i="1"/>
  <c r="E677" i="1"/>
  <c r="E709" i="1"/>
  <c r="E703" i="1"/>
  <c r="E645" i="1"/>
  <c r="E627" i="1"/>
  <c r="E647" i="1"/>
  <c r="E687" i="1"/>
  <c r="E690" i="1"/>
  <c r="E634" i="1"/>
  <c r="E674" i="1"/>
  <c r="E706" i="1"/>
  <c r="E631" i="1"/>
  <c r="E624" i="1"/>
  <c r="E710" i="1"/>
  <c r="E713" i="1"/>
  <c r="E688" i="1"/>
  <c r="E702" i="1"/>
  <c r="E682" i="1"/>
  <c r="E707" i="1"/>
  <c r="E669" i="1"/>
  <c r="E673" i="1"/>
  <c r="E628" i="1"/>
  <c r="E694" i="1"/>
  <c r="E668" i="1"/>
  <c r="E630" i="1"/>
  <c r="E640" i="1"/>
  <c r="E683" i="1"/>
  <c r="E639" i="1"/>
  <c r="E625" i="1"/>
  <c r="E689" i="1"/>
  <c r="E676" i="1"/>
  <c r="E700" i="1"/>
  <c r="E678" i="1"/>
  <c r="E712" i="1"/>
  <c r="E641" i="1"/>
  <c r="E705" i="1"/>
  <c r="E686" i="1"/>
  <c r="E632" i="1"/>
  <c r="E633" i="1"/>
  <c r="E695" i="1"/>
  <c r="E692" i="1"/>
  <c r="E711" i="1"/>
  <c r="E635" i="1"/>
  <c r="E675" i="1"/>
  <c r="E708" i="1"/>
  <c r="E685" i="1"/>
  <c r="E638" i="1"/>
  <c r="E704" i="1"/>
  <c r="E701" i="1"/>
  <c r="E626" i="1"/>
  <c r="E681" i="1"/>
  <c r="E715" i="1" l="1"/>
  <c r="F624" i="1"/>
  <c r="F708" i="1" l="1"/>
  <c r="F679" i="1"/>
  <c r="F682" i="1"/>
  <c r="F713" i="1"/>
  <c r="F639" i="1"/>
  <c r="F625" i="1"/>
  <c r="F645" i="1"/>
  <c r="F695" i="1"/>
  <c r="F707" i="1"/>
  <c r="F632" i="1"/>
  <c r="F693" i="1"/>
  <c r="F677" i="1"/>
  <c r="F675" i="1"/>
  <c r="F705" i="1"/>
  <c r="F716" i="1"/>
  <c r="F669" i="1"/>
  <c r="F681" i="1"/>
  <c r="F629" i="1"/>
  <c r="F642" i="1"/>
  <c r="F626" i="1"/>
  <c r="F706" i="1"/>
  <c r="F644" i="1"/>
  <c r="F691" i="1"/>
  <c r="F630" i="1"/>
  <c r="F701" i="1"/>
  <c r="F671" i="1"/>
  <c r="F631" i="1"/>
  <c r="F690" i="1"/>
  <c r="F683" i="1"/>
  <c r="F694" i="1"/>
  <c r="F680" i="1"/>
  <c r="F698" i="1"/>
  <c r="F685" i="1"/>
  <c r="F635" i="1"/>
  <c r="F696" i="1"/>
  <c r="F646" i="1"/>
  <c r="F712" i="1"/>
  <c r="F674" i="1"/>
  <c r="F627" i="1"/>
  <c r="F678" i="1"/>
  <c r="F638" i="1"/>
  <c r="F699" i="1"/>
  <c r="F673" i="1"/>
  <c r="F711" i="1"/>
  <c r="F634" i="1"/>
  <c r="F676" i="1"/>
  <c r="F704" i="1"/>
  <c r="F636" i="1"/>
  <c r="F633" i="1"/>
  <c r="F692" i="1"/>
  <c r="F672" i="1"/>
  <c r="F686" i="1"/>
  <c r="F688" i="1"/>
  <c r="F641" i="1"/>
  <c r="F709" i="1"/>
  <c r="F637" i="1"/>
  <c r="F697" i="1"/>
  <c r="F628" i="1"/>
  <c r="F684" i="1"/>
  <c r="F703" i="1"/>
  <c r="F643" i="1"/>
  <c r="F640" i="1"/>
  <c r="F700" i="1"/>
  <c r="F670" i="1"/>
  <c r="F710" i="1"/>
  <c r="F687" i="1"/>
  <c r="F689" i="1"/>
  <c r="F702" i="1"/>
  <c r="F668" i="1"/>
  <c r="F647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7" i="1"/>
  <c r="G684" i="1"/>
  <c r="G675" i="1"/>
  <c r="G704" i="1"/>
  <c r="G678" i="1"/>
  <c r="G685" i="1"/>
  <c r="G713" i="1"/>
  <c r="G716" i="1"/>
  <c r="G633" i="1"/>
  <c r="G641" i="1"/>
  <c r="G708" i="1"/>
  <c r="G699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68" i="1"/>
  <c r="G637" i="1"/>
  <c r="G635" i="1"/>
  <c r="G643" i="1"/>
  <c r="G697" i="1"/>
  <c r="G688" i="1"/>
  <c r="G690" i="1"/>
  <c r="G710" i="1"/>
  <c r="G636" i="1"/>
  <c r="G706" i="1"/>
  <c r="G644" i="1"/>
  <c r="G702" i="1"/>
  <c r="G645" i="1"/>
  <c r="G626" i="1"/>
  <c r="G711" i="1"/>
  <c r="G695" i="1"/>
  <c r="G646" i="1"/>
  <c r="G634" i="1"/>
  <c r="G638" i="1"/>
  <c r="G669" i="1"/>
  <c r="G640" i="1"/>
  <c r="G689" i="1"/>
  <c r="H628" i="1" l="1"/>
  <c r="H701" i="1" s="1"/>
  <c r="G715" i="1"/>
  <c r="H636" i="1" l="1"/>
  <c r="H668" i="1"/>
  <c r="H695" i="1"/>
  <c r="H710" i="1"/>
  <c r="H669" i="1"/>
  <c r="H699" i="1"/>
  <c r="H640" i="1"/>
  <c r="H703" i="1"/>
  <c r="H641" i="1"/>
  <c r="H670" i="1"/>
  <c r="H683" i="1"/>
  <c r="H686" i="1"/>
  <c r="H713" i="1"/>
  <c r="H712" i="1"/>
  <c r="H690" i="1"/>
  <c r="H708" i="1"/>
  <c r="H674" i="1"/>
  <c r="H684" i="1"/>
  <c r="H698" i="1"/>
  <c r="H677" i="1"/>
  <c r="H637" i="1"/>
  <c r="H642" i="1"/>
  <c r="H644" i="1"/>
  <c r="H671" i="1"/>
  <c r="H635" i="1"/>
  <c r="H692" i="1"/>
  <c r="H696" i="1"/>
  <c r="H702" i="1"/>
  <c r="H629" i="1"/>
  <c r="H634" i="1"/>
  <c r="H716" i="1"/>
  <c r="H694" i="1"/>
  <c r="H673" i="1"/>
  <c r="H697" i="1"/>
  <c r="H705" i="1"/>
  <c r="H647" i="1"/>
  <c r="H632" i="1"/>
  <c r="H688" i="1"/>
  <c r="H685" i="1"/>
  <c r="H681" i="1"/>
  <c r="H672" i="1"/>
  <c r="H633" i="1"/>
  <c r="H631" i="1"/>
  <c r="H678" i="1"/>
  <c r="H706" i="1"/>
  <c r="H646" i="1"/>
  <c r="H691" i="1"/>
  <c r="H682" i="1"/>
  <c r="H693" i="1"/>
  <c r="H687" i="1"/>
  <c r="H704" i="1"/>
  <c r="H638" i="1"/>
  <c r="H700" i="1"/>
  <c r="H711" i="1"/>
  <c r="H709" i="1"/>
  <c r="H689" i="1"/>
  <c r="H679" i="1"/>
  <c r="H639" i="1"/>
  <c r="H643" i="1"/>
  <c r="H645" i="1"/>
  <c r="H630" i="1"/>
  <c r="H680" i="1"/>
  <c r="H676" i="1"/>
  <c r="H707" i="1"/>
  <c r="H675" i="1"/>
  <c r="H715" i="1" l="1"/>
  <c r="I629" i="1"/>
  <c r="I670" i="1" s="1"/>
  <c r="I671" i="1" l="1"/>
  <c r="I693" i="1"/>
  <c r="I676" i="1"/>
  <c r="I635" i="1"/>
  <c r="I638" i="1"/>
  <c r="I712" i="1"/>
  <c r="I675" i="1"/>
  <c r="I689" i="1"/>
  <c r="I688" i="1"/>
  <c r="I643" i="1"/>
  <c r="I669" i="1"/>
  <c r="I637" i="1"/>
  <c r="I699" i="1"/>
  <c r="I631" i="1"/>
  <c r="I695" i="1"/>
  <c r="I694" i="1"/>
  <c r="I636" i="1"/>
  <c r="I647" i="1"/>
  <c r="I679" i="1"/>
  <c r="I707" i="1"/>
  <c r="I682" i="1"/>
  <c r="I639" i="1"/>
  <c r="I633" i="1"/>
  <c r="I680" i="1"/>
  <c r="I673" i="1"/>
  <c r="I641" i="1"/>
  <c r="I677" i="1"/>
  <c r="I630" i="1"/>
  <c r="J630" i="1" s="1"/>
  <c r="I672" i="1"/>
  <c r="I642" i="1"/>
  <c r="I632" i="1"/>
  <c r="I687" i="1"/>
  <c r="I685" i="1"/>
  <c r="I691" i="1"/>
  <c r="I674" i="1"/>
  <c r="I640" i="1"/>
  <c r="I645" i="1"/>
  <c r="I698" i="1"/>
  <c r="I706" i="1"/>
  <c r="I703" i="1"/>
  <c r="I690" i="1"/>
  <c r="I678" i="1"/>
  <c r="I644" i="1"/>
  <c r="I702" i="1"/>
  <c r="I697" i="1"/>
  <c r="I705" i="1"/>
  <c r="I709" i="1"/>
  <c r="I684" i="1"/>
  <c r="I692" i="1"/>
  <c r="I701" i="1"/>
  <c r="I700" i="1"/>
  <c r="I710" i="1"/>
  <c r="I668" i="1"/>
  <c r="I686" i="1"/>
  <c r="I646" i="1"/>
  <c r="I713" i="1"/>
  <c r="I696" i="1"/>
  <c r="I708" i="1"/>
  <c r="I704" i="1"/>
  <c r="I683" i="1"/>
  <c r="I716" i="1"/>
  <c r="I634" i="1"/>
  <c r="I711" i="1"/>
  <c r="I681" i="1"/>
  <c r="I715" i="1" l="1"/>
  <c r="J693" i="1"/>
  <c r="J691" i="1"/>
  <c r="J709" i="1"/>
  <c r="J636" i="1"/>
  <c r="J708" i="1"/>
  <c r="J696" i="1"/>
  <c r="J704" i="1"/>
  <c r="J668" i="1"/>
  <c r="J644" i="1"/>
  <c r="J680" i="1"/>
  <c r="J672" i="1"/>
  <c r="J641" i="1"/>
  <c r="J689" i="1"/>
  <c r="J711" i="1"/>
  <c r="J677" i="1"/>
  <c r="J673" i="1"/>
  <c r="J678" i="1"/>
  <c r="J699" i="1"/>
  <c r="J698" i="1"/>
  <c r="J706" i="1"/>
  <c r="J638" i="1"/>
  <c r="J643" i="1"/>
  <c r="J701" i="1"/>
  <c r="J707" i="1"/>
  <c r="J712" i="1"/>
  <c r="J635" i="1"/>
  <c r="J703" i="1"/>
  <c r="J679" i="1"/>
  <c r="J647" i="1"/>
  <c r="J637" i="1"/>
  <c r="J671" i="1"/>
  <c r="J697" i="1"/>
  <c r="J632" i="1"/>
  <c r="J685" i="1"/>
  <c r="J675" i="1"/>
  <c r="J646" i="1"/>
  <c r="J692" i="1"/>
  <c r="J686" i="1"/>
  <c r="J684" i="1"/>
  <c r="J633" i="1"/>
  <c r="J687" i="1"/>
  <c r="J674" i="1"/>
  <c r="J639" i="1"/>
  <c r="J669" i="1"/>
  <c r="J682" i="1"/>
  <c r="J695" i="1"/>
  <c r="J634" i="1"/>
  <c r="J700" i="1"/>
  <c r="J705" i="1"/>
  <c r="J690" i="1"/>
  <c r="J631" i="1"/>
  <c r="J645" i="1"/>
  <c r="J688" i="1"/>
  <c r="J640" i="1"/>
  <c r="J681" i="1"/>
  <c r="J710" i="1"/>
  <c r="J670" i="1"/>
  <c r="J694" i="1"/>
  <c r="J716" i="1"/>
  <c r="J676" i="1"/>
  <c r="J713" i="1"/>
  <c r="J683" i="1"/>
  <c r="J702" i="1"/>
  <c r="J642" i="1"/>
  <c r="L647" i="1" l="1"/>
  <c r="L705" i="1" s="1"/>
  <c r="K644" i="1"/>
  <c r="K672" i="1" s="1"/>
  <c r="J715" i="1"/>
  <c r="L684" i="1" l="1"/>
  <c r="L699" i="1"/>
  <c r="L706" i="1"/>
  <c r="K697" i="1"/>
  <c r="L710" i="1"/>
  <c r="L688" i="1"/>
  <c r="L687" i="1"/>
  <c r="L703" i="1"/>
  <c r="L698" i="1"/>
  <c r="K707" i="1"/>
  <c r="K716" i="1"/>
  <c r="K705" i="1"/>
  <c r="M705" i="1" s="1"/>
  <c r="Y771" i="1" s="1"/>
  <c r="L673" i="1"/>
  <c r="K710" i="1"/>
  <c r="L678" i="1"/>
  <c r="L675" i="1"/>
  <c r="L701" i="1"/>
  <c r="L692" i="1"/>
  <c r="L680" i="1"/>
  <c r="L708" i="1"/>
  <c r="L672" i="1"/>
  <c r="M672" i="1" s="1"/>
  <c r="L674" i="1"/>
  <c r="K706" i="1"/>
  <c r="M706" i="1" s="1"/>
  <c r="Y772" i="1" s="1"/>
  <c r="K712" i="1"/>
  <c r="K699" i="1"/>
  <c r="K685" i="1"/>
  <c r="K684" i="1"/>
  <c r="K713" i="1"/>
  <c r="L695" i="1"/>
  <c r="L683" i="1"/>
  <c r="L681" i="1"/>
  <c r="L700" i="1"/>
  <c r="L689" i="1"/>
  <c r="L716" i="1"/>
  <c r="K698" i="1"/>
  <c r="K687" i="1"/>
  <c r="K692" i="1"/>
  <c r="K686" i="1"/>
  <c r="K693" i="1"/>
  <c r="K711" i="1"/>
  <c r="L682" i="1"/>
  <c r="L670" i="1"/>
  <c r="L707" i="1"/>
  <c r="L669" i="1"/>
  <c r="L677" i="1"/>
  <c r="L697" i="1"/>
  <c r="L686" i="1"/>
  <c r="L668" i="1"/>
  <c r="L712" i="1"/>
  <c r="L676" i="1"/>
  <c r="L711" i="1"/>
  <c r="L679" i="1"/>
  <c r="K696" i="1"/>
  <c r="K673" i="1"/>
  <c r="K669" i="1"/>
  <c r="K688" i="1"/>
  <c r="K681" i="1"/>
  <c r="K679" i="1"/>
  <c r="L690" i="1"/>
  <c r="L713" i="1"/>
  <c r="M713" i="1" s="1"/>
  <c r="F215" i="9" s="1"/>
  <c r="L691" i="1"/>
  <c r="L693" i="1"/>
  <c r="L671" i="1"/>
  <c r="L696" i="1"/>
  <c r="L685" i="1"/>
  <c r="L694" i="1"/>
  <c r="L704" i="1"/>
  <c r="L709" i="1"/>
  <c r="L702" i="1"/>
  <c r="K671" i="1"/>
  <c r="K676" i="1"/>
  <c r="K677" i="1"/>
  <c r="K695" i="1"/>
  <c r="K691" i="1"/>
  <c r="K702" i="1"/>
  <c r="K678" i="1"/>
  <c r="K690" i="1"/>
  <c r="K694" i="1"/>
  <c r="K700" i="1"/>
  <c r="K701" i="1"/>
  <c r="K709" i="1"/>
  <c r="K689" i="1"/>
  <c r="K674" i="1"/>
  <c r="K682" i="1"/>
  <c r="K675" i="1"/>
  <c r="K704" i="1"/>
  <c r="K683" i="1"/>
  <c r="K680" i="1"/>
  <c r="K708" i="1"/>
  <c r="K703" i="1"/>
  <c r="K670" i="1"/>
  <c r="K668" i="1"/>
  <c r="M698" i="1" l="1"/>
  <c r="E151" i="9" s="1"/>
  <c r="M682" i="1"/>
  <c r="Y748" i="1" s="1"/>
  <c r="L715" i="1"/>
  <c r="M707" i="1"/>
  <c r="G183" i="9" s="1"/>
  <c r="M684" i="1"/>
  <c r="E87" i="9" s="1"/>
  <c r="M710" i="1"/>
  <c r="Y776" i="1" s="1"/>
  <c r="M677" i="1"/>
  <c r="E55" i="9" s="1"/>
  <c r="M699" i="1"/>
  <c r="Y765" i="1" s="1"/>
  <c r="M703" i="1"/>
  <c r="C183" i="9" s="1"/>
  <c r="M697" i="1"/>
  <c r="Y763" i="1" s="1"/>
  <c r="M688" i="1"/>
  <c r="Y754" i="1" s="1"/>
  <c r="M687" i="1"/>
  <c r="H87" i="9" s="1"/>
  <c r="Y750" i="1"/>
  <c r="M680" i="1"/>
  <c r="H55" i="9" s="1"/>
  <c r="M678" i="1"/>
  <c r="F55" i="9" s="1"/>
  <c r="M685" i="1"/>
  <c r="F87" i="9" s="1"/>
  <c r="M683" i="1"/>
  <c r="D87" i="9" s="1"/>
  <c r="M708" i="1"/>
  <c r="Y774" i="1" s="1"/>
  <c r="M675" i="1"/>
  <c r="C55" i="9" s="1"/>
  <c r="M673" i="1"/>
  <c r="H23" i="9" s="1"/>
  <c r="M701" i="1"/>
  <c r="H151" i="9" s="1"/>
  <c r="M712" i="1"/>
  <c r="Y778" i="1" s="1"/>
  <c r="M702" i="1"/>
  <c r="I151" i="9" s="1"/>
  <c r="Y738" i="1"/>
  <c r="G23" i="9"/>
  <c r="M704" i="1"/>
  <c r="Y770" i="1" s="1"/>
  <c r="M689" i="1"/>
  <c r="Y755" i="1" s="1"/>
  <c r="M674" i="1"/>
  <c r="Y740" i="1" s="1"/>
  <c r="M690" i="1"/>
  <c r="D119" i="9" s="1"/>
  <c r="Y779" i="1"/>
  <c r="M692" i="1"/>
  <c r="Y758" i="1" s="1"/>
  <c r="Y764" i="1"/>
  <c r="M709" i="1"/>
  <c r="I183" i="9" s="1"/>
  <c r="M695" i="1"/>
  <c r="I119" i="9" s="1"/>
  <c r="E183" i="9"/>
  <c r="M679" i="1"/>
  <c r="Y745" i="1" s="1"/>
  <c r="M686" i="1"/>
  <c r="M700" i="1"/>
  <c r="G151" i="9" s="1"/>
  <c r="M681" i="1"/>
  <c r="I55" i="9" s="1"/>
  <c r="M696" i="1"/>
  <c r="M670" i="1"/>
  <c r="Y736" i="1" s="1"/>
  <c r="M676" i="1"/>
  <c r="Y742" i="1" s="1"/>
  <c r="M694" i="1"/>
  <c r="H119" i="9" s="1"/>
  <c r="M691" i="1"/>
  <c r="Y757" i="1" s="1"/>
  <c r="M671" i="1"/>
  <c r="F23" i="9" s="1"/>
  <c r="F183" i="9"/>
  <c r="M669" i="1"/>
  <c r="M711" i="1"/>
  <c r="M693" i="1"/>
  <c r="K715" i="1"/>
  <c r="M668" i="1"/>
  <c r="C215" i="9" l="1"/>
  <c r="C87" i="9"/>
  <c r="D151" i="9"/>
  <c r="Y773" i="1"/>
  <c r="Y743" i="1"/>
  <c r="Y769" i="1"/>
  <c r="I23" i="9"/>
  <c r="Y749" i="1"/>
  <c r="Y775" i="1"/>
  <c r="H183" i="9"/>
  <c r="G55" i="9"/>
  <c r="F151" i="9"/>
  <c r="I87" i="9"/>
  <c r="Y751" i="1"/>
  <c r="Y753" i="1"/>
  <c r="F119" i="9"/>
  <c r="Y737" i="1"/>
  <c r="Y739" i="1"/>
  <c r="Y747" i="1"/>
  <c r="C119" i="9"/>
  <c r="Y746" i="1"/>
  <c r="Y744" i="1"/>
  <c r="Y767" i="1"/>
  <c r="Y741" i="1"/>
  <c r="E215" i="9"/>
  <c r="Y768" i="1"/>
  <c r="Y756" i="1"/>
  <c r="D183" i="9"/>
  <c r="Y766" i="1"/>
  <c r="E119" i="9"/>
  <c r="Y760" i="1"/>
  <c r="E23" i="9"/>
  <c r="Y761" i="1"/>
  <c r="D55" i="9"/>
  <c r="C151" i="9"/>
  <c r="Y762" i="1"/>
  <c r="Y752" i="1"/>
  <c r="G87" i="9"/>
  <c r="Y735" i="1"/>
  <c r="D23" i="9"/>
  <c r="Y759" i="1"/>
  <c r="G119" i="9"/>
  <c r="Y777" i="1"/>
  <c r="D215" i="9"/>
  <c r="Y734" i="1"/>
  <c r="C23" i="9"/>
  <c r="M715" i="1"/>
  <c r="Y815" i="1" l="1"/>
</calcChain>
</file>

<file path=xl/sharedStrings.xml><?xml version="1.0" encoding="utf-8"?>
<sst xmlns="http://schemas.openxmlformats.org/spreadsheetml/2006/main" count="4950" uniqueCount="1284">
  <si>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</si>
  <si>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</si>
  <si>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</si>
  <si>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</si>
  <si>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</si>
  <si>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</si>
  <si>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</si>
  <si>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</si>
  <si>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</si>
  <si>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</si>
  <si>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</si>
  <si>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</si>
  <si>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</si>
  <si>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</si>
  <si>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</si>
  <si>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</si>
  <si>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</si>
  <si>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</si>
  <si>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</si>
  <si>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</si>
  <si>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</si>
  <si>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</si>
  <si>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</si>
  <si>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</si>
  <si>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</si>
  <si>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</si>
  <si>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</si>
  <si>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</si>
  <si>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</si>
  <si>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</si>
  <si>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</si>
  <si>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</si>
  <si>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</si>
  <si>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</si>
  <si>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</si>
  <si>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</si>
  <si>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</si>
  <si>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</si>
  <si>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</si>
  <si>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</si>
  <si>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</si>
  <si>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</si>
  <si>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</si>
  <si>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</si>
  <si>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</si>
  <si>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</si>
  <si>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</si>
  <si>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</si>
  <si>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</si>
  <si>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</si>
  <si>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</si>
  <si>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</si>
  <si>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</si>
  <si>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</si>
  <si>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</si>
  <si>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</si>
  <si>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</si>
  <si>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</si>
  <si>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</si>
  <si>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</si>
  <si>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</si>
  <si>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</si>
  <si>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</si>
  <si>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</si>
  <si>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</si>
  <si>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</si>
  <si>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</si>
  <si>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</si>
  <si>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</si>
  <si>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</si>
  <si>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</si>
  <si>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</si>
  <si>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</si>
  <si>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</si>
  <si>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</si>
  <si>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</si>
  <si>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</si>
  <si>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</si>
  <si>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</si>
  <si>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</si>
  <si>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</si>
  <si>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</si>
  <si>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</si>
  <si>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</si>
  <si>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</si>
  <si>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</si>
  <si>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</si>
  <si>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</si>
  <si>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</si>
  <si>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</si>
  <si>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</si>
  <si>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</si>
  <si>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</si>
  <si>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</si>
  <si>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</si>
  <si>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</si>
  <si>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</si>
  <si>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</si>
  <si>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</si>
  <si>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</si>
  <si>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</si>
  <si>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</si>
  <si>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</si>
  <si>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</si>
  <si>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</si>
  <si>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</si>
  <si>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</si>
  <si>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</si>
  <si>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</si>
  <si>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</si>
  <si>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</si>
  <si>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</si>
  <si>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</si>
  <si>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</si>
  <si>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</si>
  <si>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</si>
  <si>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</si>
  <si>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</si>
  <si>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</si>
  <si>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</si>
  <si>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</si>
  <si>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</si>
  <si>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</si>
  <si>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</si>
  <si>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</si>
  <si>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</si>
  <si>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</si>
  <si>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</si>
  <si>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</si>
  <si>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</si>
  <si>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</si>
  <si>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</si>
  <si>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</si>
  <si>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</si>
  <si>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</si>
  <si>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</si>
  <si>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</si>
  <si>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</si>
  <si>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</si>
  <si>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</si>
  <si>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</si>
  <si>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</si>
  <si>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</si>
  <si>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</si>
  <si>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</si>
  <si>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</si>
  <si>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</si>
  <si>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</si>
  <si>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</si>
  <si>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</si>
  <si>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</si>
  <si>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</si>
  <si>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</si>
  <si>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</si>
  <si>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</si>
  <si>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</si>
  <si>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</si>
  <si>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</si>
  <si>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</si>
  <si>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</si>
  <si>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</si>
  <si>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</si>
  <si>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</si>
  <si>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</si>
  <si>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</si>
  <si>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</si>
  <si>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</si>
  <si>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</si>
  <si>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</si>
  <si>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</si>
  <si>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</si>
  <si>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</si>
  <si>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</si>
  <si>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</si>
  <si>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</si>
  <si>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</si>
  <si>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</si>
  <si>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</si>
  <si>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</si>
  <si>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</si>
  <si>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</si>
  <si>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</si>
  <si>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</si>
  <si>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</si>
  <si>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</si>
  <si>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</si>
  <si>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</si>
  <si>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</si>
  <si>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</si>
  <si>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</si>
  <si>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</si>
  <si>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</si>
  <si>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</si>
  <si>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</si>
  <si>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</si>
  <si>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</si>
  <si>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</si>
  <si>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</si>
  <si>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</si>
  <si>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</si>
  <si>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</si>
  <si>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</si>
  <si>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</si>
  <si>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</si>
  <si>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</si>
  <si>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</si>
  <si>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</si>
  <si>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</si>
  <si>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</si>
  <si>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</si>
  <si>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</si>
  <si>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</si>
  <si>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</si>
  <si>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</si>
  <si>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</si>
  <si>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</si>
  <si>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</si>
  <si>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</si>
  <si>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</si>
  <si>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</si>
  <si>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</si>
  <si>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</si>
  <si>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</si>
  <si>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</si>
  <si>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</si>
  <si>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</si>
  <si>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</si>
  <si>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</si>
  <si>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</si>
  <si>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</si>
  <si>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</si>
  <si>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</si>
  <si>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</si>
  <si>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</si>
  <si>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</si>
  <si>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</si>
  <si>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</si>
  <si>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</si>
  <si>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</si>
  <si>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</si>
  <si>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</si>
  <si>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</si>
  <si>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</si>
  <si>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</si>
  <si>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</si>
  <si>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</si>
  <si>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</si>
  <si>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</si>
  <si>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</si>
  <si>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</si>
  <si>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</si>
  <si>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</si>
  <si>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</si>
  <si>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</si>
  <si>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</si>
  <si>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</si>
  <si>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</si>
  <si>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</si>
  <si>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</si>
  <si>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</si>
  <si>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</si>
  <si>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</si>
  <si>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</si>
  <si>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</si>
  <si>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</si>
  <si>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</si>
  <si>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</si>
  <si>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</si>
  <si>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</si>
  <si>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</si>
  <si>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</si>
  <si>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</si>
  <si>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</si>
  <si>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</si>
  <si>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</si>
  <si>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</si>
  <si>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</si>
  <si>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</si>
  <si>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</si>
  <si>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</si>
  <si>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</si>
  <si>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</si>
  <si>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</si>
  <si>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</si>
  <si>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</si>
  <si>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</si>
  <si>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</si>
  <si>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</si>
  <si>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</si>
  <si>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</si>
  <si>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</si>
  <si>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</si>
  <si>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</si>
  <si>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</si>
  <si>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</si>
  <si>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</si>
  <si>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</si>
  <si>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</si>
  <si>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</si>
  <si>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</si>
  <si>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</si>
  <si>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</si>
  <si>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</si>
  <si>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</si>
  <si>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</si>
  <si>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</si>
  <si>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</si>
  <si>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</si>
  <si>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</si>
  <si>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</si>
  <si>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</si>
  <si>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</si>
  <si>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</si>
  <si>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</si>
  <si>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</si>
  <si>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</si>
  <si>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</si>
  <si>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</si>
  <si>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</si>
  <si>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</si>
  <si>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</si>
  <si>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</si>
  <si>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</si>
  <si>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</si>
  <si>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</si>
  <si>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</si>
  <si>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</si>
  <si>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</si>
  <si>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</si>
  <si>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</si>
  <si>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</si>
  <si>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</si>
  <si>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</si>
  <si>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</si>
  <si>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</si>
  <si>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</si>
  <si>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</si>
  <si>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</si>
  <si>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</si>
  <si>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</si>
  <si>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</si>
  <si>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</si>
  <si>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</si>
  <si>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</si>
  <si>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</si>
  <si>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</si>
  <si>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</si>
  <si>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</si>
  <si>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</si>
  <si>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</si>
  <si>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</si>
  <si>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</si>
  <si>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</si>
  <si>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</si>
  <si>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</si>
  <si>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</si>
  <si>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</si>
  <si>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</si>
  <si>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</si>
  <si>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</si>
  <si>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</si>
  <si>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</si>
  <si>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</si>
  <si>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</si>
  <si>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</si>
  <si>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</si>
  <si>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</si>
  <si>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</si>
  <si>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</si>
  <si>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</si>
  <si>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</si>
  <si>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</si>
  <si>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</si>
  <si>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</si>
  <si>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</si>
  <si>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</si>
  <si>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</si>
  <si>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</si>
  <si>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</si>
  <si>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</si>
  <si>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</si>
  <si>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</si>
  <si>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</si>
  <si>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</si>
  <si>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</si>
  <si>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</si>
  <si>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</si>
  <si>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</si>
  <si>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</si>
  <si>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</si>
  <si>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</si>
  <si>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</si>
  <si>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</si>
  <si>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</si>
  <si>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</si>
  <si>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</si>
  <si>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</si>
  <si>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</si>
  <si>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</si>
  <si>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</si>
  <si>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</si>
  <si>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</si>
  <si>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</si>
  <si>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</si>
  <si>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</si>
  <si>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</si>
  <si>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</si>
  <si>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</si>
  <si>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</si>
  <si>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</si>
  <si>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</si>
  <si>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</si>
  <si>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</si>
  <si>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</si>
  <si>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</si>
  <si>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</si>
  <si>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</si>
  <si>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</si>
  <si>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</si>
  <si>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</si>
  <si>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</si>
  <si>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</si>
  <si>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</si>
  <si>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</si>
  <si>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</si>
  <si>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</si>
  <si>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</si>
  <si>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</si>
  <si>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</si>
  <si>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</si>
  <si>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</si>
  <si>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</si>
  <si>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</si>
  <si>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</si>
  <si>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</si>
  <si>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</si>
  <si>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</si>
  <si>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</si>
  <si>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</si>
  <si>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</si>
  <si>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</si>
  <si>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</si>
  <si>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</si>
  <si>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</si>
  <si>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</si>
  <si>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</si>
  <si>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</si>
  <si>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</si>
  <si>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</si>
  <si>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</si>
  <si>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</si>
  <si>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</si>
  <si>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</si>
  <si>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</si>
  <si>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</si>
  <si>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</si>
  <si>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</si>
  <si>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</si>
  <si>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</si>
  <si>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</si>
  <si>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</si>
  <si>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</si>
  <si>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</si>
  <si>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</si>
  <si>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</si>
  <si>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</si>
  <si>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</si>
  <si>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</si>
  <si>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</si>
  <si>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</si>
  <si>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</si>
  <si>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</si>
  <si>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</si>
  <si>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</si>
  <si>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</si>
  <si>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</si>
  <si>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</si>
  <si>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</si>
  <si>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</si>
  <si>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</si>
  <si>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</si>
  <si>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</si>
  <si>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</si>
  <si>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</si>
  <si>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</si>
  <si>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</si>
  <si>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</si>
  <si>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</si>
  <si>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</si>
  <si>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</si>
  <si>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</si>
  <si>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</si>
  <si>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</si>
  <si>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</si>
  <si>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</si>
  <si>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</si>
  <si>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</si>
  <si>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</si>
  <si>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</si>
  <si>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</si>
  <si>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</si>
  <si>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</si>
  <si>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</si>
  <si>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</si>
  <si>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</si>
  <si>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</si>
  <si>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</si>
  <si>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</si>
  <si>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</si>
  <si>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</si>
  <si>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</si>
  <si>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</si>
  <si>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</si>
  <si>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</si>
  <si>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</si>
  <si>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</si>
  <si>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</si>
  <si>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</si>
  <si>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</si>
  <si>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</si>
  <si>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</si>
  <si>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</si>
  <si>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</si>
  <si>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</si>
  <si>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</si>
  <si>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</si>
  <si>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</si>
  <si>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</si>
  <si>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</si>
  <si>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</si>
  <si>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</si>
  <si>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</si>
  <si>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</si>
  <si>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</si>
  <si>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</si>
  <si>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</si>
  <si>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</si>
  <si>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</si>
  <si>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</si>
  <si>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</si>
  <si>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</si>
  <si>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</si>
  <si>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</si>
  <si>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</si>
  <si>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</si>
  <si>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</si>
  <si>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</si>
  <si>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</si>
  <si>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</si>
  <si>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</si>
  <si>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</si>
  <si>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</si>
  <si>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</si>
  <si>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</si>
  <si>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</si>
  <si>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</si>
  <si>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</si>
  <si>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</si>
  <si>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</si>
  <si>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</si>
  <si>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</si>
  <si>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</si>
  <si>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</si>
  <si>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</si>
  <si>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</si>
  <si>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</si>
  <si>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</si>
  <si>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</si>
  <si>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</si>
  <si>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</si>
  <si>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</si>
  <si>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</si>
  <si>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</si>
  <si>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</si>
  <si>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</si>
  <si>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</si>
  <si>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</si>
  <si>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</si>
  <si>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</si>
  <si>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</si>
  <si>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</si>
  <si>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</si>
  <si>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</si>
  <si>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</si>
  <si>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</si>
  <si>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</si>
  <si>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</si>
  <si>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</si>
  <si>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</si>
  <si>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</si>
  <si>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</si>
  <si>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</si>
  <si>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</si>
  <si>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</si>
  <si>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</si>
  <si>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</si>
  <si>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</si>
  <si>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</si>
  <si>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</si>
  <si>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</si>
  <si>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</si>
  <si>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</si>
  <si>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</si>
  <si>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</si>
  <si>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</si>
  <si>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</si>
  <si>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</si>
  <si>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</si>
  <si>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</si>
  <si>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</si>
  <si>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</si>
  <si>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</si>
  <si>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</si>
  <si>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</si>
  <si>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</si>
  <si>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</si>
  <si>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</si>
  <si>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</si>
  <si>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</si>
  <si>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</si>
  <si>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</si>
  <si>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</si>
  <si>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</si>
  <si>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</si>
  <si>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</si>
  <si>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</si>
  <si>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</si>
  <si>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</si>
  <si>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</si>
  <si>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</si>
  <si>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</si>
  <si>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</si>
  <si>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</si>
  <si>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</si>
  <si>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</si>
  <si>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</si>
  <si>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</si>
  <si>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</si>
  <si>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</si>
  <si>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</si>
  <si>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</si>
  <si>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</si>
  <si>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</si>
  <si>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</si>
  <si>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</si>
  <si>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</si>
  <si>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</si>
  <si>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</si>
  <si>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</si>
  <si>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</si>
  <si>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</si>
  <si>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</si>
  <si>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</si>
  <si>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</si>
  <si>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</si>
  <si>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</si>
  <si>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</si>
  <si>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</si>
  <si>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</si>
  <si>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</si>
  <si>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</si>
  <si>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</si>
  <si>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</si>
  <si>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</si>
  <si>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</si>
  <si>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</si>
  <si>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</si>
  <si>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</si>
  <si>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</si>
  <si>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</si>
  <si>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</si>
  <si>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</si>
  <si>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</si>
  <si>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</si>
  <si>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</si>
  <si>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</si>
  <si>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</si>
  <si>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</si>
  <si>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</si>
  <si>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</si>
  <si>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</si>
  <si>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</si>
  <si>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</si>
  <si>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</si>
  <si>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</si>
  <si>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</si>
  <si>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</si>
  <si>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</si>
  <si>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</si>
  <si>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</si>
  <si>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</si>
  <si>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</si>
  <si>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</si>
  <si>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</si>
  <si>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</si>
  <si>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</si>
  <si>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</si>
  <si>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</si>
  <si>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</si>
  <si>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</si>
  <si>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</si>
  <si>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</si>
  <si>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</si>
  <si>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</si>
  <si>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</si>
  <si>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</si>
  <si>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</si>
  <si>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</si>
  <si>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</si>
  <si>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</si>
  <si>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</si>
  <si>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</si>
  <si>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</si>
  <si>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</si>
  <si>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</si>
  <si>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</si>
  <si>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</si>
  <si>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</si>
  <si>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</si>
  <si>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</si>
  <si>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</si>
  <si>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</si>
  <si>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</si>
  <si>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</si>
  <si>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</si>
  <si>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</si>
  <si>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</si>
  <si>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</si>
  <si>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</si>
  <si>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</si>
  <si>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</si>
  <si>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</si>
  <si>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</si>
  <si>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</si>
  <si>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</si>
  <si>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</si>
  <si>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</si>
  <si>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</si>
  <si>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</si>
  <si>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</si>
  <si>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</si>
  <si>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</si>
  <si>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</si>
  <si>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</si>
  <si>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</si>
  <si>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</si>
  <si>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</si>
  <si>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</si>
  <si>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</si>
  <si>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</si>
  <si>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</si>
  <si>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</si>
  <si>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</si>
  <si>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</si>
  <si>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</si>
  <si>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</si>
  <si>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</si>
  <si>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</si>
  <si>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</si>
  <si>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</si>
  <si>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</si>
  <si>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</si>
  <si>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</si>
  <si>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</si>
  <si>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</si>
  <si>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</si>
  <si>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</si>
  <si>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</si>
  <si>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</si>
  <si>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</si>
  <si>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</si>
  <si>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</si>
  <si>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</si>
  <si>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</si>
  <si>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</si>
  <si>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</si>
  <si>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</si>
  <si>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</si>
  <si>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</si>
  <si>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</si>
  <si>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</si>
  <si>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</si>
  <si>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</si>
  <si>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</si>
  <si>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</si>
  <si>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</si>
  <si>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</si>
  <si>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</si>
  <si>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</si>
  <si>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</si>
  <si>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</si>
  <si>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</si>
  <si>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</si>
  <si>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</si>
  <si>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</si>
  <si>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</si>
  <si>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</si>
  <si>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</si>
  <si>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</si>
  <si>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</si>
  <si>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</si>
  <si>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</si>
  <si>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</si>
  <si>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</si>
  <si>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</si>
  <si>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</si>
  <si>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</si>
  <si>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</si>
  <si>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</si>
  <si>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</si>
  <si>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</si>
  <si>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</si>
  <si>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</si>
  <si>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</si>
  <si>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</si>
  <si>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</si>
  <si>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</si>
  <si>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</si>
  <si>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</si>
  <si>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</si>
  <si>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</si>
  <si>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</si>
  <si>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</si>
  <si>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</si>
  <si>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</si>
  <si>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</si>
  <si>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</si>
  <si>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</si>
  <si>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</si>
  <si>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</si>
  <si>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</si>
  <si>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</si>
  <si>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</si>
  <si>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</si>
  <si>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</si>
  <si>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</si>
  <si>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</si>
  <si>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</si>
  <si>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</si>
  <si>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</si>
  <si>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</si>
  <si>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</si>
  <si>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</si>
  <si>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</si>
  <si>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</si>
  <si>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</si>
  <si>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</si>
  <si>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</si>
  <si>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</si>
  <si>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</si>
  <si>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</si>
  <si>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</si>
  <si>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</si>
  <si>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</si>
  <si>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</si>
  <si>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</si>
  <si>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</si>
  <si>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</si>
  <si>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</si>
  <si>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</si>
  <si>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</si>
  <si>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</si>
  <si>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</si>
  <si>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</si>
  <si>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</si>
  <si>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</si>
  <si>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</si>
  <si>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</si>
  <si>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</si>
  <si>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</si>
  <si>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</si>
  <si>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</si>
  <si>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</si>
  <si>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</si>
  <si>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</si>
  <si>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</si>
  <si>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</si>
  <si>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</si>
  <si>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</si>
  <si>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</si>
  <si>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</si>
  <si>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</si>
  <si>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</si>
  <si>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</si>
  <si>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</si>
  <si>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</si>
  <si>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</si>
  <si>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</si>
  <si>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</si>
  <si>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</si>
  <si>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</si>
  <si>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</si>
  <si>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</si>
  <si>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</si>
  <si>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</si>
  <si>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</si>
  <si>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</si>
  <si>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</si>
  <si>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</si>
  <si>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</si>
  <si>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</si>
  <si>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</si>
  <si>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</si>
  <si>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</si>
  <si>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</si>
  <si>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</si>
  <si>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</si>
  <si>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</si>
  <si>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</si>
  <si>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</si>
  <si>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</si>
  <si>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</si>
  <si>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</si>
  <si>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</si>
  <si>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</si>
  <si>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</si>
  <si>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</si>
  <si>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</si>
  <si>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</si>
  <si>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</si>
  <si>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</si>
  <si>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</si>
  <si>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</si>
  <si>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</si>
  <si>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</si>
  <si>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</si>
  <si>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</si>
  <si>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</si>
  <si>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</si>
  <si>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</si>
  <si>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</si>
  <si>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</si>
  <si>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</si>
  <si>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</si>
  <si>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</si>
  <si>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</si>
  <si>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</si>
  <si>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</si>
  <si>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</si>
  <si>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</si>
  <si>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</si>
  <si>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</si>
  <si>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</si>
  <si>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</si>
  <si>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</si>
  <si>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</si>
  <si>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</si>
  <si>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</si>
  <si>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</si>
  <si>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</si>
  <si>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</si>
  <si>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</si>
  <si>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</si>
  <si>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</si>
  <si>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</si>
  <si>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</si>
  <si>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</si>
  <si>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</si>
  <si>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</si>
  <si>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</si>
  <si>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</si>
  <si>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</si>
  <si>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</si>
  <si>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</si>
  <si>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</si>
  <si>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</si>
  <si>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</si>
  <si>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</si>
  <si>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</si>
  <si>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</si>
  <si>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</si>
  <si>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</si>
  <si>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</si>
  <si>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</si>
  <si>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</si>
  <si>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</si>
  <si>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</si>
  <si>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</si>
  <si>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</si>
  <si>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</si>
  <si>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</si>
  <si>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</si>
  <si>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</si>
  <si>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</si>
  <si>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</si>
  <si>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</si>
  <si>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</si>
  <si>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</si>
  <si>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</si>
  <si>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</si>
  <si>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</si>
  <si>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</si>
  <si>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</si>
  <si>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</si>
  <si>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</si>
  <si>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</si>
  <si>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</si>
  <si>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</si>
  <si>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</si>
  <si>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</si>
  <si>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</si>
  <si>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</si>
  <si>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</si>
  <si>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</si>
  <si>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</si>
  <si>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</si>
  <si>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</si>
  <si>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</si>
  <si>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</si>
  <si>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</si>
  <si>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</si>
  <si>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</si>
  <si>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</si>
  <si>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</si>
  <si>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</si>
  <si>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</si>
  <si>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</si>
  <si>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</si>
  <si>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</si>
  <si>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</si>
  <si>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</si>
  <si>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</si>
  <si>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</si>
  <si>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</si>
  <si>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</si>
  <si>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</si>
  <si>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</si>
  <si>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</si>
  <si>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</si>
  <si>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</si>
  <si>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</si>
  <si>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</si>
  <si>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</si>
  <si>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</si>
  <si>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</si>
  <si>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</si>
  <si>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</si>
  <si>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</si>
  <si>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</si>
  <si>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</si>
  <si>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</si>
  <si>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</si>
  <si>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</si>
  <si>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</si>
  <si>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</si>
  <si>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</si>
  <si>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</si>
  <si>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</si>
  <si>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</si>
  <si>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</si>
  <si>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</si>
  <si>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</si>
  <si>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</si>
  <si>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</si>
  <si>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</si>
  <si>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</si>
  <si>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</si>
  <si>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</si>
  <si>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</si>
  <si>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</si>
  <si>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</si>
  <si>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</si>
  <si>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</si>
  <si>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</si>
  <si>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</si>
  <si>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</si>
  <si>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</si>
  <si>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</si>
  <si>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</si>
  <si>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</si>
  <si>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</si>
  <si>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</si>
  <si>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</si>
  <si>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</si>
  <si>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</si>
  <si>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</si>
  <si>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</si>
  <si>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</si>
  <si>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</si>
  <si>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</si>
  <si>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</si>
  <si>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</si>
  <si>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</si>
  <si>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</si>
  <si>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</si>
  <si>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</si>
  <si>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</si>
  <si>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</si>
  <si>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</si>
  <si>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</si>
  <si>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</si>
  <si>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</si>
  <si>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</si>
  <si>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</si>
  <si>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</si>
  <si>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</si>
  <si>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</si>
  <si>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</si>
  <si>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</si>
  <si>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</si>
  <si>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</si>
  <si>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</si>
  <si>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</si>
  <si>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</si>
  <si>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</si>
  <si>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</si>
  <si>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</si>
  <si>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</si>
  <si>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</si>
  <si>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</si>
  <si>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</si>
  <si>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</si>
  <si>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</si>
  <si>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</si>
  <si>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</si>
  <si>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</si>
  <si>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</si>
  <si>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</si>
  <si>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</si>
  <si>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</si>
  <si>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</si>
  <si>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</si>
  <si>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</si>
  <si>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</si>
  <si>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</si>
  <si>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</si>
  <si>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</si>
  <si>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</si>
  <si>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</si>
  <si>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</si>
  <si>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</si>
  <si>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</si>
  <si>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</si>
  <si>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</si>
  <si>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</si>
  <si>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</si>
  <si>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</si>
  <si>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</si>
  <si>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</si>
  <si>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</si>
  <si>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</si>
  <si>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</si>
  <si>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</si>
  <si>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</si>
  <si>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</si>
  <si>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</si>
  <si>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</si>
  <si>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</si>
  <si>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</si>
  <si>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</si>
  <si>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</si>
  <si>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</si>
  <si>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</si>
  <si>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</si>
  <si>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</si>
  <si>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</si>
  <si>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</si>
  <si>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</si>
  <si>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</si>
  <si>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</si>
  <si>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</si>
  <si>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</si>
  <si>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</si>
  <si>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</si>
  <si>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</si>
  <si>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</si>
  <si>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</si>
  <si>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</si>
  <si>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</si>
  <si>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</si>
  <si>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</si>
  <si>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</si>
  <si>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</si>
  <si>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</si>
  <si>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</si>
  <si>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</si>
  <si>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</si>
  <si>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</si>
  <si>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</si>
  <si>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</si>
  <si>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</si>
  <si>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</si>
  <si>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</si>
  <si>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</si>
  <si>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</si>
  <si>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</si>
  <si>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</si>
  <si>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</si>
  <si>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</si>
  <si>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</si>
  <si>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</si>
  <si>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</si>
  <si>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</si>
  <si>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</si>
  <si>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</si>
  <si>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</si>
  <si>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</si>
  <si>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</si>
  <si>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</si>
  <si>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</si>
  <si>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</si>
  <si>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</si>
  <si>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</si>
  <si>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</si>
  <si>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</si>
  <si>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</si>
  <si>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</si>
  <si>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</si>
  <si>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</si>
  <si>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</si>
  <si>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</si>
  <si>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</si>
  <si>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</si>
  <si>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</si>
  <si>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</si>
  <si>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</si>
  <si>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</si>
  <si>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</si>
  <si>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</si>
  <si>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</si>
  <si>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</si>
  <si>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</si>
  <si>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</si>
  <si>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</si>
  <si>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</si>
  <si>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</si>
  <si>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</si>
  <si>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</si>
  <si>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</si>
  <si>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</si>
  <si>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</si>
  <si>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</si>
  <si>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</si>
  <si>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</si>
  <si>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</si>
  <si>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</si>
  <si>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</si>
  <si>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</si>
  <si>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</si>
  <si>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</si>
  <si>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</si>
  <si>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</si>
  <si>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</si>
  <si>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</si>
  <si>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</si>
  <si>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</si>
  <si>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</si>
  <si>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</si>
  <si>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</si>
  <si>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</si>
  <si>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</si>
  <si>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</si>
  <si>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</si>
  <si>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</si>
  <si>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</si>
  <si>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</si>
  <si>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</si>
  <si>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</si>
  <si>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</si>
  <si>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</si>
  <si>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</si>
  <si>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</si>
  <si>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</si>
  <si>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</si>
  <si>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</si>
  <si>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</si>
  <si>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</si>
  <si>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</si>
  <si>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King</t>
  </si>
  <si>
    <t>Ketul Patel</t>
  </si>
  <si>
    <t>Roy Brooks</t>
  </si>
  <si>
    <t>035</t>
  </si>
  <si>
    <t>St. Elizabeth Hospital</t>
  </si>
  <si>
    <t>1450 Batersby Ave</t>
  </si>
  <si>
    <t>PO Box 218</t>
  </si>
  <si>
    <t>Enumclaw, WA 98022</t>
  </si>
  <si>
    <t>Mike Fitzerald</t>
  </si>
  <si>
    <t>360-825-2505</t>
  </si>
  <si>
    <t>360-825-9046</t>
  </si>
  <si>
    <t>Change in methodology; FY18 was direct payments by STE, FY19 this bacame an allocation, charged to Unassigned AU</t>
  </si>
  <si>
    <t>decrease in volume</t>
  </si>
  <si>
    <t>decrease in volume  but increase in cost</t>
  </si>
  <si>
    <t>increase in revenue but decrease in volume</t>
  </si>
  <si>
    <t>Uli Chi,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</si>
</sst>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9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7" fontId="9" fillId="9" borderId="1" xfId="1" quotePrefix="1" applyNumberFormat="1" applyFont="1" applyFill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" transitionEvaluation="1" transitionEntry="1" codeName="Sheet1">
    <pageSetUpPr autoPageBreaks="0" fitToPage="1"/>
  </sheetPr>
  <dimension ref="A1:CF817"/>
  <sheetViews>
    <sheetView showGridLines="0" tabSelected="1" topLeftCell="A43" zoomScale="75" zoomScaleNormal="75" workbookViewId="0">
      <pane xSplit="1" ySplit="4" topLeftCell="B47" activePane="bottomRight" state="frozen"/>
      <selection activeCell="A43" sqref="A43"/>
      <selection pane="topRight" activeCell="B43" sqref="B43"/>
      <selection pane="bottomLeft" activeCell="A47" sqref="A47"/>
      <selection pane="bottomRight" activeCell="B59" sqref="B59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7231578</v>
      </c>
      <c r="C47" s="184"/>
      <c r="D47" s="184"/>
      <c r="E47" s="184">
        <v>983346.79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351580.05</v>
      </c>
      <c r="P47" s="184">
        <v>516971.43</v>
      </c>
      <c r="Q47" s="184">
        <v>266014.14</v>
      </c>
      <c r="R47" s="184"/>
      <c r="S47" s="184">
        <v>106383.88</v>
      </c>
      <c r="T47" s="184">
        <v>6903</v>
      </c>
      <c r="U47" s="184">
        <v>262514.71999999997</v>
      </c>
      <c r="V47" s="184"/>
      <c r="W47" s="184">
        <v>50068.66</v>
      </c>
      <c r="X47" s="184">
        <v>118553.06</v>
      </c>
      <c r="Y47" s="184">
        <v>289240.21999999997</v>
      </c>
      <c r="Z47" s="184"/>
      <c r="AA47" s="184">
        <v>27396.77</v>
      </c>
      <c r="AB47" s="184">
        <v>111606.61</v>
      </c>
      <c r="AC47" s="184">
        <v>140280.32000000001</v>
      </c>
      <c r="AD47" s="184"/>
      <c r="AE47" s="184"/>
      <c r="AF47" s="184"/>
      <c r="AG47" s="184">
        <v>559256.92000000004</v>
      </c>
      <c r="AH47" s="184"/>
      <c r="AI47" s="184"/>
      <c r="AJ47" s="184">
        <v>2527331.2200000002</v>
      </c>
      <c r="AK47" s="184"/>
      <c r="AL47" s="184">
        <v>46.73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47688.57</v>
      </c>
      <c r="AW47" s="184"/>
      <c r="AX47" s="184"/>
      <c r="AY47" s="184">
        <v>210133.44</v>
      </c>
      <c r="AZ47" s="184"/>
      <c r="BA47" s="184"/>
      <c r="BB47" s="184"/>
      <c r="BC47" s="184"/>
      <c r="BD47" s="184"/>
      <c r="BE47" s="184">
        <v>77735.81</v>
      </c>
      <c r="BF47" s="184">
        <v>213699.45</v>
      </c>
      <c r="BG47" s="184">
        <v>41.94</v>
      </c>
      <c r="BH47" s="184"/>
      <c r="BI47" s="184"/>
      <c r="BJ47" s="184"/>
      <c r="BK47" s="184"/>
      <c r="BL47" s="184"/>
      <c r="BM47" s="184"/>
      <c r="BN47" s="184">
        <v>66115.7</v>
      </c>
      <c r="BO47" s="184"/>
      <c r="BP47" s="184"/>
      <c r="BQ47" s="184"/>
      <c r="BR47" s="184">
        <v>50.33</v>
      </c>
      <c r="BS47" s="184"/>
      <c r="BT47" s="184"/>
      <c r="BU47" s="184"/>
      <c r="BV47" s="184"/>
      <c r="BW47" s="184"/>
      <c r="BX47" s="184">
        <v>23555.599999999999</v>
      </c>
      <c r="BY47" s="184">
        <v>271694.42</v>
      </c>
      <c r="BZ47" s="184">
        <v>3368.21</v>
      </c>
      <c r="CA47" s="184"/>
      <c r="CB47" s="184"/>
      <c r="CC47" s="184"/>
      <c r="CD47" s="195"/>
      <c r="CE47" s="195">
        <f>SUM(C47:CC47)</f>
        <v>7231577.9900000012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7231578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f>3920912.84-2022803.33</f>
        <v>1898109.5099999998</v>
      </c>
      <c r="C51" s="184"/>
      <c r="D51" s="184"/>
      <c r="E51" s="184">
        <v>63582.05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30954.14</v>
      </c>
      <c r="P51" s="184">
        <v>626845.76</v>
      </c>
      <c r="Q51" s="184">
        <v>1700.32</v>
      </c>
      <c r="R51" s="184">
        <v>1633.74</v>
      </c>
      <c r="S51" s="184"/>
      <c r="T51" s="184"/>
      <c r="U51" s="184">
        <v>18578.57</v>
      </c>
      <c r="V51" s="184">
        <v>25045.58</v>
      </c>
      <c r="W51" s="184">
        <v>11766.73</v>
      </c>
      <c r="X51" s="184">
        <v>355.81</v>
      </c>
      <c r="Y51" s="184">
        <v>130951.8</v>
      </c>
      <c r="Z51" s="184"/>
      <c r="AA51" s="184">
        <v>6025.61</v>
      </c>
      <c r="AB51" s="184">
        <v>46603.76</v>
      </c>
      <c r="AC51" s="184">
        <v>15005.32</v>
      </c>
      <c r="AD51" s="184"/>
      <c r="AE51" s="184"/>
      <c r="AF51" s="184"/>
      <c r="AG51" s="184">
        <v>27917.61</v>
      </c>
      <c r="AH51" s="184"/>
      <c r="AI51" s="184"/>
      <c r="AJ51" s="184">
        <v>697797.2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40309.69</v>
      </c>
      <c r="AZ51" s="184"/>
      <c r="BA51" s="184"/>
      <c r="BB51" s="184"/>
      <c r="BC51" s="184"/>
      <c r="BD51" s="184"/>
      <c r="BE51" s="184">
        <v>22668.93</v>
      </c>
      <c r="BF51" s="184">
        <v>9966.25</v>
      </c>
      <c r="BG51" s="184"/>
      <c r="BH51" s="184">
        <v>18968.22</v>
      </c>
      <c r="BI51" s="184"/>
      <c r="BJ51" s="184"/>
      <c r="BK51" s="184"/>
      <c r="BL51" s="184">
        <v>1332.19</v>
      </c>
      <c r="BM51" s="184"/>
      <c r="BN51" s="184">
        <v>6457.08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93643.15</v>
      </c>
      <c r="CD51" s="195"/>
      <c r="CE51" s="195">
        <f>SUM(C51:CD51)</f>
        <v>1898109.5099999995</v>
      </c>
    </row>
    <row r="52" spans="1:84" ht="12.6" customHeight="1" x14ac:dyDescent="0.2">
      <c r="A52" s="171" t="s">
        <v>208</v>
      </c>
      <c r="B52" s="184">
        <v>2022803.33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319824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120834</v>
      </c>
      <c r="P52" s="195">
        <f>ROUND((B52/(CE76+CF76)*P76),0)</f>
        <v>343793</v>
      </c>
      <c r="Q52" s="195">
        <f>ROUND((B52/(CE76+CF76)*Q76),0)</f>
        <v>24191</v>
      </c>
      <c r="R52" s="195">
        <f>ROUND((B52/(CE76+CF76)*R76),0)</f>
        <v>3871</v>
      </c>
      <c r="S52" s="195">
        <f>ROUND((B52/(CE76+CF76)*S76),0)</f>
        <v>59570</v>
      </c>
      <c r="T52" s="195">
        <f>ROUND((B52/(CE76+CF76)*T76),0)</f>
        <v>0</v>
      </c>
      <c r="U52" s="195">
        <f>ROUND((B52/(CE76+CF76)*U76),0)</f>
        <v>32779</v>
      </c>
      <c r="V52" s="195">
        <f>ROUND((B52/(CE76+CF76)*V76),0)</f>
        <v>0</v>
      </c>
      <c r="W52" s="195">
        <f>ROUND((B52/(CE76+CF76)*W76),0)</f>
        <v>14515</v>
      </c>
      <c r="X52" s="195">
        <f>ROUND((B52/(CE76+CF76)*X76),0)</f>
        <v>11612</v>
      </c>
      <c r="Y52" s="195">
        <f>ROUND((B52/(CE76+CF76)*Y76),0)</f>
        <v>197499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38484</v>
      </c>
      <c r="AC52" s="195">
        <f>ROUND((B52/(CE76+CF76)*AC76),0)</f>
        <v>3447</v>
      </c>
      <c r="AD52" s="195">
        <f>ROUND((B52/(CE76+CF76)*AD76),0)</f>
        <v>0</v>
      </c>
      <c r="AE52" s="195">
        <f>ROUND((B52/(CE76+CF76)*AE76),0)</f>
        <v>3871</v>
      </c>
      <c r="AF52" s="195">
        <f>ROUND((B52/(CE76+CF76)*AF76),0)</f>
        <v>0</v>
      </c>
      <c r="AG52" s="195">
        <f>ROUND((B52/(CE76+CF76)*AG76),0)</f>
        <v>167966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84084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71746</v>
      </c>
      <c r="BF52" s="195">
        <f>ROUND((B52/(CE76+CF76)*BF76),0)</f>
        <v>29331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449265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42576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3548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2022806</v>
      </c>
    </row>
    <row r="53" spans="1:84" ht="12.6" customHeight="1" x14ac:dyDescent="0.2">
      <c r="A53" s="175" t="s">
        <v>206</v>
      </c>
      <c r="B53" s="195">
        <f>B51+B52</f>
        <v>3920912.84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/>
      <c r="D59" s="184"/>
      <c r="E59" s="184">
        <f>-166+5044-54</f>
        <v>4824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1137</v>
      </c>
      <c r="P59" s="185">
        <v>124335</v>
      </c>
      <c r="Q59" s="185">
        <v>5315</v>
      </c>
      <c r="R59" s="185">
        <v>124170</v>
      </c>
      <c r="S59" s="248"/>
      <c r="T59" s="248"/>
      <c r="U59" s="224">
        <v>78899</v>
      </c>
      <c r="V59" s="185"/>
      <c r="W59" s="185">
        <v>1059</v>
      </c>
      <c r="X59" s="185">
        <v>4496</v>
      </c>
      <c r="Y59" s="185">
        <v>13674</v>
      </c>
      <c r="Z59" s="185"/>
      <c r="AA59" s="185"/>
      <c r="AB59" s="248"/>
      <c r="AC59" s="185">
        <v>10221</v>
      </c>
      <c r="AD59" s="185"/>
      <c r="AE59" s="185"/>
      <c r="AF59" s="185"/>
      <c r="AG59" s="185">
        <v>11774</v>
      </c>
      <c r="AH59" s="185"/>
      <c r="AI59" s="185"/>
      <c r="AJ59" s="185">
        <v>94799.29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22735</v>
      </c>
      <c r="AZ59" s="185">
        <v>57903</v>
      </c>
      <c r="BA59" s="248"/>
      <c r="BB59" s="248"/>
      <c r="BC59" s="248"/>
      <c r="BD59" s="248"/>
      <c r="BE59" s="185">
        <v>100342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/>
      <c r="D60" s="187"/>
      <c r="E60" s="187">
        <v>40.799999999999997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13.04</v>
      </c>
      <c r="P60" s="221">
        <v>21.19</v>
      </c>
      <c r="Q60" s="221">
        <v>9.59</v>
      </c>
      <c r="R60" s="221"/>
      <c r="S60" s="221">
        <v>5.28</v>
      </c>
      <c r="T60" s="221">
        <v>0.18</v>
      </c>
      <c r="U60" s="221">
        <v>11.82</v>
      </c>
      <c r="V60" s="221"/>
      <c r="W60" s="221">
        <v>1.88</v>
      </c>
      <c r="X60" s="221">
        <v>4.5599999999999996</v>
      </c>
      <c r="Y60" s="221">
        <v>11.87</v>
      </c>
      <c r="Z60" s="221"/>
      <c r="AA60" s="221">
        <v>0.98</v>
      </c>
      <c r="AB60" s="221">
        <v>3.98</v>
      </c>
      <c r="AC60" s="221">
        <v>5.82</v>
      </c>
      <c r="AD60" s="221"/>
      <c r="AE60" s="221"/>
      <c r="AF60" s="221"/>
      <c r="AG60" s="221">
        <v>22.15</v>
      </c>
      <c r="AH60" s="221"/>
      <c r="AI60" s="221"/>
      <c r="AJ60" s="221">
        <f>25.7+106.51</f>
        <v>132.21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1.99</v>
      </c>
      <c r="AW60" s="221"/>
      <c r="AX60" s="221"/>
      <c r="AY60" s="221">
        <v>11.6</v>
      </c>
      <c r="AZ60" s="221"/>
      <c r="BA60" s="221"/>
      <c r="BB60" s="221"/>
      <c r="BC60" s="221"/>
      <c r="BD60" s="221"/>
      <c r="BE60" s="221">
        <v>3.52</v>
      </c>
      <c r="BF60" s="221">
        <v>11.77</v>
      </c>
      <c r="BG60" s="221"/>
      <c r="BH60" s="221"/>
      <c r="BI60" s="221"/>
      <c r="BJ60" s="221"/>
      <c r="BK60" s="221"/>
      <c r="BL60" s="221"/>
      <c r="BM60" s="221"/>
      <c r="BN60" s="221">
        <v>2.04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10.09</v>
      </c>
      <c r="BZ60" s="221">
        <v>0.18</v>
      </c>
      <c r="CA60" s="221"/>
      <c r="CB60" s="221"/>
      <c r="CC60" s="221"/>
      <c r="CD60" s="249" t="s">
        <v>221</v>
      </c>
      <c r="CE60" s="251">
        <f t="shared" ref="CE60:CE70" si="0">SUM(C60:CD60)</f>
        <v>327.54000000000002</v>
      </c>
    </row>
    <row r="61" spans="1:84" ht="12.6" customHeight="1" x14ac:dyDescent="0.2">
      <c r="A61" s="171" t="s">
        <v>235</v>
      </c>
      <c r="B61" s="175"/>
      <c r="C61" s="184"/>
      <c r="D61" s="184"/>
      <c r="E61" s="184">
        <f>56857.16+3720729.72</f>
        <v>3777586.8800000004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1506528.71</v>
      </c>
      <c r="P61" s="185">
        <v>1978455.89</v>
      </c>
      <c r="Q61" s="185">
        <v>1161675.5900000001</v>
      </c>
      <c r="R61" s="185"/>
      <c r="S61" s="185">
        <v>308641.36</v>
      </c>
      <c r="T61" s="185">
        <v>37394.199999999997</v>
      </c>
      <c r="U61" s="185">
        <f>24346.13+884299.74</f>
        <v>908645.87</v>
      </c>
      <c r="V61" s="185"/>
      <c r="W61" s="185">
        <v>210012.17</v>
      </c>
      <c r="X61" s="185">
        <f>46492.5+480664.71</f>
        <v>527157.21</v>
      </c>
      <c r="Y61" s="185">
        <f>61277.67+1100707.76</f>
        <v>1161985.43</v>
      </c>
      <c r="Z61" s="185"/>
      <c r="AA61" s="185">
        <v>115887.46</v>
      </c>
      <c r="AB61" s="185">
        <v>505716.82</v>
      </c>
      <c r="AC61" s="185">
        <v>523403.16</v>
      </c>
      <c r="AD61" s="185"/>
      <c r="AE61" s="185"/>
      <c r="AF61" s="185"/>
      <c r="AG61" s="185">
        <f>32496.7+2254253.94</f>
        <v>2286750.64</v>
      </c>
      <c r="AH61" s="185"/>
      <c r="AI61" s="185"/>
      <c r="AJ61" s="185">
        <f>65401.92+12722188.69</f>
        <v>12787590.609999999</v>
      </c>
      <c r="AK61" s="185"/>
      <c r="AL61" s="185">
        <v>166.61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15.68+173153.29</f>
        <v>173168.97</v>
      </c>
      <c r="AW61" s="185"/>
      <c r="AX61" s="185"/>
      <c r="AY61" s="185">
        <v>491333.53</v>
      </c>
      <c r="AZ61" s="185"/>
      <c r="BA61" s="185"/>
      <c r="BB61" s="185"/>
      <c r="BC61" s="185"/>
      <c r="BD61" s="185"/>
      <c r="BE61" s="185">
        <v>262269.5</v>
      </c>
      <c r="BF61" s="185">
        <f>129870.76+499837.01</f>
        <v>629707.77</v>
      </c>
      <c r="BG61" s="185">
        <v>104.05</v>
      </c>
      <c r="BH61" s="185"/>
      <c r="BI61" s="185"/>
      <c r="BJ61" s="185"/>
      <c r="BK61" s="185"/>
      <c r="BL61" s="185"/>
      <c r="BM61" s="185"/>
      <c r="BN61" s="185">
        <v>262594.24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82078.320000000007</v>
      </c>
      <c r="BY61" s="185">
        <v>1133391.1399999999</v>
      </c>
      <c r="BZ61" s="185">
        <v>8591.81</v>
      </c>
      <c r="CA61" s="185"/>
      <c r="CB61" s="185"/>
      <c r="CC61" s="185">
        <f>7658.05+123330</f>
        <v>130988.05</v>
      </c>
      <c r="CD61" s="249" t="s">
        <v>221</v>
      </c>
      <c r="CE61" s="195">
        <f t="shared" si="0"/>
        <v>30971825.989999998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983347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351580</v>
      </c>
      <c r="P62" s="195">
        <f t="shared" si="1"/>
        <v>516971</v>
      </c>
      <c r="Q62" s="195">
        <f t="shared" si="1"/>
        <v>266014</v>
      </c>
      <c r="R62" s="195">
        <f t="shared" si="1"/>
        <v>0</v>
      </c>
      <c r="S62" s="195">
        <f t="shared" si="1"/>
        <v>106384</v>
      </c>
      <c r="T62" s="195">
        <f t="shared" si="1"/>
        <v>6903</v>
      </c>
      <c r="U62" s="195">
        <f t="shared" si="1"/>
        <v>262515</v>
      </c>
      <c r="V62" s="195">
        <f t="shared" si="1"/>
        <v>0</v>
      </c>
      <c r="W62" s="195">
        <f t="shared" si="1"/>
        <v>50069</v>
      </c>
      <c r="X62" s="195">
        <f t="shared" si="1"/>
        <v>118553</v>
      </c>
      <c r="Y62" s="195">
        <f t="shared" si="1"/>
        <v>289240</v>
      </c>
      <c r="Z62" s="195">
        <f t="shared" si="1"/>
        <v>0</v>
      </c>
      <c r="AA62" s="195">
        <f t="shared" si="1"/>
        <v>27397</v>
      </c>
      <c r="AB62" s="195">
        <f t="shared" si="1"/>
        <v>111607</v>
      </c>
      <c r="AC62" s="195">
        <f t="shared" si="1"/>
        <v>140280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559257</v>
      </c>
      <c r="AH62" s="195">
        <f t="shared" si="1"/>
        <v>0</v>
      </c>
      <c r="AI62" s="195">
        <f t="shared" si="1"/>
        <v>0</v>
      </c>
      <c r="AJ62" s="195">
        <f t="shared" si="1"/>
        <v>2527331</v>
      </c>
      <c r="AK62" s="195">
        <f t="shared" si="1"/>
        <v>0</v>
      </c>
      <c r="AL62" s="195">
        <f t="shared" si="1"/>
        <v>47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47689</v>
      </c>
      <c r="AW62" s="195">
        <f t="shared" si="1"/>
        <v>0</v>
      </c>
      <c r="AX62" s="195">
        <f t="shared" si="1"/>
        <v>0</v>
      </c>
      <c r="AY62" s="195">
        <f>ROUND(AY47+AY48,0)</f>
        <v>210133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77736</v>
      </c>
      <c r="BF62" s="195">
        <f t="shared" si="1"/>
        <v>213699</v>
      </c>
      <c r="BG62" s="195">
        <f t="shared" si="1"/>
        <v>42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66116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23556</v>
      </c>
      <c r="BY62" s="195">
        <f t="shared" si="2"/>
        <v>271694</v>
      </c>
      <c r="BZ62" s="195">
        <f t="shared" si="2"/>
        <v>3368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7231578</v>
      </c>
      <c r="CF62" s="252"/>
    </row>
    <row r="63" spans="1:84" ht="12.6" customHeight="1" x14ac:dyDescent="0.2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104066.26</v>
      </c>
      <c r="Q63" s="185"/>
      <c r="R63" s="185">
        <v>33192.18</v>
      </c>
      <c r="S63" s="185"/>
      <c r="T63" s="185"/>
      <c r="U63" s="185">
        <v>18089.900000000001</v>
      </c>
      <c r="V63" s="185"/>
      <c r="W63" s="185"/>
      <c r="X63" s="185"/>
      <c r="Y63" s="185">
        <v>9390.7000000000007</v>
      </c>
      <c r="Z63" s="185"/>
      <c r="AA63" s="185">
        <v>3430</v>
      </c>
      <c r="AB63" s="185"/>
      <c r="AC63" s="185"/>
      <c r="AD63" s="185"/>
      <c r="AE63" s="185"/>
      <c r="AF63" s="185"/>
      <c r="AG63" s="185">
        <v>445676.26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2047660.42</v>
      </c>
      <c r="CD63" s="249" t="s">
        <v>221</v>
      </c>
      <c r="CE63" s="195">
        <f t="shared" si="0"/>
        <v>2661505.7199999997</v>
      </c>
      <c r="CF63" s="252"/>
    </row>
    <row r="64" spans="1:84" ht="12.6" customHeight="1" x14ac:dyDescent="0.2">
      <c r="A64" s="171" t="s">
        <v>237</v>
      </c>
      <c r="B64" s="175"/>
      <c r="C64" s="184"/>
      <c r="D64" s="184"/>
      <c r="E64" s="185">
        <v>210878.44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84052.03</v>
      </c>
      <c r="P64" s="185">
        <v>2361151.17</v>
      </c>
      <c r="Q64" s="185">
        <v>61474.38</v>
      </c>
      <c r="R64" s="185">
        <v>91880.35</v>
      </c>
      <c r="S64" s="185">
        <v>-11688.37</v>
      </c>
      <c r="T64" s="185">
        <v>31957.08</v>
      </c>
      <c r="U64" s="185">
        <v>438713.77</v>
      </c>
      <c r="V64" s="185">
        <v>4.59</v>
      </c>
      <c r="W64" s="185">
        <v>12041.41</v>
      </c>
      <c r="X64" s="185">
        <v>57881.51</v>
      </c>
      <c r="Y64" s="185">
        <v>44359.87</v>
      </c>
      <c r="Z64" s="185"/>
      <c r="AA64" s="185">
        <v>40416.99</v>
      </c>
      <c r="AB64" s="185">
        <v>954667.67</v>
      </c>
      <c r="AC64" s="185">
        <v>20264.009999999998</v>
      </c>
      <c r="AD64" s="185"/>
      <c r="AE64" s="185">
        <v>260.39</v>
      </c>
      <c r="AF64" s="185"/>
      <c r="AG64" s="185">
        <v>237675.92</v>
      </c>
      <c r="AH64" s="185"/>
      <c r="AI64" s="185"/>
      <c r="AJ64" s="185">
        <v>878664.25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64119.45</v>
      </c>
      <c r="AW64" s="185"/>
      <c r="AX64" s="185"/>
      <c r="AY64" s="185">
        <v>314973.49</v>
      </c>
      <c r="AZ64" s="185"/>
      <c r="BA64" s="185"/>
      <c r="BB64" s="185"/>
      <c r="BC64" s="185"/>
      <c r="BD64" s="185"/>
      <c r="BE64" s="185">
        <v>24648.36</v>
      </c>
      <c r="BF64" s="185">
        <v>57751.22</v>
      </c>
      <c r="BG64" s="185"/>
      <c r="BH64" s="185"/>
      <c r="BI64" s="185"/>
      <c r="BJ64" s="185"/>
      <c r="BK64" s="185"/>
      <c r="BL64" s="185">
        <v>16225.42</v>
      </c>
      <c r="BM64" s="185"/>
      <c r="BN64" s="185">
        <v>18620.82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>
        <v>256.22000000000003</v>
      </c>
      <c r="BY64" s="185">
        <v>3016.74</v>
      </c>
      <c r="BZ64" s="185"/>
      <c r="CA64" s="185"/>
      <c r="CB64" s="185"/>
      <c r="CC64" s="185">
        <f>-33945.94+33069.25</f>
        <v>-876.69000000000233</v>
      </c>
      <c r="CD64" s="249" t="s">
        <v>221</v>
      </c>
      <c r="CE64" s="195">
        <f t="shared" si="0"/>
        <v>6013390.4899999993</v>
      </c>
      <c r="CF64" s="252"/>
    </row>
    <row r="65" spans="1:84" ht="12.6" customHeight="1" x14ac:dyDescent="0.2">
      <c r="A65" s="171" t="s">
        <v>238</v>
      </c>
      <c r="B65" s="175"/>
      <c r="C65" s="184"/>
      <c r="D65" s="184"/>
      <c r="E65" s="184">
        <v>964.03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462.81</v>
      </c>
      <c r="P65" s="185">
        <v>2146</v>
      </c>
      <c r="Q65" s="185"/>
      <c r="R65" s="185"/>
      <c r="S65" s="185"/>
      <c r="T65" s="185"/>
      <c r="U65" s="185">
        <v>223.09</v>
      </c>
      <c r="V65" s="185"/>
      <c r="W65" s="185"/>
      <c r="X65" s="185"/>
      <c r="Y65" s="185"/>
      <c r="Z65" s="185"/>
      <c r="AA65" s="185"/>
      <c r="AB65" s="185">
        <v>97.77</v>
      </c>
      <c r="AC65" s="185"/>
      <c r="AD65" s="185"/>
      <c r="AE65" s="185"/>
      <c r="AF65" s="185"/>
      <c r="AG65" s="185">
        <v>884.3</v>
      </c>
      <c r="AH65" s="185"/>
      <c r="AI65" s="185"/>
      <c r="AJ65" s="185">
        <v>102159.28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144.22999999999999</v>
      </c>
      <c r="AZ65" s="185"/>
      <c r="BA65" s="185"/>
      <c r="BB65" s="185"/>
      <c r="BC65" s="185"/>
      <c r="BD65" s="185"/>
      <c r="BE65" s="185">
        <v>472345.55</v>
      </c>
      <c r="BF65" s="185">
        <v>580.94000000000005</v>
      </c>
      <c r="BG65" s="185">
        <v>26589.18</v>
      </c>
      <c r="BH65" s="185"/>
      <c r="BI65" s="185"/>
      <c r="BJ65" s="185"/>
      <c r="BK65" s="185"/>
      <c r="BL65" s="185"/>
      <c r="BM65" s="185"/>
      <c r="BN65" s="185">
        <v>588.76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1128.5899999999999</v>
      </c>
      <c r="BZ65" s="185"/>
      <c r="CA65" s="185"/>
      <c r="CB65" s="185"/>
      <c r="CC65" s="185">
        <v>590.58000000000004</v>
      </c>
      <c r="CD65" s="249" t="s">
        <v>221</v>
      </c>
      <c r="CE65" s="195">
        <f t="shared" si="0"/>
        <v>608905.10999999987</v>
      </c>
      <c r="CF65" s="252"/>
    </row>
    <row r="66" spans="1:84" ht="12.6" customHeight="1" x14ac:dyDescent="0.2">
      <c r="A66" s="171" t="s">
        <v>239</v>
      </c>
      <c r="B66" s="175"/>
      <c r="C66" s="184"/>
      <c r="D66" s="184"/>
      <c r="E66" s="184">
        <v>38538.47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67992.539999999994</v>
      </c>
      <c r="P66" s="185">
        <v>361820.58</v>
      </c>
      <c r="Q66" s="185">
        <v>10023.799999999999</v>
      </c>
      <c r="R66" s="185">
        <v>-7435.09</v>
      </c>
      <c r="S66" s="184">
        <v>13210.87</v>
      </c>
      <c r="T66" s="184">
        <v>750</v>
      </c>
      <c r="U66" s="185">
        <v>397931</v>
      </c>
      <c r="V66" s="185"/>
      <c r="W66" s="185">
        <v>131909.16</v>
      </c>
      <c r="X66" s="185">
        <v>96475.02</v>
      </c>
      <c r="Y66" s="185">
        <v>166107.68</v>
      </c>
      <c r="Z66" s="185"/>
      <c r="AA66" s="185">
        <v>2405</v>
      </c>
      <c r="AB66" s="185">
        <v>65612.89</v>
      </c>
      <c r="AC66" s="185">
        <v>6013.74</v>
      </c>
      <c r="AD66" s="185"/>
      <c r="AE66" s="185">
        <v>118966.01</v>
      </c>
      <c r="AF66" s="185"/>
      <c r="AG66" s="185">
        <v>253227.32</v>
      </c>
      <c r="AH66" s="185"/>
      <c r="AI66" s="185"/>
      <c r="AJ66" s="185">
        <v>1037171.38</v>
      </c>
      <c r="AK66" s="185">
        <v>55084.24</v>
      </c>
      <c r="AL66" s="185">
        <v>17523</v>
      </c>
      <c r="AM66" s="185"/>
      <c r="AN66" s="185"/>
      <c r="AO66" s="185"/>
      <c r="AP66" s="185"/>
      <c r="AQ66" s="185"/>
      <c r="AR66" s="185">
        <v>12981.05</v>
      </c>
      <c r="AS66" s="185"/>
      <c r="AT66" s="185"/>
      <c r="AU66" s="185"/>
      <c r="AV66" s="185">
        <v>30565.87</v>
      </c>
      <c r="AW66" s="185"/>
      <c r="AX66" s="185"/>
      <c r="AY66" s="185">
        <v>314678.01</v>
      </c>
      <c r="AZ66" s="185"/>
      <c r="BA66" s="185"/>
      <c r="BB66" s="185"/>
      <c r="BC66" s="185"/>
      <c r="BD66" s="185"/>
      <c r="BE66" s="185">
        <v>1163145.1299999999</v>
      </c>
      <c r="BF66" s="185">
        <v>65341.33</v>
      </c>
      <c r="BG66" s="185"/>
      <c r="BH66" s="185">
        <v>253359.68</v>
      </c>
      <c r="BI66" s="185"/>
      <c r="BJ66" s="185"/>
      <c r="BK66" s="185">
        <v>3242.52</v>
      </c>
      <c r="BL66" s="185">
        <v>2132347.0499999998</v>
      </c>
      <c r="BM66" s="185"/>
      <c r="BN66" s="185">
        <v>195231.85</v>
      </c>
      <c r="BO66" s="185"/>
      <c r="BP66" s="185"/>
      <c r="BQ66" s="185"/>
      <c r="BR66" s="185"/>
      <c r="BS66" s="185"/>
      <c r="BT66" s="185"/>
      <c r="BU66" s="185"/>
      <c r="BV66" s="185">
        <v>205269.4</v>
      </c>
      <c r="BW66" s="185">
        <v>24262.61</v>
      </c>
      <c r="BX66" s="185">
        <v>546535.47</v>
      </c>
      <c r="BY66" s="185">
        <v>23470.82</v>
      </c>
      <c r="BZ66" s="185"/>
      <c r="CA66" s="185"/>
      <c r="CB66" s="185"/>
      <c r="CC66" s="185">
        <f>8763753.07+3994904.47</f>
        <v>12758657.540000001</v>
      </c>
      <c r="CD66" s="249" t="s">
        <v>221</v>
      </c>
      <c r="CE66" s="195">
        <f t="shared" si="0"/>
        <v>20562415.940000001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383406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151788</v>
      </c>
      <c r="P67" s="195">
        <f t="shared" si="3"/>
        <v>970639</v>
      </c>
      <c r="Q67" s="195">
        <f t="shared" si="3"/>
        <v>25891</v>
      </c>
      <c r="R67" s="195">
        <f t="shared" si="3"/>
        <v>5505</v>
      </c>
      <c r="S67" s="195">
        <f t="shared" si="3"/>
        <v>59570</v>
      </c>
      <c r="T67" s="195">
        <f t="shared" si="3"/>
        <v>0</v>
      </c>
      <c r="U67" s="195">
        <f t="shared" si="3"/>
        <v>51358</v>
      </c>
      <c r="V67" s="195">
        <f t="shared" si="3"/>
        <v>25046</v>
      </c>
      <c r="W67" s="195">
        <f t="shared" si="3"/>
        <v>26282</v>
      </c>
      <c r="X67" s="195">
        <f t="shared" si="3"/>
        <v>11968</v>
      </c>
      <c r="Y67" s="195">
        <f t="shared" si="3"/>
        <v>328451</v>
      </c>
      <c r="Z67" s="195">
        <f t="shared" si="3"/>
        <v>0</v>
      </c>
      <c r="AA67" s="195">
        <f t="shared" si="3"/>
        <v>6026</v>
      </c>
      <c r="AB67" s="195">
        <f t="shared" si="3"/>
        <v>85088</v>
      </c>
      <c r="AC67" s="195">
        <f t="shared" si="3"/>
        <v>18452</v>
      </c>
      <c r="AD67" s="195">
        <f t="shared" si="3"/>
        <v>0</v>
      </c>
      <c r="AE67" s="195">
        <f t="shared" si="3"/>
        <v>3871</v>
      </c>
      <c r="AF67" s="195">
        <f t="shared" si="3"/>
        <v>0</v>
      </c>
      <c r="AG67" s="195">
        <f t="shared" si="3"/>
        <v>195884</v>
      </c>
      <c r="AH67" s="195">
        <f t="shared" si="3"/>
        <v>0</v>
      </c>
      <c r="AI67" s="195">
        <f t="shared" si="3"/>
        <v>0</v>
      </c>
      <c r="AJ67" s="195">
        <f t="shared" si="3"/>
        <v>697797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124394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94415</v>
      </c>
      <c r="BF67" s="195">
        <f t="shared" si="3"/>
        <v>39297</v>
      </c>
      <c r="BG67" s="195">
        <f t="shared" si="3"/>
        <v>0</v>
      </c>
      <c r="BH67" s="195">
        <f t="shared" si="3"/>
        <v>18968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1332</v>
      </c>
      <c r="BM67" s="195">
        <f t="shared" si="3"/>
        <v>0</v>
      </c>
      <c r="BN67" s="195">
        <f t="shared" si="3"/>
        <v>455722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42576</v>
      </c>
      <c r="BW67" s="195">
        <f t="shared" si="4"/>
        <v>0</v>
      </c>
      <c r="BX67" s="195">
        <f t="shared" si="4"/>
        <v>0</v>
      </c>
      <c r="BY67" s="195">
        <f t="shared" si="4"/>
        <v>3548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93643</v>
      </c>
      <c r="CD67" s="249" t="s">
        <v>221</v>
      </c>
      <c r="CE67" s="195">
        <f t="shared" si="0"/>
        <v>3920917</v>
      </c>
      <c r="CF67" s="252"/>
    </row>
    <row r="68" spans="1:84" ht="12.6" customHeight="1" x14ac:dyDescent="0.2">
      <c r="A68" s="171" t="s">
        <v>240</v>
      </c>
      <c r="B68" s="175"/>
      <c r="C68" s="184"/>
      <c r="D68" s="184"/>
      <c r="E68" s="184">
        <v>3669.81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1241.1199999999999</v>
      </c>
      <c r="P68" s="185">
        <v>16313.44</v>
      </c>
      <c r="Q68" s="185">
        <v>2146.3000000000002</v>
      </c>
      <c r="R68" s="185"/>
      <c r="S68" s="185">
        <v>1907.36</v>
      </c>
      <c r="T68" s="185"/>
      <c r="U68" s="185">
        <v>49877.73</v>
      </c>
      <c r="V68" s="185"/>
      <c r="W68" s="185"/>
      <c r="X68" s="185"/>
      <c r="Y68" s="185">
        <v>3838.8</v>
      </c>
      <c r="Z68" s="185"/>
      <c r="AA68" s="185"/>
      <c r="AB68" s="185">
        <v>1778.52</v>
      </c>
      <c r="AC68" s="185">
        <v>1219.17</v>
      </c>
      <c r="AD68" s="185"/>
      <c r="AE68" s="185"/>
      <c r="AF68" s="185"/>
      <c r="AG68" s="185">
        <v>1201.8800000000001</v>
      </c>
      <c r="AH68" s="185"/>
      <c r="AI68" s="185"/>
      <c r="AJ68" s="185">
        <v>1377415.41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4018.7</v>
      </c>
      <c r="AZ68" s="185"/>
      <c r="BA68" s="185"/>
      <c r="BB68" s="185"/>
      <c r="BC68" s="185"/>
      <c r="BD68" s="185">
        <v>33098.720000000001</v>
      </c>
      <c r="BE68" s="185">
        <v>20697.71</v>
      </c>
      <c r="BF68" s="185">
        <v>1790.94</v>
      </c>
      <c r="BG68" s="185"/>
      <c r="BH68" s="185">
        <v>572.04</v>
      </c>
      <c r="BI68" s="185"/>
      <c r="BJ68" s="185"/>
      <c r="BK68" s="185"/>
      <c r="BL68" s="185">
        <v>8702.23</v>
      </c>
      <c r="BM68" s="185"/>
      <c r="BN68" s="185">
        <v>14207.68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>
        <v>3007.17</v>
      </c>
      <c r="BZ68" s="185"/>
      <c r="CA68" s="185"/>
      <c r="CB68" s="185"/>
      <c r="CC68" s="185">
        <f>-48370.5+114962.75</f>
        <v>66592.25</v>
      </c>
      <c r="CD68" s="249" t="s">
        <v>221</v>
      </c>
      <c r="CE68" s="195">
        <f t="shared" si="0"/>
        <v>1613296.9799999997</v>
      </c>
      <c r="CF68" s="252"/>
    </row>
    <row r="69" spans="1:84" ht="12.6" customHeight="1" x14ac:dyDescent="0.2">
      <c r="A69" s="171" t="s">
        <v>241</v>
      </c>
      <c r="B69" s="175"/>
      <c r="C69" s="184"/>
      <c r="D69" s="184"/>
      <c r="E69" s="185">
        <v>12839.24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4771.04</v>
      </c>
      <c r="P69" s="185">
        <v>44804.26</v>
      </c>
      <c r="Q69" s="185">
        <v>3231.37</v>
      </c>
      <c r="R69" s="224"/>
      <c r="S69" s="185">
        <v>791.73</v>
      </c>
      <c r="T69" s="184">
        <v>392.89</v>
      </c>
      <c r="U69" s="185">
        <v>25939.22</v>
      </c>
      <c r="V69" s="185"/>
      <c r="W69" s="184"/>
      <c r="X69" s="185"/>
      <c r="Y69" s="185">
        <v>1167.95</v>
      </c>
      <c r="Z69" s="185"/>
      <c r="AA69" s="185">
        <v>385.92</v>
      </c>
      <c r="AB69" s="185">
        <v>4738.3999999999996</v>
      </c>
      <c r="AC69" s="185">
        <v>4585.41</v>
      </c>
      <c r="AD69" s="185"/>
      <c r="AE69" s="185"/>
      <c r="AF69" s="185"/>
      <c r="AG69" s="185">
        <v>15725.88</v>
      </c>
      <c r="AH69" s="185"/>
      <c r="AI69" s="185"/>
      <c r="AJ69" s="185">
        <v>524234.48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-455562.74+584.01</f>
        <v>-454978.73</v>
      </c>
      <c r="AW69" s="185"/>
      <c r="AX69" s="185"/>
      <c r="AY69" s="185">
        <v>8030.71</v>
      </c>
      <c r="AZ69" s="185"/>
      <c r="BA69" s="185"/>
      <c r="BB69" s="185"/>
      <c r="BC69" s="185"/>
      <c r="BD69" s="185"/>
      <c r="BE69" s="185">
        <v>1584.81</v>
      </c>
      <c r="BF69" s="185"/>
      <c r="BG69" s="185"/>
      <c r="BH69" s="224"/>
      <c r="BI69" s="185"/>
      <c r="BJ69" s="185"/>
      <c r="BK69" s="185"/>
      <c r="BL69" s="185"/>
      <c r="BM69" s="185"/>
      <c r="BN69" s="185">
        <v>60495.28</v>
      </c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>
        <v>11978.52</v>
      </c>
      <c r="BZ69" s="185">
        <v>457.5</v>
      </c>
      <c r="CA69" s="185"/>
      <c r="CB69" s="185"/>
      <c r="CC69" s="185">
        <v>1489.24</v>
      </c>
      <c r="CD69" s="188">
        <f>455562.74+1062157.98</f>
        <v>1517720.72</v>
      </c>
      <c r="CE69" s="195">
        <f t="shared" si="0"/>
        <v>1790385.84</v>
      </c>
      <c r="CF69" s="252"/>
    </row>
    <row r="70" spans="1:84" ht="12.6" customHeight="1" x14ac:dyDescent="0.2">
      <c r="A70" s="171" t="s">
        <v>242</v>
      </c>
      <c r="B70" s="175"/>
      <c r="C70" s="184"/>
      <c r="D70" s="184"/>
      <c r="E70" s="184">
        <v>1250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2037.87</v>
      </c>
      <c r="P70" s="184"/>
      <c r="Q70" s="184"/>
      <c r="R70" s="184"/>
      <c r="S70" s="184"/>
      <c r="T70" s="184"/>
      <c r="U70" s="185">
        <v>38344.160000000003</v>
      </c>
      <c r="V70" s="184"/>
      <c r="W70" s="184"/>
      <c r="X70" s="185"/>
      <c r="Y70" s="185">
        <v>1140</v>
      </c>
      <c r="Z70" s="185"/>
      <c r="AA70" s="185"/>
      <c r="AB70" s="185"/>
      <c r="AC70" s="185"/>
      <c r="AD70" s="185"/>
      <c r="AE70" s="185"/>
      <c r="AF70" s="185"/>
      <c r="AG70" s="185">
        <v>4469</v>
      </c>
      <c r="AH70" s="185"/>
      <c r="AI70" s="185"/>
      <c r="AJ70" s="185">
        <v>423909.82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375359.31</v>
      </c>
      <c r="AZ70" s="185"/>
      <c r="BA70" s="185"/>
      <c r="BB70" s="185"/>
      <c r="BC70" s="185"/>
      <c r="BD70" s="185"/>
      <c r="BE70" s="185">
        <v>8.24</v>
      </c>
      <c r="BF70" s="185"/>
      <c r="BG70" s="185"/>
      <c r="BH70" s="185"/>
      <c r="BI70" s="185">
        <v>1271.52</v>
      </c>
      <c r="BJ70" s="185"/>
      <c r="BK70" s="185"/>
      <c r="BL70" s="185"/>
      <c r="BM70" s="185"/>
      <c r="BN70" s="185">
        <v>12018.98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5302200</v>
      </c>
      <c r="CE70" s="195">
        <f t="shared" si="0"/>
        <v>6162008.9000000004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5409979.870000001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2166378.38</v>
      </c>
      <c r="P71" s="195">
        <f t="shared" si="5"/>
        <v>6356367.5999999996</v>
      </c>
      <c r="Q71" s="195">
        <f t="shared" si="5"/>
        <v>1530456.4400000002</v>
      </c>
      <c r="R71" s="195">
        <f t="shared" si="5"/>
        <v>123142.44</v>
      </c>
      <c r="S71" s="195">
        <f t="shared" si="5"/>
        <v>478816.94999999995</v>
      </c>
      <c r="T71" s="195">
        <f t="shared" si="5"/>
        <v>77397.17</v>
      </c>
      <c r="U71" s="195">
        <f t="shared" si="5"/>
        <v>2114949.4200000004</v>
      </c>
      <c r="V71" s="195">
        <f t="shared" si="5"/>
        <v>25050.59</v>
      </c>
      <c r="W71" s="195">
        <f t="shared" si="5"/>
        <v>430313.74</v>
      </c>
      <c r="X71" s="195">
        <f t="shared" si="5"/>
        <v>812034.74</v>
      </c>
      <c r="Y71" s="195">
        <f t="shared" si="5"/>
        <v>2003401.43</v>
      </c>
      <c r="Z71" s="195">
        <f t="shared" si="5"/>
        <v>0</v>
      </c>
      <c r="AA71" s="195">
        <f t="shared" si="5"/>
        <v>195948.37000000002</v>
      </c>
      <c r="AB71" s="195">
        <f t="shared" si="5"/>
        <v>1729307.07</v>
      </c>
      <c r="AC71" s="195">
        <f t="shared" si="5"/>
        <v>714217.49</v>
      </c>
      <c r="AD71" s="195">
        <f t="shared" si="5"/>
        <v>0</v>
      </c>
      <c r="AE71" s="195">
        <f t="shared" si="5"/>
        <v>123097.4</v>
      </c>
      <c r="AF71" s="195">
        <f t="shared" si="5"/>
        <v>0</v>
      </c>
      <c r="AG71" s="195">
        <f t="shared" si="5"/>
        <v>3991814.1999999997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19508453.59</v>
      </c>
      <c r="AK71" s="195">
        <f t="shared" si="6"/>
        <v>55084.24</v>
      </c>
      <c r="AL71" s="195">
        <f t="shared" si="6"/>
        <v>17736.61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12981.05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-139435.44</v>
      </c>
      <c r="AW71" s="195">
        <f t="shared" si="6"/>
        <v>0</v>
      </c>
      <c r="AX71" s="195">
        <f t="shared" si="6"/>
        <v>0</v>
      </c>
      <c r="AY71" s="195">
        <f t="shared" si="6"/>
        <v>1092346.3599999999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33098.720000000001</v>
      </c>
      <c r="BE71" s="195">
        <f t="shared" si="6"/>
        <v>2116833.8199999998</v>
      </c>
      <c r="BF71" s="195">
        <f t="shared" si="6"/>
        <v>1008168.1999999998</v>
      </c>
      <c r="BG71" s="195">
        <f t="shared" si="6"/>
        <v>26735.23</v>
      </c>
      <c r="BH71" s="195">
        <f t="shared" si="6"/>
        <v>272899.71999999997</v>
      </c>
      <c r="BI71" s="195">
        <f t="shared" si="6"/>
        <v>-1271.52</v>
      </c>
      <c r="BJ71" s="195">
        <f t="shared" si="6"/>
        <v>0</v>
      </c>
      <c r="BK71" s="195">
        <f t="shared" si="6"/>
        <v>3242.52</v>
      </c>
      <c r="BL71" s="195">
        <f t="shared" si="6"/>
        <v>2158606.6999999997</v>
      </c>
      <c r="BM71" s="195">
        <f t="shared" si="6"/>
        <v>0</v>
      </c>
      <c r="BN71" s="195">
        <f t="shared" si="6"/>
        <v>1061557.6500000001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247845.4</v>
      </c>
      <c r="BW71" s="195">
        <f t="shared" si="7"/>
        <v>24262.61</v>
      </c>
      <c r="BX71" s="195">
        <f t="shared" si="7"/>
        <v>652426.01</v>
      </c>
      <c r="BY71" s="195">
        <f t="shared" si="7"/>
        <v>1451234.98</v>
      </c>
      <c r="BZ71" s="195">
        <f t="shared" si="7"/>
        <v>12417.31</v>
      </c>
      <c r="CA71" s="195">
        <f t="shared" si="7"/>
        <v>0</v>
      </c>
      <c r="CB71" s="195">
        <f t="shared" si="7"/>
        <v>0</v>
      </c>
      <c r="CC71" s="195">
        <f t="shared" si="7"/>
        <v>15098744.390000001</v>
      </c>
      <c r="CD71" s="245">
        <f>CD69-CD70</f>
        <v>-3784479.2800000003</v>
      </c>
      <c r="CE71" s="195">
        <f>SUM(CE61:CE69)-CE70</f>
        <v>69212212.170000002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/>
      <c r="D73" s="184"/>
      <c r="E73" s="185">
        <v>17671076.440000001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7622490.2400000002</v>
      </c>
      <c r="P73" s="185">
        <v>12288562.529999999</v>
      </c>
      <c r="Q73" s="185">
        <v>968914.07</v>
      </c>
      <c r="R73" s="185">
        <v>1233834.3799999999</v>
      </c>
      <c r="S73" s="185"/>
      <c r="T73" s="185">
        <v>461446.48</v>
      </c>
      <c r="U73" s="185">
        <v>4250114.47</v>
      </c>
      <c r="V73" s="185"/>
      <c r="W73" s="185">
        <v>255382.24</v>
      </c>
      <c r="X73" s="185">
        <v>1209893.1399999999</v>
      </c>
      <c r="Y73" s="185">
        <v>726139.22</v>
      </c>
      <c r="Z73" s="185"/>
      <c r="AA73" s="185">
        <v>32856.69</v>
      </c>
      <c r="AB73" s="185">
        <v>8940730.9000000004</v>
      </c>
      <c r="AC73" s="185">
        <v>2260333.1</v>
      </c>
      <c r="AD73" s="185"/>
      <c r="AE73" s="185">
        <v>437575.41</v>
      </c>
      <c r="AF73" s="185"/>
      <c r="AG73" s="185">
        <v>2029833.97</v>
      </c>
      <c r="AH73" s="185"/>
      <c r="AI73" s="185"/>
      <c r="AJ73" s="185"/>
      <c r="AK73" s="185">
        <v>278648.14</v>
      </c>
      <c r="AL73" s="185">
        <v>65774.67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5872.01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60739478.099999994</v>
      </c>
      <c r="CF73" s="252"/>
    </row>
    <row r="74" spans="1:84" ht="12.6" customHeight="1" x14ac:dyDescent="0.2">
      <c r="A74" s="171" t="s">
        <v>246</v>
      </c>
      <c r="B74" s="175"/>
      <c r="C74" s="184"/>
      <c r="D74" s="184"/>
      <c r="E74" s="185">
        <v>4575619.3099999996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611501.34</v>
      </c>
      <c r="P74" s="185">
        <v>46829582.549999997</v>
      </c>
      <c r="Q74" s="185">
        <v>5344834.18</v>
      </c>
      <c r="R74" s="185">
        <v>3676202.34</v>
      </c>
      <c r="S74" s="185"/>
      <c r="T74" s="185">
        <v>63475.49</v>
      </c>
      <c r="U74" s="185">
        <v>8693892.9299999997</v>
      </c>
      <c r="V74" s="185">
        <v>5157.51</v>
      </c>
      <c r="W74" s="185">
        <v>2328424.71</v>
      </c>
      <c r="X74" s="185">
        <v>10975029.73</v>
      </c>
      <c r="Y74" s="185">
        <v>6197419.0700000003</v>
      </c>
      <c r="Z74" s="185"/>
      <c r="AA74" s="185">
        <v>531706.17000000004</v>
      </c>
      <c r="AB74" s="185">
        <v>19071204.050000001</v>
      </c>
      <c r="AC74" s="185">
        <v>2239623.08</v>
      </c>
      <c r="AD74" s="185"/>
      <c r="AE74" s="185">
        <v>133941.04999999999</v>
      </c>
      <c r="AF74" s="185"/>
      <c r="AG74" s="185">
        <v>41993945.590000004</v>
      </c>
      <c r="AH74" s="185"/>
      <c r="AI74" s="185"/>
      <c r="AJ74" s="185">
        <v>29119362.800000001</v>
      </c>
      <c r="AK74" s="185">
        <v>41633.870000000003</v>
      </c>
      <c r="AL74" s="185">
        <v>8427.41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182440983.18000001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22246695.75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8233991.5800000001</v>
      </c>
      <c r="P75" s="195">
        <f t="shared" si="9"/>
        <v>59118145.079999998</v>
      </c>
      <c r="Q75" s="195">
        <f t="shared" si="9"/>
        <v>6313748.25</v>
      </c>
      <c r="R75" s="195">
        <f t="shared" si="9"/>
        <v>4910036.72</v>
      </c>
      <c r="S75" s="195">
        <f t="shared" si="9"/>
        <v>0</v>
      </c>
      <c r="T75" s="195">
        <f t="shared" si="9"/>
        <v>524921.97</v>
      </c>
      <c r="U75" s="195">
        <f t="shared" si="9"/>
        <v>12944007.399999999</v>
      </c>
      <c r="V75" s="195">
        <f t="shared" si="9"/>
        <v>5157.51</v>
      </c>
      <c r="W75" s="195">
        <f t="shared" si="9"/>
        <v>2583806.9500000002</v>
      </c>
      <c r="X75" s="195">
        <f t="shared" si="9"/>
        <v>12184922.870000001</v>
      </c>
      <c r="Y75" s="195">
        <f t="shared" si="9"/>
        <v>6923558.29</v>
      </c>
      <c r="Z75" s="195">
        <f t="shared" si="9"/>
        <v>0</v>
      </c>
      <c r="AA75" s="195">
        <f t="shared" si="9"/>
        <v>564562.8600000001</v>
      </c>
      <c r="AB75" s="195">
        <f t="shared" si="9"/>
        <v>28011934.950000003</v>
      </c>
      <c r="AC75" s="195">
        <f t="shared" si="9"/>
        <v>4499956.18</v>
      </c>
      <c r="AD75" s="195">
        <f t="shared" si="9"/>
        <v>0</v>
      </c>
      <c r="AE75" s="195">
        <f t="shared" si="9"/>
        <v>571516.46</v>
      </c>
      <c r="AF75" s="195">
        <f t="shared" si="9"/>
        <v>0</v>
      </c>
      <c r="AG75" s="195">
        <f t="shared" si="9"/>
        <v>44023779.560000002</v>
      </c>
      <c r="AH75" s="195">
        <f t="shared" si="9"/>
        <v>0</v>
      </c>
      <c r="AI75" s="195">
        <f t="shared" si="9"/>
        <v>0</v>
      </c>
      <c r="AJ75" s="195">
        <f t="shared" si="9"/>
        <v>29119362.800000001</v>
      </c>
      <c r="AK75" s="195">
        <f t="shared" si="9"/>
        <v>320282.01</v>
      </c>
      <c r="AL75" s="195">
        <f t="shared" si="9"/>
        <v>74202.080000000002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5872.01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243180461.28000003</v>
      </c>
      <c r="CF75" s="252"/>
    </row>
    <row r="76" spans="1:84" ht="12.6" customHeight="1" x14ac:dyDescent="0.2">
      <c r="A76" s="171" t="s">
        <v>248</v>
      </c>
      <c r="B76" s="175"/>
      <c r="C76" s="184"/>
      <c r="D76" s="184"/>
      <c r="E76" s="290">
        <v>15865</v>
      </c>
      <c r="F76" s="185"/>
      <c r="G76" s="291"/>
      <c r="H76" s="291"/>
      <c r="I76" s="185"/>
      <c r="J76" s="290"/>
      <c r="K76" s="185"/>
      <c r="L76" s="185"/>
      <c r="M76" s="185"/>
      <c r="N76" s="185"/>
      <c r="O76" s="185">
        <f>192+5802</f>
        <v>5994</v>
      </c>
      <c r="P76" s="185">
        <v>17054</v>
      </c>
      <c r="Q76" s="185">
        <v>1200</v>
      </c>
      <c r="R76" s="185">
        <v>192</v>
      </c>
      <c r="S76" s="185">
        <v>2955</v>
      </c>
      <c r="T76" s="185"/>
      <c r="U76" s="185">
        <v>1626</v>
      </c>
      <c r="V76" s="185"/>
      <c r="W76" s="185">
        <v>720</v>
      </c>
      <c r="X76" s="185">
        <v>576</v>
      </c>
      <c r="Y76" s="185">
        <v>9797</v>
      </c>
      <c r="Z76" s="185"/>
      <c r="AA76" s="185"/>
      <c r="AB76" s="185">
        <f>53+1856</f>
        <v>1909</v>
      </c>
      <c r="AC76" s="185">
        <v>171</v>
      </c>
      <c r="AD76" s="185"/>
      <c r="AE76" s="185">
        <v>192</v>
      </c>
      <c r="AF76" s="185"/>
      <c r="AG76" s="185">
        <v>8332</v>
      </c>
      <c r="AH76" s="185"/>
      <c r="AI76" s="185"/>
      <c r="AJ76" s="290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f>1424+2747</f>
        <v>4171</v>
      </c>
      <c r="AZ76" s="290"/>
      <c r="BA76" s="290"/>
      <c r="BB76" s="185"/>
      <c r="BC76" s="185"/>
      <c r="BD76" s="185"/>
      <c r="BE76" s="185">
        <v>3559</v>
      </c>
      <c r="BF76" s="185">
        <f>192+1263</f>
        <v>1455</v>
      </c>
      <c r="BG76" s="185"/>
      <c r="BH76" s="185"/>
      <c r="BI76" s="290"/>
      <c r="BJ76" s="185"/>
      <c r="BK76" s="185"/>
      <c r="BL76" s="185"/>
      <c r="BM76" s="185"/>
      <c r="BN76" s="185">
        <v>22286</v>
      </c>
      <c r="BO76" s="185"/>
      <c r="BP76" s="185"/>
      <c r="BQ76" s="185"/>
      <c r="BR76" s="185">
        <f>224-224</f>
        <v>0</v>
      </c>
      <c r="BS76" s="185"/>
      <c r="BT76" s="185"/>
      <c r="BU76" s="185"/>
      <c r="BV76" s="185">
        <v>2112</v>
      </c>
      <c r="BW76" s="185"/>
      <c r="BX76" s="185"/>
      <c r="BY76" s="185">
        <v>176</v>
      </c>
      <c r="BZ76" s="185"/>
      <c r="CA76" s="185"/>
      <c r="CB76" s="185"/>
      <c r="CC76" s="185"/>
      <c r="CD76" s="249" t="s">
        <v>221</v>
      </c>
      <c r="CE76" s="195">
        <f t="shared" si="8"/>
        <v>100342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/>
      <c r="D77" s="184"/>
      <c r="E77" s="184">
        <v>22735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22735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/>
      <c r="D78" s="184"/>
      <c r="E78" s="184">
        <v>5662.19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2139.25</v>
      </c>
      <c r="P78" s="184">
        <v>6086.54</v>
      </c>
      <c r="Q78" s="184">
        <v>428.28</v>
      </c>
      <c r="R78" s="184">
        <v>68.52</v>
      </c>
      <c r="S78" s="184">
        <v>1054.6300000000001</v>
      </c>
      <c r="T78" s="184"/>
      <c r="U78" s="184">
        <v>580.32000000000005</v>
      </c>
      <c r="V78" s="184"/>
      <c r="W78" s="184">
        <v>256.97000000000003</v>
      </c>
      <c r="X78" s="184">
        <v>205.57</v>
      </c>
      <c r="Y78" s="184">
        <v>3496.53</v>
      </c>
      <c r="Z78" s="184"/>
      <c r="AA78" s="184"/>
      <c r="AB78" s="184">
        <v>681.32</v>
      </c>
      <c r="AC78" s="184">
        <v>61.03</v>
      </c>
      <c r="AD78" s="184"/>
      <c r="AE78" s="184">
        <v>68.52</v>
      </c>
      <c r="AF78" s="184"/>
      <c r="AG78" s="184">
        <v>2973.67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753.77</v>
      </c>
      <c r="BW78" s="184"/>
      <c r="BX78" s="184"/>
      <c r="BY78" s="184">
        <v>62.81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24579.919999999998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>
        <v>53343.26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16628.97</v>
      </c>
      <c r="P79" s="184">
        <v>43958.59</v>
      </c>
      <c r="Q79" s="184"/>
      <c r="R79" s="184"/>
      <c r="S79" s="184"/>
      <c r="T79" s="184"/>
      <c r="U79" s="184"/>
      <c r="V79" s="184"/>
      <c r="W79" s="184"/>
      <c r="X79" s="184"/>
      <c r="Y79" s="184">
        <v>17179.95</v>
      </c>
      <c r="Z79" s="184"/>
      <c r="AA79" s="184"/>
      <c r="AB79" s="184"/>
      <c r="AC79" s="184"/>
      <c r="AD79" s="184"/>
      <c r="AE79" s="184"/>
      <c r="AF79" s="184"/>
      <c r="AG79" s="184">
        <v>50358.71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181469.48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/>
      <c r="D80" s="187"/>
      <c r="E80" s="187">
        <v>24.51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10.72</v>
      </c>
      <c r="P80" s="187">
        <v>8.91</v>
      </c>
      <c r="Q80" s="187">
        <v>7.61</v>
      </c>
      <c r="R80" s="187"/>
      <c r="S80" s="187"/>
      <c r="T80" s="187">
        <v>0.18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15.7</v>
      </c>
      <c r="AH80" s="187"/>
      <c r="AI80" s="187"/>
      <c r="AJ80" s="187">
        <v>24.62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1.03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93.28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1327</v>
      </c>
      <c r="D111" s="174">
        <v>4824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305</v>
      </c>
      <c r="D114" s="174">
        <v>424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414+205</f>
        <v>619</v>
      </c>
      <c r="C138" s="189">
        <f>28+243</f>
        <v>271</v>
      </c>
      <c r="D138" s="174">
        <f>1396-890-69</f>
        <v>437</v>
      </c>
      <c r="E138" s="175">
        <f>SUM(B138:D138)</f>
        <v>1327</v>
      </c>
    </row>
    <row r="139" spans="1:6" ht="12.6" customHeight="1" x14ac:dyDescent="0.2">
      <c r="A139" s="173" t="s">
        <v>215</v>
      </c>
      <c r="B139" s="174">
        <f>1784+941</f>
        <v>2725</v>
      </c>
      <c r="C139" s="189">
        <f>104+798</f>
        <v>902</v>
      </c>
      <c r="D139" s="174">
        <f>4878-3627-54</f>
        <v>1197</v>
      </c>
      <c r="E139" s="175">
        <f>SUM(B139:D139)</f>
        <v>4824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26521192.82</v>
      </c>
      <c r="C141" s="189">
        <v>11793619.26</v>
      </c>
      <c r="D141" s="174">
        <v>22424666.02</v>
      </c>
      <c r="E141" s="175">
        <f>SUM(B141:D141)</f>
        <v>60739478.099999994</v>
      </c>
      <c r="F141" s="199"/>
    </row>
    <row r="142" spans="1:6" ht="12.6" customHeight="1" x14ac:dyDescent="0.2">
      <c r="A142" s="173" t="s">
        <v>246</v>
      </c>
      <c r="B142" s="174">
        <f>7247189.57+54671591.27+117858.5</f>
        <v>62036639.340000004</v>
      </c>
      <c r="C142" s="189">
        <f>4984168.06+25387927.51+119718.35</f>
        <v>30491813.920000002</v>
      </c>
      <c r="D142" s="174">
        <f>15168079.53+74389988.82+354461.57</f>
        <v>89912529.919999987</v>
      </c>
      <c r="E142" s="175">
        <f>SUM(B142:D142)</f>
        <v>182440983.18000001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2031347.57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147907.4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220173.59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2961380.88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70439.05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1396043.72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404285.77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7231577.9799999986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f>595376.34+691782.64</f>
        <v>1287158.98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f>1613297.18-C175</f>
        <v>326138.19999999995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1613297.18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f>331046.09+234203.64</f>
        <v>565249.73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82700.83-74276.4</f>
        <v>8424.4300000000076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573674.16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43720.42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894899.09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938619.51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5427.05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5427.05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3268423</v>
      </c>
      <c r="C195" s="189"/>
      <c r="D195" s="174"/>
      <c r="E195" s="175">
        <f t="shared" ref="E195:E203" si="10">SUM(B195:C195)-D195</f>
        <v>3268423</v>
      </c>
    </row>
    <row r="196" spans="1:8" ht="12.6" customHeight="1" x14ac:dyDescent="0.2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">
      <c r="A197" s="173" t="s">
        <v>334</v>
      </c>
      <c r="B197" s="174">
        <f>125373.2+23757816.34+33249680.16</f>
        <v>57132869.700000003</v>
      </c>
      <c r="C197" s="189">
        <f>366364.27+7831.58</f>
        <v>374195.85000000003</v>
      </c>
      <c r="D197" s="174"/>
      <c r="E197" s="175">
        <f t="shared" si="10"/>
        <v>57507065.550000004</v>
      </c>
    </row>
    <row r="198" spans="1:8" ht="12.6" customHeight="1" x14ac:dyDescent="0.2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f>1813322.77+89498.26</f>
        <v>1902821.03</v>
      </c>
      <c r="C199" s="189">
        <f>44865.93+264169.09-10869.92+5590.62</f>
        <v>303755.72000000003</v>
      </c>
      <c r="D199" s="174"/>
      <c r="E199" s="175">
        <f t="shared" si="10"/>
        <v>2206576.75</v>
      </c>
    </row>
    <row r="200" spans="1:8" ht="12.6" customHeight="1" x14ac:dyDescent="0.2">
      <c r="A200" s="173" t="s">
        <v>337</v>
      </c>
      <c r="B200" s="174">
        <v>36029525</v>
      </c>
      <c r="C200" s="189">
        <f>316529.62+55272.23+92784.19+268380.67+201274.4-4281.85</f>
        <v>929959.26</v>
      </c>
      <c r="D200" s="174">
        <f>669394.86+163867.15-699394.86+547828.22-321181.96</f>
        <v>360513.41</v>
      </c>
      <c r="E200" s="175">
        <f t="shared" si="10"/>
        <v>36598970.850000001</v>
      </c>
    </row>
    <row r="201" spans="1:8" ht="12.6" customHeight="1" x14ac:dyDescent="0.2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2322813</v>
      </c>
      <c r="C202" s="189">
        <f>361647.05+145097.24</f>
        <v>506744.29</v>
      </c>
      <c r="D202" s="174">
        <v>144614.41</v>
      </c>
      <c r="E202" s="175">
        <f t="shared" si="10"/>
        <v>2684942.88</v>
      </c>
    </row>
    <row r="203" spans="1:8" ht="12.6" customHeight="1" x14ac:dyDescent="0.2">
      <c r="A203" s="173" t="s">
        <v>340</v>
      </c>
      <c r="B203" s="174">
        <v>121456</v>
      </c>
      <c r="C203" s="189">
        <f>597079.41+153999.44+1562.01-8873.23+589.26</f>
        <v>744356.89000000013</v>
      </c>
      <c r="D203" s="174">
        <f>361715.38</f>
        <v>361715.38</v>
      </c>
      <c r="E203" s="175">
        <f t="shared" si="10"/>
        <v>504097.51000000013</v>
      </c>
    </row>
    <row r="204" spans="1:8" ht="12.6" customHeight="1" x14ac:dyDescent="0.2">
      <c r="A204" s="173" t="s">
        <v>203</v>
      </c>
      <c r="B204" s="175">
        <f>SUM(B195:B203)</f>
        <v>101354921.73</v>
      </c>
      <c r="C204" s="191">
        <f>SUM(C195:C203)</f>
        <v>2859012.0100000002</v>
      </c>
      <c r="D204" s="175">
        <f>SUM(D195:D203)</f>
        <v>866843.2</v>
      </c>
      <c r="E204" s="175">
        <f>SUM(E195:E203)</f>
        <v>103347090.54000001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493117</v>
      </c>
      <c r="C209" s="189">
        <v>48842.61</v>
      </c>
      <c r="D209" s="174"/>
      <c r="E209" s="175">
        <f t="shared" ref="E209:E216" si="11">SUM(B209:C209)-D209</f>
        <v>541959.61</v>
      </c>
      <c r="H209" s="259"/>
    </row>
    <row r="210" spans="1:8" ht="12.6" customHeight="1" x14ac:dyDescent="0.2">
      <c r="A210" s="173" t="s">
        <v>334</v>
      </c>
      <c r="B210" s="174">
        <v>15087807</v>
      </c>
      <c r="C210" s="189">
        <f>574490.52+960867.09+13431.01</f>
        <v>1548788.6199999999</v>
      </c>
      <c r="D210" s="174">
        <f>-314462.67-950.32</f>
        <v>-315412.99</v>
      </c>
      <c r="E210" s="175">
        <f t="shared" si="11"/>
        <v>16952008.609999999</v>
      </c>
      <c r="H210" s="259"/>
    </row>
    <row r="211" spans="1:8" ht="12.6" customHeight="1" x14ac:dyDescent="0.2">
      <c r="A211" s="173" t="s">
        <v>335</v>
      </c>
      <c r="B211" s="174">
        <v>1222230</v>
      </c>
      <c r="C211" s="189">
        <f>124621.74-2112.61</f>
        <v>122509.13</v>
      </c>
      <c r="D211" s="174">
        <f>-220901.82-3461.72</f>
        <v>-224363.54</v>
      </c>
      <c r="E211" s="175">
        <f t="shared" si="11"/>
        <v>1569102.67</v>
      </c>
      <c r="H211" s="259"/>
    </row>
    <row r="212" spans="1:8" ht="12.6" customHeight="1" x14ac:dyDescent="0.2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">
      <c r="A213" s="173" t="s">
        <v>337</v>
      </c>
      <c r="B213" s="174">
        <v>30228805</v>
      </c>
      <c r="C213" s="189">
        <f>1396081.65+408641.65-18842.33+41527.37+93643.15+24569</f>
        <v>1945620.4899999998</v>
      </c>
      <c r="D213" s="174">
        <f>-51208.38+547828.22-24000+64239.79+73424.85-172443.19-18842.33-206122.97+1+24569</f>
        <v>237445.98999999996</v>
      </c>
      <c r="E213" s="175">
        <f t="shared" si="11"/>
        <v>31936979.5</v>
      </c>
      <c r="H213" s="259"/>
    </row>
    <row r="214" spans="1:8" ht="12.6" customHeight="1" x14ac:dyDescent="0.2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1260913</v>
      </c>
      <c r="C215" s="189">
        <v>255152.11</v>
      </c>
      <c r="D215" s="174">
        <f>63837.03-78764.4</f>
        <v>-14927.369999999995</v>
      </c>
      <c r="E215" s="175">
        <f t="shared" si="11"/>
        <v>1530992.48</v>
      </c>
      <c r="H215" s="259"/>
    </row>
    <row r="216" spans="1:8" ht="12.6" customHeight="1" x14ac:dyDescent="0.2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48292872</v>
      </c>
      <c r="C217" s="191">
        <f>SUM(C208:C216)</f>
        <v>3920912.9599999995</v>
      </c>
      <c r="D217" s="175">
        <f>SUM(D208:D216)</f>
        <v>-317257.91000000003</v>
      </c>
      <c r="E217" s="175">
        <f>SUM(E208:E216)</f>
        <v>52531042.869999997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92" t="s">
        <v>1255</v>
      </c>
      <c r="C220" s="292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1532609.28</v>
      </c>
      <c r="D221" s="172">
        <f>C221</f>
        <v>1532609.28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f>4380330.65+62256504.85-519217</f>
        <v>66117618.5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33878328.520000003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f>5294891.01+515996.03</f>
        <v>5810887.04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55956008.890000001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f>3204798.83+302083.88</f>
        <v>3506882.71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165269725.66000003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f>1761+170+465</f>
        <v>2396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f>2042533.97</f>
        <v>2042533.97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f>2108515.08+150184.74</f>
        <v>2258699.8200000003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4301233.79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171103568.73000002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-774064.95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29675450.079999998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21255061.25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216667.5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1454711.53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72744.91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9390447.8199999984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>23757816.34+33749249.21</f>
        <v>57507065.549999997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2206576.75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f>35929230+669741.15</f>
        <v>36598971.149999999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2684942.95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f>180567.28+323529.87</f>
        <v>504097.15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103347090.35000001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52253989.39+277053.7</f>
        <v>52531043.090000004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50816047.260000005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f>60000597.35</f>
        <v>60000597.350000001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f>8275309.51</f>
        <v>8275309.5099999998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68275906.859999999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427530.8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27487.63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455018.43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128937420.37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688676.79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3153732.71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3970120.68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4312222.45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48327.41+148298.29</f>
        <v>196625.7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12321378.329999998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8526956.1799999997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8526956.1799999997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f>48327.41+48327.41</f>
        <v>96654.82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f>272143.16+148298.29</f>
        <v>420441.44999999995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517096.26999999996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196625.7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320470.56999999995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107768614.69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128937419.77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128937420.37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f>60739478.1</f>
        <v>60739478.100000001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f>154449507.6+592038.42+27399437.16</f>
        <v>182440983.17999998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243180461.27999997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1532609.28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f>165269725.66</f>
        <v>165269725.66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f>4301233.79</f>
        <v>4301233.79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171103568.72999999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72076892.549999982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f>6161732.52+276.38</f>
        <v>6162008.8999999994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6162008.8999999994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78238901.449999988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f>30547409.42+424416.57</f>
        <v>30971825.990000002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f>7231577.99</f>
        <v>7231577.9900000002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f>2661505.72</f>
        <v>2661505.7200000002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f>6013390.49</f>
        <v>6013390.4900000002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f>608905.11</f>
        <v>608905.11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f>13434706.26+7127709.68</f>
        <v>20562415.939999998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f>3920912.84</f>
        <v>3920912.84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f>1613297.18</f>
        <v>1613297.18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f>573674.16</f>
        <v>573674.16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894899.09+43720.42</f>
        <v>938619.51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5427.05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62645.88+22472.63+69461.02+613.38+5778.48+6552.9+2208.73+89629.98+437.2+12864.92</f>
        <v>272665.12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75374217.100000024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2864684.3499999642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1768805.83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4633490.1799999643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4633490.1799999643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St. Elizabeth Hospital   H-0     FYE 06/30/2020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1327</v>
      </c>
      <c r="C414" s="194">
        <f>E138</f>
        <v>1327</v>
      </c>
      <c r="D414" s="179"/>
    </row>
    <row r="415" spans="1:5" ht="12.6" customHeight="1" x14ac:dyDescent="0.2">
      <c r="A415" s="179" t="s">
        <v>464</v>
      </c>
      <c r="B415" s="179">
        <f>D111</f>
        <v>4824</v>
      </c>
      <c r="C415" s="179">
        <f>E139</f>
        <v>4824</v>
      </c>
      <c r="D415" s="194">
        <f>SUM(C59:H59)+N59</f>
        <v>4824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305</v>
      </c>
    </row>
    <row r="424" spans="1:7" ht="12.6" customHeight="1" x14ac:dyDescent="0.2">
      <c r="A424" s="179" t="s">
        <v>1244</v>
      </c>
      <c r="B424" s="179">
        <f>D114</f>
        <v>424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30971825.990000002</v>
      </c>
      <c r="C427" s="179">
        <f t="shared" ref="C427:C434" si="13">CE61</f>
        <v>30971825.989999998</v>
      </c>
      <c r="D427" s="179"/>
    </row>
    <row r="428" spans="1:7" ht="12.6" customHeight="1" x14ac:dyDescent="0.2">
      <c r="A428" s="179" t="s">
        <v>3</v>
      </c>
      <c r="B428" s="179">
        <f t="shared" si="12"/>
        <v>7231577.9900000002</v>
      </c>
      <c r="C428" s="179">
        <f t="shared" si="13"/>
        <v>7231578</v>
      </c>
      <c r="D428" s="179">
        <f>D173</f>
        <v>7231577.9799999986</v>
      </c>
    </row>
    <row r="429" spans="1:7" ht="12.6" customHeight="1" x14ac:dyDescent="0.2">
      <c r="A429" s="179" t="s">
        <v>236</v>
      </c>
      <c r="B429" s="179">
        <f t="shared" si="12"/>
        <v>2661505.7200000002</v>
      </c>
      <c r="C429" s="179">
        <f t="shared" si="13"/>
        <v>2661505.7199999997</v>
      </c>
      <c r="D429" s="179"/>
    </row>
    <row r="430" spans="1:7" ht="12.6" customHeight="1" x14ac:dyDescent="0.2">
      <c r="A430" s="179" t="s">
        <v>237</v>
      </c>
      <c r="B430" s="179">
        <f t="shared" si="12"/>
        <v>6013390.4900000002</v>
      </c>
      <c r="C430" s="179">
        <f t="shared" si="13"/>
        <v>6013390.4899999993</v>
      </c>
      <c r="D430" s="179"/>
    </row>
    <row r="431" spans="1:7" ht="12.6" customHeight="1" x14ac:dyDescent="0.2">
      <c r="A431" s="179" t="s">
        <v>444</v>
      </c>
      <c r="B431" s="179">
        <f t="shared" si="12"/>
        <v>608905.11</v>
      </c>
      <c r="C431" s="179">
        <f t="shared" si="13"/>
        <v>608905.10999999987</v>
      </c>
      <c r="D431" s="179"/>
    </row>
    <row r="432" spans="1:7" ht="12.6" customHeight="1" x14ac:dyDescent="0.2">
      <c r="A432" s="179" t="s">
        <v>445</v>
      </c>
      <c r="B432" s="179">
        <f t="shared" si="12"/>
        <v>20562415.939999998</v>
      </c>
      <c r="C432" s="179">
        <f t="shared" si="13"/>
        <v>20562415.940000001</v>
      </c>
      <c r="D432" s="179"/>
    </row>
    <row r="433" spans="1:7" ht="12.6" customHeight="1" x14ac:dyDescent="0.2">
      <c r="A433" s="179" t="s">
        <v>6</v>
      </c>
      <c r="B433" s="179">
        <f t="shared" si="12"/>
        <v>3920912.84</v>
      </c>
      <c r="C433" s="179">
        <f t="shared" si="13"/>
        <v>3920917</v>
      </c>
      <c r="D433" s="179">
        <f>C217</f>
        <v>3920912.9599999995</v>
      </c>
    </row>
    <row r="434" spans="1:7" ht="12.6" customHeight="1" x14ac:dyDescent="0.2">
      <c r="A434" s="179" t="s">
        <v>474</v>
      </c>
      <c r="B434" s="179">
        <f t="shared" si="12"/>
        <v>1613297.18</v>
      </c>
      <c r="C434" s="179">
        <f t="shared" si="13"/>
        <v>1613296.9799999997</v>
      </c>
      <c r="D434" s="179">
        <f>D177</f>
        <v>1613297.18</v>
      </c>
    </row>
    <row r="435" spans="1:7" ht="12.6" customHeight="1" x14ac:dyDescent="0.2">
      <c r="A435" s="179" t="s">
        <v>447</v>
      </c>
      <c r="B435" s="179">
        <f t="shared" si="12"/>
        <v>573674.16</v>
      </c>
      <c r="C435" s="179"/>
      <c r="D435" s="179">
        <f>D181</f>
        <v>573674.16</v>
      </c>
    </row>
    <row r="436" spans="1:7" ht="12.6" customHeight="1" x14ac:dyDescent="0.2">
      <c r="A436" s="179" t="s">
        <v>475</v>
      </c>
      <c r="B436" s="179">
        <f t="shared" si="12"/>
        <v>938619.51</v>
      </c>
      <c r="C436" s="179"/>
      <c r="D436" s="179">
        <f>D186</f>
        <v>938619.51</v>
      </c>
    </row>
    <row r="437" spans="1:7" ht="12.6" customHeight="1" x14ac:dyDescent="0.2">
      <c r="A437" s="194" t="s">
        <v>449</v>
      </c>
      <c r="B437" s="194">
        <f t="shared" si="12"/>
        <v>5427.05</v>
      </c>
      <c r="C437" s="194"/>
      <c r="D437" s="194">
        <f>D190</f>
        <v>5427.05</v>
      </c>
    </row>
    <row r="438" spans="1:7" ht="12.6" customHeight="1" x14ac:dyDescent="0.2">
      <c r="A438" s="194" t="s">
        <v>476</v>
      </c>
      <c r="B438" s="194">
        <f>C386+C387+C388</f>
        <v>1517720.72</v>
      </c>
      <c r="C438" s="194">
        <f>CD69</f>
        <v>1517720.72</v>
      </c>
      <c r="D438" s="194">
        <f>D181+D186+D190</f>
        <v>1517720.72</v>
      </c>
    </row>
    <row r="439" spans="1:7" ht="12.6" customHeight="1" x14ac:dyDescent="0.2">
      <c r="A439" s="179" t="s">
        <v>451</v>
      </c>
      <c r="B439" s="194">
        <f>C389</f>
        <v>272665.12</v>
      </c>
      <c r="C439" s="194">
        <f>SUM(C69:CC69)</f>
        <v>272665.12000000005</v>
      </c>
      <c r="D439" s="179"/>
    </row>
    <row r="440" spans="1:7" ht="12.6" customHeight="1" x14ac:dyDescent="0.2">
      <c r="A440" s="179" t="s">
        <v>477</v>
      </c>
      <c r="B440" s="194">
        <f>B438+B439</f>
        <v>1790385.8399999999</v>
      </c>
      <c r="C440" s="194">
        <f>CE69</f>
        <v>1790385.84</v>
      </c>
      <c r="D440" s="179"/>
    </row>
    <row r="441" spans="1:7" ht="12.6" customHeight="1" x14ac:dyDescent="0.2">
      <c r="A441" s="179" t="s">
        <v>478</v>
      </c>
      <c r="B441" s="179">
        <f>D390</f>
        <v>75374217.100000024</v>
      </c>
      <c r="C441" s="179">
        <f>SUM(C427:C437)+C440</f>
        <v>75374221.070000008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1532609.28</v>
      </c>
      <c r="C444" s="179">
        <f>C363</f>
        <v>1532609.28</v>
      </c>
      <c r="D444" s="179"/>
    </row>
    <row r="445" spans="1:7" ht="12.6" customHeight="1" x14ac:dyDescent="0.2">
      <c r="A445" s="179" t="s">
        <v>343</v>
      </c>
      <c r="B445" s="179">
        <f>D229</f>
        <v>165269725.66000003</v>
      </c>
      <c r="C445" s="179">
        <f>C364</f>
        <v>165269725.66</v>
      </c>
      <c r="D445" s="179"/>
    </row>
    <row r="446" spans="1:7" ht="12.6" customHeight="1" x14ac:dyDescent="0.2">
      <c r="A446" s="179" t="s">
        <v>351</v>
      </c>
      <c r="B446" s="179">
        <f>D236</f>
        <v>4301233.79</v>
      </c>
      <c r="C446" s="179">
        <f>C365</f>
        <v>4301233.79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171103568.73000002</v>
      </c>
      <c r="C448" s="179">
        <f>D367</f>
        <v>171103568.72999999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2396</v>
      </c>
    </row>
    <row r="454" spans="1:7" ht="12.6" customHeight="1" x14ac:dyDescent="0.2">
      <c r="A454" s="179" t="s">
        <v>168</v>
      </c>
      <c r="B454" s="179">
        <f>C233</f>
        <v>2042533.97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2258699.8200000003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6162008.8999999994</v>
      </c>
      <c r="C458" s="194">
        <f>CE70</f>
        <v>6162008.9000000004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60739478.100000001</v>
      </c>
      <c r="C463" s="194">
        <f>CE73</f>
        <v>60739478.099999994</v>
      </c>
      <c r="D463" s="194">
        <f>E141+E147+E153</f>
        <v>60739478.099999994</v>
      </c>
    </row>
    <row r="464" spans="1:7" ht="12.6" customHeight="1" x14ac:dyDescent="0.2">
      <c r="A464" s="179" t="s">
        <v>246</v>
      </c>
      <c r="B464" s="194">
        <f>C360</f>
        <v>182440983.17999998</v>
      </c>
      <c r="C464" s="194">
        <f>CE74</f>
        <v>182440983.18000001</v>
      </c>
      <c r="D464" s="194">
        <f>E142+E148+E154</f>
        <v>182440983.18000001</v>
      </c>
    </row>
    <row r="465" spans="1:7" ht="12.6" customHeight="1" x14ac:dyDescent="0.2">
      <c r="A465" s="179" t="s">
        <v>247</v>
      </c>
      <c r="B465" s="194">
        <f>D361</f>
        <v>243180461.27999997</v>
      </c>
      <c r="C465" s="194">
        <f>CE75</f>
        <v>243180461.28000003</v>
      </c>
      <c r="D465" s="194">
        <f>D463+D464</f>
        <v>243180461.28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3268423.02</v>
      </c>
      <c r="C468" s="179">
        <f>E195</f>
        <v>3268423</v>
      </c>
      <c r="D468" s="179"/>
    </row>
    <row r="469" spans="1:7" ht="12.6" customHeight="1" x14ac:dyDescent="0.2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">
      <c r="A470" s="179" t="s">
        <v>334</v>
      </c>
      <c r="B470" s="179">
        <f t="shared" si="14"/>
        <v>57507065.549999997</v>
      </c>
      <c r="C470" s="179">
        <f>E197</f>
        <v>57507065.550000004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2206576.75</v>
      </c>
      <c r="C472" s="179">
        <f>E199</f>
        <v>2206576.75</v>
      </c>
      <c r="D472" s="179"/>
    </row>
    <row r="473" spans="1:7" ht="12.6" customHeight="1" x14ac:dyDescent="0.2">
      <c r="A473" s="179" t="s">
        <v>495</v>
      </c>
      <c r="B473" s="179">
        <f t="shared" si="14"/>
        <v>36598971.149999999</v>
      </c>
      <c r="C473" s="179">
        <f>SUM(E200:E201)</f>
        <v>36598970.850000001</v>
      </c>
      <c r="D473" s="179"/>
    </row>
    <row r="474" spans="1:7" ht="12.6" customHeight="1" x14ac:dyDescent="0.2">
      <c r="A474" s="179" t="s">
        <v>339</v>
      </c>
      <c r="B474" s="179">
        <f t="shared" si="14"/>
        <v>2684942.95</v>
      </c>
      <c r="C474" s="179">
        <f>E202</f>
        <v>2684942.88</v>
      </c>
      <c r="D474" s="179"/>
    </row>
    <row r="475" spans="1:7" ht="12.6" customHeight="1" x14ac:dyDescent="0.2">
      <c r="A475" s="179" t="s">
        <v>340</v>
      </c>
      <c r="B475" s="179">
        <f t="shared" si="14"/>
        <v>504097.15</v>
      </c>
      <c r="C475" s="179">
        <f>E203</f>
        <v>504097.51000000013</v>
      </c>
      <c r="D475" s="179"/>
    </row>
    <row r="476" spans="1:7" ht="12.6" customHeight="1" x14ac:dyDescent="0.2">
      <c r="A476" s="179" t="s">
        <v>203</v>
      </c>
      <c r="B476" s="179">
        <f>D275</f>
        <v>103347090.35000001</v>
      </c>
      <c r="C476" s="179">
        <f>E204</f>
        <v>103347090.54000001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52531043.090000004</v>
      </c>
      <c r="C478" s="179">
        <f>E217</f>
        <v>52531042.869999997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128937420.37</v>
      </c>
    </row>
    <row r="482" spans="1:12" ht="12.6" customHeight="1" x14ac:dyDescent="0.2">
      <c r="A482" s="180" t="s">
        <v>499</v>
      </c>
      <c r="C482" s="180">
        <f>D339</f>
        <v>128937419.77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035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5247745.7302500019</v>
      </c>
      <c r="C498" s="240">
        <f>E71</f>
        <v>5409979.870000001</v>
      </c>
      <c r="D498" s="240">
        <f>'Prior Year'!E59</f>
        <v>5143</v>
      </c>
      <c r="E498" s="180">
        <f>E59</f>
        <v>4824</v>
      </c>
      <c r="F498" s="263">
        <f t="shared" si="15"/>
        <v>1020.3666595858452</v>
      </c>
      <c r="G498" s="263">
        <f t="shared" si="15"/>
        <v>1121.4717806799338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11978.464750000001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524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2055503.9400000002</v>
      </c>
      <c r="C508" s="240">
        <f>O71</f>
        <v>2166378.38</v>
      </c>
      <c r="D508" s="240">
        <f>'Prior Year'!O59</f>
        <v>1165</v>
      </c>
      <c r="E508" s="180">
        <f>O59</f>
        <v>1137</v>
      </c>
      <c r="F508" s="263">
        <f t="shared" si="15"/>
        <v>1764.3810643776826</v>
      </c>
      <c r="G508" s="263">
        <f t="shared" si="15"/>
        <v>1905.3459806508354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7162807.1215000013</v>
      </c>
      <c r="C509" s="240">
        <f>P71</f>
        <v>6356367.5999999996</v>
      </c>
      <c r="D509" s="240">
        <f>'Prior Year'!P59</f>
        <v>156330</v>
      </c>
      <c r="E509" s="180">
        <f>P59</f>
        <v>124335</v>
      </c>
      <c r="F509" s="263">
        <f t="shared" si="15"/>
        <v>45.818506502270843</v>
      </c>
      <c r="G509" s="263">
        <f t="shared" si="15"/>
        <v>51.122914706237182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1532860.09</v>
      </c>
      <c r="C510" s="240">
        <f>Q71</f>
        <v>1530456.4400000002</v>
      </c>
      <c r="D510" s="240">
        <f>'Prior Year'!Q59</f>
        <v>7002</v>
      </c>
      <c r="E510" s="180">
        <f>Q59</f>
        <v>5315</v>
      </c>
      <c r="F510" s="263">
        <f t="shared" si="15"/>
        <v>218.91746500999716</v>
      </c>
      <c r="G510" s="263">
        <f t="shared" si="15"/>
        <v>287.95041204139233</v>
      </c>
      <c r="H510" s="265">
        <f t="shared" si="16"/>
        <v>0.31533777822725417</v>
      </c>
      <c r="I510" s="267" t="s">
        <v>1280</v>
      </c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278029.60999999993</v>
      </c>
      <c r="C511" s="240">
        <f>R71</f>
        <v>123142.44</v>
      </c>
      <c r="D511" s="240">
        <f>'Prior Year'!R59</f>
        <v>156090</v>
      </c>
      <c r="E511" s="180">
        <f>R59</f>
        <v>124170</v>
      </c>
      <c r="F511" s="263">
        <f t="shared" si="15"/>
        <v>1.7812134665897874</v>
      </c>
      <c r="G511" s="263">
        <f t="shared" si="15"/>
        <v>0.99172457115245227</v>
      </c>
      <c r="H511" s="265">
        <f t="shared" si="16"/>
        <v>-0.4432309266945117</v>
      </c>
      <c r="I511" s="267" t="s">
        <v>1281</v>
      </c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431682.87544525001</v>
      </c>
      <c r="C512" s="240">
        <f>S71</f>
        <v>478816.94999999995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72241.908500000005</v>
      </c>
      <c r="C513" s="240">
        <f>T71</f>
        <v>77397.17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2031263.5699999998</v>
      </c>
      <c r="C514" s="240">
        <f>U71</f>
        <v>2114949.4200000004</v>
      </c>
      <c r="D514" s="240">
        <f>'Prior Year'!U59</f>
        <v>86125</v>
      </c>
      <c r="E514" s="180">
        <f>U59</f>
        <v>78899</v>
      </c>
      <c r="F514" s="263">
        <f t="shared" si="17"/>
        <v>23.585063222060956</v>
      </c>
      <c r="G514" s="263">
        <f t="shared" si="17"/>
        <v>26.805782329307092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0</v>
      </c>
      <c r="C515" s="240">
        <f>V71</f>
        <v>25050.59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586559.12000000011</v>
      </c>
      <c r="C516" s="240">
        <f>W71</f>
        <v>430313.74</v>
      </c>
      <c r="D516" s="240">
        <f>'Prior Year'!W59</f>
        <v>1389</v>
      </c>
      <c r="E516" s="180">
        <f>W59</f>
        <v>1059</v>
      </c>
      <c r="F516" s="263">
        <f t="shared" si="17"/>
        <v>422.28878329733629</v>
      </c>
      <c r="G516" s="263">
        <f t="shared" si="17"/>
        <v>406.33969782813972</v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790098.48</v>
      </c>
      <c r="C517" s="240">
        <f>X71</f>
        <v>812034.74</v>
      </c>
      <c r="D517" s="240">
        <f>'Prior Year'!X59</f>
        <v>5244</v>
      </c>
      <c r="E517" s="180">
        <f>X59</f>
        <v>4496</v>
      </c>
      <c r="F517" s="263">
        <f t="shared" si="17"/>
        <v>150.6671395881007</v>
      </c>
      <c r="G517" s="263">
        <f t="shared" si="17"/>
        <v>180.61270907473309</v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1897392.6099999999</v>
      </c>
      <c r="C518" s="240">
        <f>Y71</f>
        <v>2003401.43</v>
      </c>
      <c r="D518" s="240">
        <f>'Prior Year'!Y59</f>
        <v>17113</v>
      </c>
      <c r="E518" s="180">
        <f>Y59</f>
        <v>13674</v>
      </c>
      <c r="F518" s="263">
        <f t="shared" si="17"/>
        <v>110.87434172851049</v>
      </c>
      <c r="G518" s="263">
        <f t="shared" si="17"/>
        <v>146.51173248500805</v>
      </c>
      <c r="H518" s="265">
        <f t="shared" si="16"/>
        <v>0.32142144161505026</v>
      </c>
      <c r="I518" s="267" t="s">
        <v>1282</v>
      </c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288605.42</v>
      </c>
      <c r="C520" s="240">
        <f>AA71</f>
        <v>195948.37000000002</v>
      </c>
      <c r="D520" s="240">
        <f>'Prior Year'!AA59</f>
        <v>347</v>
      </c>
      <c r="E520" s="180">
        <f>AA59</f>
        <v>0</v>
      </c>
      <c r="F520" s="263">
        <f t="shared" si="17"/>
        <v>831.71590778097982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1990191.68</v>
      </c>
      <c r="C521" s="240">
        <f>AB71</f>
        <v>1729307.07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691589.66999999993</v>
      </c>
      <c r="C522" s="240">
        <f>AC71</f>
        <v>714217.49</v>
      </c>
      <c r="D522" s="240">
        <f>'Prior Year'!AC59</f>
        <v>11609</v>
      </c>
      <c r="E522" s="180">
        <f>AC59</f>
        <v>10221</v>
      </c>
      <c r="F522" s="263">
        <f t="shared" si="17"/>
        <v>59.573578258247906</v>
      </c>
      <c r="G522" s="263">
        <f t="shared" si="17"/>
        <v>69.877457195969086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133237.20999999996</v>
      </c>
      <c r="C524" s="240">
        <f>AE71</f>
        <v>123097.4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3609521.5616000001</v>
      </c>
      <c r="C526" s="240">
        <f>AG71</f>
        <v>3991814.1999999997</v>
      </c>
      <c r="D526" s="240">
        <f>'Prior Year'!AG59</f>
        <v>14985</v>
      </c>
      <c r="E526" s="180">
        <f>AG59</f>
        <v>11774</v>
      </c>
      <c r="F526" s="263">
        <f t="shared" si="17"/>
        <v>240.87564641975308</v>
      </c>
      <c r="G526" s="263">
        <f t="shared" si="17"/>
        <v>339.0363682690674</v>
      </c>
      <c r="H526" s="265">
        <f t="shared" si="16"/>
        <v>0.40751617404383889</v>
      </c>
      <c r="I526" s="267" t="s">
        <v>1282</v>
      </c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18657135.259999998</v>
      </c>
      <c r="C529" s="240">
        <f>AJ71</f>
        <v>19508453.59</v>
      </c>
      <c r="D529" s="240">
        <f>'Prior Year'!AJ59</f>
        <v>101240.3</v>
      </c>
      <c r="E529" s="180">
        <f>AJ59</f>
        <v>94799.29</v>
      </c>
      <c r="F529" s="263">
        <f t="shared" si="18"/>
        <v>184.28565758892455</v>
      </c>
      <c r="G529" s="263">
        <f t="shared" si="18"/>
        <v>205.78691665306778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66540.460000000006</v>
      </c>
      <c r="C530" s="240">
        <f>AK71</f>
        <v>55084.24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21467.82</v>
      </c>
      <c r="C531" s="240">
        <f>AL71</f>
        <v>17736.61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12981.05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230421.08142</v>
      </c>
      <c r="C541" s="240">
        <f>AV71</f>
        <v>-139435.44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19488.455999999998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1047690.1399999999</v>
      </c>
      <c r="C544" s="240">
        <f>AY71</f>
        <v>1092346.3599999999</v>
      </c>
      <c r="D544" s="240">
        <f>'Prior Year'!AY59</f>
        <v>24945</v>
      </c>
      <c r="E544" s="180">
        <f>AY59</f>
        <v>22735</v>
      </c>
      <c r="F544" s="263">
        <f t="shared" ref="F544:G550" si="19">IF(B544=0,"",IF(D544=0,"",B544/D544))</f>
        <v>42.000005612347159</v>
      </c>
      <c r="G544" s="263">
        <f t="shared" si="19"/>
        <v>48.046903892676482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101157</v>
      </c>
      <c r="E545" s="180">
        <f>AZ59</f>
        <v>57903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0</v>
      </c>
      <c r="C549" s="240">
        <f>BD71</f>
        <v>33098.720000000001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2588641.3619999993</v>
      </c>
      <c r="C550" s="240">
        <f>BE71</f>
        <v>2116833.8199999998</v>
      </c>
      <c r="D550" s="240">
        <f>'Prior Year'!BE59</f>
        <v>100342</v>
      </c>
      <c r="E550" s="180">
        <f>BE59</f>
        <v>100342</v>
      </c>
      <c r="F550" s="263">
        <f t="shared" si="19"/>
        <v>25.798183831296956</v>
      </c>
      <c r="G550" s="263">
        <f t="shared" si="19"/>
        <v>21.09618923282374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949029.59000000008</v>
      </c>
      <c r="C551" s="240">
        <f>BF71</f>
        <v>1008168.1999999998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115061.53825</v>
      </c>
      <c r="C552" s="240">
        <f>BG71</f>
        <v>26735.23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701073.65500000003</v>
      </c>
      <c r="C553" s="240">
        <f>BH71</f>
        <v>272899.71999999997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-0.17000000000007276</v>
      </c>
      <c r="C554" s="240">
        <f>BI71</f>
        <v>-1271.52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87264.259249999988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557814.17985347495</v>
      </c>
      <c r="C556" s="240">
        <f>BK71</f>
        <v>3242.52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1524112.41738</v>
      </c>
      <c r="C557" s="240">
        <f>BL71</f>
        <v>2158606.6999999997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1517407.834713625</v>
      </c>
      <c r="C559" s="240">
        <f>BN71</f>
        <v>1061557.6500000001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63607.626500000006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335208.30449999997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214280.16275000002</v>
      </c>
      <c r="C563" s="240">
        <f>BR71</f>
        <v>50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17575.629749999996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30091.622249999997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10482.752750000003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808537.98836307495</v>
      </c>
      <c r="C567" s="240">
        <f>BV71</f>
        <v>247845.4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154452.670456375</v>
      </c>
      <c r="C568" s="240">
        <f>BW71</f>
        <v>24262.61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908323.51161359996</v>
      </c>
      <c r="C569" s="240">
        <f>BX71</f>
        <v>652426.01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1508484.8191500003</v>
      </c>
      <c r="C570" s="240">
        <f>BY71</f>
        <v>1451234.98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12417.31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93033.581999999995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11254.406750000002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7174374.3732049</v>
      </c>
      <c r="C574" s="240">
        <f>CC71</f>
        <v>15098744.390000001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1521503</v>
      </c>
      <c r="C575" s="240">
        <f>CD71</f>
        <v>-3784479.2800000003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96783</v>
      </c>
      <c r="E612" s="180">
        <f>SUM(C624:D647)+SUM(C668:D713)</f>
        <v>53409179.805009767</v>
      </c>
      <c r="F612" s="180">
        <f>CE64-(AX64+BD64+BE64+BG64+BJ64+BN64+BP64+BQ64+CB64+CC64+CD64)</f>
        <v>5970997.9999999991</v>
      </c>
      <c r="G612" s="180">
        <f>CE77-(AX77+AY77+BD77+BE77+BG77+BJ77+BN77+BP77+BQ77+CB77+CC77+CD77)</f>
        <v>22735</v>
      </c>
      <c r="H612" s="197">
        <f>CE60-(AX60+AY60+AZ60+BD60+BE60+BG60+BJ60+BN60+BO60+BP60+BQ60+BR60+CB60+CC60+CD60)</f>
        <v>310.38</v>
      </c>
      <c r="I612" s="180">
        <f>CE78-(AX78+AY78+AZ78+BD78+BE78+BF78+BG78+BJ78+BN78+BO78+BP78+BQ78+BR78+CB78+CC78+CD78)</f>
        <v>24579.919999999998</v>
      </c>
      <c r="J612" s="180">
        <f>CE79-(AX79+AY79+AZ79+BA79+BD79+BE79+BF79+BG79+BJ79+BN79+BO79+BP79+BQ79+BR79+CB79+CC79+CD79)</f>
        <v>181469.48</v>
      </c>
      <c r="K612" s="180">
        <f>CE75-(AW75+AX75+AY75+AZ75+BA75+BB75+BC75+BD75+BE75+BF75+BG75+BH75+BI75+BJ75+BK75+BL75+BM75+BN75+BO75+BP75+BQ75+BR75+BS75+BT75+BU75+BV75+BW75+BX75+CB75+CC75+CD75)</f>
        <v>243180461.28000003</v>
      </c>
      <c r="L612" s="197">
        <f>CE80-(AW80+AX80+AY80+AZ80+BA80+BB80+BC80+BD80+BE80+BF80+BG80+BH80+BI80+BJ80+BK80+BL80+BM80+BN80+BO80+BP80+BQ80+BR80+BS80+BT80+BU80+BV80+BW80+BX80+BY80+BZ80+CA80+CB80+CC80+CD80)</f>
        <v>93.28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2116833.8199999998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-3784479.2800000003</v>
      </c>
      <c r="D615" s="266">
        <f>SUM(C614:C615)</f>
        <v>-1667645.4600000004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26735.23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1061557.6500000001</v>
      </c>
      <c r="D619" s="180">
        <f>(D615/D612)*BN76</f>
        <v>-384004.90500976419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15098744.390000001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15803032.364990236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33098.720000000001</v>
      </c>
      <c r="D624" s="180">
        <f>(D615/D612)*BD76</f>
        <v>0</v>
      </c>
      <c r="E624" s="180">
        <f>(E623/E612)*SUM(C624:D624)</f>
        <v>9793.4502141649955</v>
      </c>
      <c r="F624" s="180">
        <f>SUM(C624:E624)</f>
        <v>42892.170214164995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1092346.3599999999</v>
      </c>
      <c r="D625" s="180">
        <f>(D615/D612)*AY76</f>
        <v>-71869.535080127724</v>
      </c>
      <c r="E625" s="180">
        <f>(E623/E612)*SUM(C625:D625)</f>
        <v>301944.87821770558</v>
      </c>
      <c r="F625" s="180">
        <f>(F624/F612)*AY64</f>
        <v>2262.5860109197151</v>
      </c>
      <c r="G625" s="180">
        <f>SUM(C625:F625)</f>
        <v>1324684.2891484974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50</v>
      </c>
      <c r="D626" s="180">
        <f>(D615/D612)*BR76</f>
        <v>0</v>
      </c>
      <c r="E626" s="180">
        <f>(E623/E612)*SUM(C626:D626)</f>
        <v>14.794303547335055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64.794303547335062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1008168.1999999998</v>
      </c>
      <c r="D629" s="180">
        <f>(D615/D612)*BF76</f>
        <v>-25070.768051207346</v>
      </c>
      <c r="E629" s="180">
        <f>(E623/E612)*SUM(C629:D629)</f>
        <v>290884.83649712009</v>
      </c>
      <c r="F629" s="180">
        <f>(F624/F612)*BF64</f>
        <v>414.85111170958191</v>
      </c>
      <c r="G629" s="180">
        <f>(G625/G612)*BF77</f>
        <v>0</v>
      </c>
      <c r="H629" s="180">
        <f>(H628/H612)*BF60</f>
        <v>2.4570814896324946</v>
      </c>
      <c r="I629" s="180">
        <f>SUM(C629:H629)</f>
        <v>1274399.5766391121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-1271.52</v>
      </c>
      <c r="D634" s="180">
        <f>(D615/D612)*BI76</f>
        <v>0</v>
      </c>
      <c r="E634" s="180">
        <f>(E623/E612)*SUM(C634:D634)</f>
        <v>-376.22505693014938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3242.52</v>
      </c>
      <c r="D635" s="180">
        <f>(D615/D612)*BK76</f>
        <v>0</v>
      </c>
      <c r="E635" s="180">
        <f>(E623/E612)*SUM(C635:D635)</f>
        <v>959.41650276609732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272899.71999999997</v>
      </c>
      <c r="D636" s="180">
        <f>(D615/D612)*BH76</f>
        <v>0</v>
      </c>
      <c r="E636" s="180">
        <f>(E623/E612)*SUM(C636:D636)</f>
        <v>80747.225913254864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2158606.6999999997</v>
      </c>
      <c r="D637" s="180">
        <f>(D615/D612)*BL76</f>
        <v>0</v>
      </c>
      <c r="E637" s="180">
        <f>(E623/E612)*SUM(C637:D637)</f>
        <v>638701.65518222423</v>
      </c>
      <c r="F637" s="180">
        <f>(F624/F612)*BL64</f>
        <v>116.55396240901725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247845.4</v>
      </c>
      <c r="D642" s="180">
        <f>(D615/D612)*BV76</f>
        <v>-36391.382903195816</v>
      </c>
      <c r="E642" s="180">
        <f>(E623/E612)*SUM(C642:D642)</f>
        <v>62566.298304669945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39080.850095657901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24262.61</v>
      </c>
      <c r="D643" s="180">
        <f>(D615/D612)*BW76</f>
        <v>0</v>
      </c>
      <c r="E643" s="180">
        <f>(E623/E612)*SUM(C643:D643)</f>
        <v>7178.9683438121401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652426.01</v>
      </c>
      <c r="D644" s="180">
        <f>(D615/D612)*BX76</f>
        <v>0</v>
      </c>
      <c r="E644" s="180">
        <f>(E623/E612)*SUM(C644:D644)</f>
        <v>193043.76868233312</v>
      </c>
      <c r="F644" s="180">
        <f>(F624/F612)*BX64</f>
        <v>1.8405351755725523</v>
      </c>
      <c r="G644" s="180">
        <f>(G625/G612)*BX77</f>
        <v>0</v>
      </c>
      <c r="H644" s="180">
        <f>(H628/H612)*BX60</f>
        <v>0.20875798552527566</v>
      </c>
      <c r="I644" s="180">
        <f>(I629/I612)*BX78</f>
        <v>0</v>
      </c>
      <c r="J644" s="180">
        <f>(J630/J612)*BX79</f>
        <v>0</v>
      </c>
      <c r="K644" s="180">
        <f>SUM(C631:J644)</f>
        <v>4343640.6183201615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1451234.98</v>
      </c>
      <c r="D645" s="180">
        <f>(D615/D612)*BY76</f>
        <v>-3032.6152419329846</v>
      </c>
      <c r="E645" s="180">
        <f>(E623/E612)*SUM(C645:D645)</f>
        <v>428502.90764398576</v>
      </c>
      <c r="F645" s="180">
        <f>(F624/F612)*BY64</f>
        <v>21.670502246338071</v>
      </c>
      <c r="G645" s="180">
        <f>(G625/G612)*BY77</f>
        <v>0</v>
      </c>
      <c r="H645" s="180">
        <f>(H628/H612)*BY60</f>
        <v>2.1063680739500312</v>
      </c>
      <c r="I645" s="180">
        <f>(I629/I612)*BY78</f>
        <v>3256.5214780480424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12417.31</v>
      </c>
      <c r="D646" s="180">
        <f>(D615/D612)*BZ76</f>
        <v>0</v>
      </c>
      <c r="E646" s="180">
        <f>(E623/E612)*SUM(C646:D646)</f>
        <v>3674.109067627181</v>
      </c>
      <c r="F646" s="180">
        <f>(F624/F612)*BZ64</f>
        <v>0</v>
      </c>
      <c r="G646" s="180">
        <f>(G625/G612)*BZ77</f>
        <v>0</v>
      </c>
      <c r="H646" s="180">
        <f>(H628/H612)*BZ60</f>
        <v>3.7576437394549619E-2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1896077.0273944859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21474718.819999997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5409979.870000001</v>
      </c>
      <c r="D670" s="180">
        <f>(D615/D612)*E76</f>
        <v>-273366.14098447043</v>
      </c>
      <c r="E670" s="180">
        <f>(E623/E612)*SUM(C670:D670)</f>
        <v>1519852.4542492884</v>
      </c>
      <c r="F670" s="180">
        <f>(F624/F612)*E64</f>
        <v>1514.8278299503002</v>
      </c>
      <c r="G670" s="180">
        <f>(G625/G612)*E77</f>
        <v>1324684.2891484974</v>
      </c>
      <c r="H670" s="180">
        <f>(H628/H612)*E60</f>
        <v>8.517325809431247</v>
      </c>
      <c r="I670" s="180">
        <f>(I629/I612)*E78</f>
        <v>293568.59334164695</v>
      </c>
      <c r="J670" s="180">
        <f>(J630/J612)*E79</f>
        <v>0</v>
      </c>
      <c r="K670" s="180">
        <f>(K644/K612)*E75</f>
        <v>397366.01688508195</v>
      </c>
      <c r="L670" s="180">
        <f>(L647/L612)*E80</f>
        <v>498208.06112177158</v>
      </c>
      <c r="M670" s="180">
        <f t="shared" si="20"/>
        <v>3761837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2166378.38</v>
      </c>
      <c r="D680" s="180">
        <f>(D615/D612)*O76</f>
        <v>-103281.22590992221</v>
      </c>
      <c r="E680" s="180">
        <f>(E623/E612)*SUM(C680:D680)</f>
        <v>610441.71090503386</v>
      </c>
      <c r="F680" s="180">
        <f>(F624/F612)*O64</f>
        <v>603.78080475091485</v>
      </c>
      <c r="G680" s="180">
        <f>(G625/G612)*O77</f>
        <v>0</v>
      </c>
      <c r="H680" s="180">
        <f>(H628/H612)*O60</f>
        <v>2.7222041312495944</v>
      </c>
      <c r="I680" s="180">
        <f>(I629/I612)*O78</f>
        <v>110914.08329747293</v>
      </c>
      <c r="J680" s="180">
        <f>(J630/J612)*O79</f>
        <v>0</v>
      </c>
      <c r="K680" s="180">
        <f>(K644/K612)*O75</f>
        <v>147073.90589498679</v>
      </c>
      <c r="L680" s="180">
        <f>(L647/L612)*O80</f>
        <v>217902.5057211502</v>
      </c>
      <c r="M680" s="180">
        <f t="shared" si="20"/>
        <v>983657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6356367.5999999996</v>
      </c>
      <c r="D681" s="180">
        <f>(D615/D612)*P76</f>
        <v>-293853.52463593817</v>
      </c>
      <c r="E681" s="180">
        <f>(E623/E612)*SUM(C681:D681)</f>
        <v>1793813.4698185448</v>
      </c>
      <c r="F681" s="180">
        <f>(F624/F612)*P64</f>
        <v>16961.134116108369</v>
      </c>
      <c r="G681" s="180">
        <f>(G625/G612)*P77</f>
        <v>0</v>
      </c>
      <c r="H681" s="180">
        <f>(H628/H612)*P60</f>
        <v>4.4235817132805915</v>
      </c>
      <c r="I681" s="180">
        <f>(I629/I612)*P78</f>
        <v>315569.94486544392</v>
      </c>
      <c r="J681" s="180">
        <f>(J630/J612)*P79</f>
        <v>0</v>
      </c>
      <c r="K681" s="180">
        <f>(K644/K612)*P75</f>
        <v>1055956.4485469265</v>
      </c>
      <c r="L681" s="180">
        <f>(L647/L612)*P80</f>
        <v>181111.13115442611</v>
      </c>
      <c r="M681" s="180">
        <f t="shared" si="20"/>
        <v>3069563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1530456.4400000002</v>
      </c>
      <c r="D682" s="180">
        <f>(D615/D612)*Q76</f>
        <v>-20676.922104088531</v>
      </c>
      <c r="E682" s="180">
        <f>(E623/E612)*SUM(C682:D682)</f>
        <v>446722.72954602592</v>
      </c>
      <c r="F682" s="180">
        <f>(F624/F612)*Q64</f>
        <v>441.59612359110832</v>
      </c>
      <c r="G682" s="180">
        <f>(G625/G612)*Q77</f>
        <v>0</v>
      </c>
      <c r="H682" s="180">
        <f>(H628/H612)*Q60</f>
        <v>2.0019890811873937</v>
      </c>
      <c r="I682" s="180">
        <f>(I629/I612)*Q78</f>
        <v>22205.110947594578</v>
      </c>
      <c r="J682" s="180">
        <f>(J630/J612)*Q79</f>
        <v>0</v>
      </c>
      <c r="K682" s="180">
        <f>(K644/K612)*Q75</f>
        <v>112774.90472793726</v>
      </c>
      <c r="L682" s="180">
        <f>(L647/L612)*Q80</f>
        <v>154686.38699048068</v>
      </c>
      <c r="M682" s="180">
        <f t="shared" si="20"/>
        <v>716156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123142.44</v>
      </c>
      <c r="D683" s="180">
        <f>(D615/D612)*R76</f>
        <v>-3308.3075366541652</v>
      </c>
      <c r="E683" s="180">
        <f>(E623/E612)*SUM(C683:D683)</f>
        <v>35457.250619885926</v>
      </c>
      <c r="F683" s="180">
        <f>(F624/F612)*R64</f>
        <v>660.01489391506334</v>
      </c>
      <c r="G683" s="180">
        <f>(G625/G612)*R77</f>
        <v>0</v>
      </c>
      <c r="H683" s="180">
        <f>(H628/H612)*R60</f>
        <v>0</v>
      </c>
      <c r="I683" s="180">
        <f>(I629/I612)*R78</f>
        <v>3552.5688851433188</v>
      </c>
      <c r="J683" s="180">
        <f>(J630/J612)*R79</f>
        <v>0</v>
      </c>
      <c r="K683" s="180">
        <f>(K644/K612)*R75</f>
        <v>87702.090958199595</v>
      </c>
      <c r="L683" s="180">
        <f>(L647/L612)*R80</f>
        <v>0</v>
      </c>
      <c r="M683" s="180">
        <f t="shared" si="20"/>
        <v>124064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478816.94999999995</v>
      </c>
      <c r="D684" s="180">
        <f>(D615/D612)*S76</f>
        <v>-50916.920681318006</v>
      </c>
      <c r="E684" s="180">
        <f>(E623/E612)*SUM(C684:D684)</f>
        <v>126609.65843308301</v>
      </c>
      <c r="F684" s="180">
        <f>(F624/F612)*S64</f>
        <v>-83.962439037182705</v>
      </c>
      <c r="G684" s="180">
        <f>(G625/G612)*S77</f>
        <v>0</v>
      </c>
      <c r="H684" s="180">
        <f>(H628/H612)*S60</f>
        <v>1.1022421635734556</v>
      </c>
      <c r="I684" s="180">
        <f>(I629/I612)*S78</f>
        <v>54679.593160226192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130289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77397.17</v>
      </c>
      <c r="D685" s="180">
        <f>(D615/D612)*T76</f>
        <v>0</v>
      </c>
      <c r="E685" s="180">
        <f>(E623/E612)*SUM(C685:D685)</f>
        <v>22900.744533693887</v>
      </c>
      <c r="F685" s="180">
        <f>(F624/F612)*T64</f>
        <v>229.56104070168641</v>
      </c>
      <c r="G685" s="180">
        <f>(G625/G612)*T77</f>
        <v>0</v>
      </c>
      <c r="H685" s="180">
        <f>(H628/H612)*T60</f>
        <v>3.7576437394549619E-2</v>
      </c>
      <c r="I685" s="180">
        <f>(I629/I612)*T78</f>
        <v>0</v>
      </c>
      <c r="J685" s="180">
        <f>(J630/J612)*T79</f>
        <v>0</v>
      </c>
      <c r="K685" s="180">
        <f>(K644/K612)*T75</f>
        <v>9376.0509308161181</v>
      </c>
      <c r="L685" s="180">
        <f>(L647/L612)*T80</f>
        <v>3658.8107303924467</v>
      </c>
      <c r="M685" s="180">
        <f t="shared" si="20"/>
        <v>36165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2114949.4200000004</v>
      </c>
      <c r="D686" s="180">
        <f>(D615/D612)*U76</f>
        <v>-28017.229451039959</v>
      </c>
      <c r="E686" s="180">
        <f>(E623/E612)*SUM(C686:D686)</f>
        <v>617494.16619372403</v>
      </c>
      <c r="F686" s="180">
        <f>(F624/F612)*U64</f>
        <v>3151.4640765476788</v>
      </c>
      <c r="G686" s="180">
        <f>(G625/G612)*U77</f>
        <v>0</v>
      </c>
      <c r="H686" s="180">
        <f>(H628/H612)*U60</f>
        <v>2.4675193889087583</v>
      </c>
      <c r="I686" s="180">
        <f>(I629/I612)*U78</f>
        <v>30087.956442299637</v>
      </c>
      <c r="J686" s="180">
        <f>(J630/J612)*U79</f>
        <v>0</v>
      </c>
      <c r="K686" s="180">
        <f>(K644/K612)*U75</f>
        <v>231203.26366080795</v>
      </c>
      <c r="L686" s="180">
        <f>(L647/L612)*U80</f>
        <v>0</v>
      </c>
      <c r="M686" s="180">
        <f t="shared" si="20"/>
        <v>853922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25050.59</v>
      </c>
      <c r="D687" s="180">
        <f>(D615/D612)*V76</f>
        <v>0</v>
      </c>
      <c r="E687" s="180">
        <f>(E623/E612)*SUM(C687:D687)</f>
        <v>7412.1206499967211</v>
      </c>
      <c r="F687" s="180">
        <f>(F624/F612)*V64</f>
        <v>3.297188531682934E-2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92.122409043373523</v>
      </c>
      <c r="L687" s="180">
        <f>(L647/L612)*V80</f>
        <v>0</v>
      </c>
      <c r="M687" s="180">
        <f t="shared" si="20"/>
        <v>7504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430313.74</v>
      </c>
      <c r="D688" s="180">
        <f>(D615/D612)*W76</f>
        <v>-12406.153262453119</v>
      </c>
      <c r="E688" s="180">
        <f>(E623/E612)*SUM(C688:D688)</f>
        <v>123653.03385859045</v>
      </c>
      <c r="F688" s="180">
        <f>(F624/F612)*W64</f>
        <v>86.498472673839217</v>
      </c>
      <c r="G688" s="180">
        <f>(G625/G612)*W77</f>
        <v>0</v>
      </c>
      <c r="H688" s="180">
        <f>(H628/H612)*W60</f>
        <v>0.39246501278751822</v>
      </c>
      <c r="I688" s="180">
        <f>(I629/I612)*W78</f>
        <v>13323.170262920006</v>
      </c>
      <c r="J688" s="180">
        <f>(J630/J612)*W79</f>
        <v>0</v>
      </c>
      <c r="K688" s="180">
        <f>(K644/K612)*W75</f>
        <v>46151.441439185059</v>
      </c>
      <c r="L688" s="180">
        <f>(L647/L612)*W80</f>
        <v>0</v>
      </c>
      <c r="M688" s="180">
        <f t="shared" si="20"/>
        <v>170808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812034.74</v>
      </c>
      <c r="D689" s="180">
        <f>(D615/D612)*X76</f>
        <v>-9924.9226099624957</v>
      </c>
      <c r="E689" s="180">
        <f>(E623/E612)*SUM(C689:D689)</f>
        <v>237333.12233531411</v>
      </c>
      <c r="F689" s="180">
        <f>(F624/F612)*X64</f>
        <v>415.78703914703937</v>
      </c>
      <c r="G689" s="180">
        <f>(G625/G612)*X77</f>
        <v>0</v>
      </c>
      <c r="H689" s="180">
        <f>(H628/H612)*X60</f>
        <v>0.95193641399525697</v>
      </c>
      <c r="I689" s="180">
        <f>(I629/I612)*X78</f>
        <v>10658.225127246236</v>
      </c>
      <c r="J689" s="180">
        <f>(J630/J612)*X79</f>
        <v>0</v>
      </c>
      <c r="K689" s="180">
        <f>(K644/K612)*X75</f>
        <v>217644.64805537881</v>
      </c>
      <c r="L689" s="180">
        <f>(L647/L612)*X80</f>
        <v>0</v>
      </c>
      <c r="M689" s="180">
        <f t="shared" si="20"/>
        <v>456128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2003401.43</v>
      </c>
      <c r="D690" s="180">
        <f>(D615/D612)*Y76</f>
        <v>-168809.83821146277</v>
      </c>
      <c r="E690" s="180">
        <f>(E623/E612)*SUM(C690:D690)</f>
        <v>542830.09788616444</v>
      </c>
      <c r="F690" s="180">
        <f>(F624/F612)*Y64</f>
        <v>318.65545671230035</v>
      </c>
      <c r="G690" s="180">
        <f>(G625/G612)*Y77</f>
        <v>0</v>
      </c>
      <c r="H690" s="180">
        <f>(H628/H612)*Y60</f>
        <v>2.477957288185022</v>
      </c>
      <c r="I690" s="180">
        <f>(I629/I612)*Y78</f>
        <v>181285.22597738134</v>
      </c>
      <c r="J690" s="180">
        <f>(J630/J612)*Y79</f>
        <v>0</v>
      </c>
      <c r="K690" s="180">
        <f>(K644/K612)*Y75</f>
        <v>123667.20933687374</v>
      </c>
      <c r="L690" s="180">
        <f>(L647/L612)*Y80</f>
        <v>0</v>
      </c>
      <c r="M690" s="180">
        <f t="shared" si="20"/>
        <v>679294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195948.37000000002</v>
      </c>
      <c r="D692" s="180">
        <f>(D615/D612)*AA76</f>
        <v>0</v>
      </c>
      <c r="E692" s="180">
        <f>(E623/E612)*SUM(C692:D692)</f>
        <v>57978.393307710445</v>
      </c>
      <c r="F692" s="180">
        <f>(F624/F612)*AA64</f>
        <v>290.33210438593426</v>
      </c>
      <c r="G692" s="180">
        <f>(G625/G612)*AA77</f>
        <v>0</v>
      </c>
      <c r="H692" s="180">
        <f>(H628/H612)*AA60</f>
        <v>0.20458282581477014</v>
      </c>
      <c r="I692" s="180">
        <f>(I629/I612)*AA78</f>
        <v>0</v>
      </c>
      <c r="J692" s="180">
        <f>(J630/J612)*AA79</f>
        <v>0</v>
      </c>
      <c r="K692" s="180">
        <f>(K644/K612)*AA75</f>
        <v>10084.108556186382</v>
      </c>
      <c r="L692" s="180">
        <f>(L647/L612)*AA80</f>
        <v>0</v>
      </c>
      <c r="M692" s="180">
        <f t="shared" si="20"/>
        <v>68353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1729307.07</v>
      </c>
      <c r="D693" s="180">
        <f>(D615/D612)*AB76</f>
        <v>-32893.536913920841</v>
      </c>
      <c r="E693" s="180">
        <f>(E623/E612)*SUM(C693:D693)</f>
        <v>501945.13500565151</v>
      </c>
      <c r="F693" s="180">
        <f>(F624/F612)*AB64</f>
        <v>6857.7762376742221</v>
      </c>
      <c r="G693" s="180">
        <f>(G625/G612)*AB77</f>
        <v>0</v>
      </c>
      <c r="H693" s="180">
        <f>(H628/H612)*AB60</f>
        <v>0.83085678239059713</v>
      </c>
      <c r="I693" s="180">
        <f>(I629/I612)*AB78</f>
        <v>35324.521786716963</v>
      </c>
      <c r="J693" s="180">
        <f>(J630/J612)*AB79</f>
        <v>0</v>
      </c>
      <c r="K693" s="180">
        <f>(K644/K612)*AB75</f>
        <v>500343.5629907205</v>
      </c>
      <c r="L693" s="180">
        <f>(L647/L612)*AB80</f>
        <v>0</v>
      </c>
      <c r="M693" s="180">
        <f t="shared" si="20"/>
        <v>1011578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714217.49</v>
      </c>
      <c r="D694" s="180">
        <f>(D615/D612)*AC76</f>
        <v>-2946.4613998326158</v>
      </c>
      <c r="E694" s="180">
        <f>(E623/E612)*SUM(C694:D694)</f>
        <v>210455.19003072218</v>
      </c>
      <c r="F694" s="180">
        <f>(F624/F612)*AC64</f>
        <v>145.56483960328603</v>
      </c>
      <c r="G694" s="180">
        <f>(G625/G612)*AC77</f>
        <v>0</v>
      </c>
      <c r="H694" s="180">
        <f>(H628/H612)*AC60</f>
        <v>1.2149714757571044</v>
      </c>
      <c r="I694" s="180">
        <f>(I629/I612)*AC78</f>
        <v>3164.2334947503905</v>
      </c>
      <c r="J694" s="180">
        <f>(J630/J612)*AC79</f>
        <v>0</v>
      </c>
      <c r="K694" s="180">
        <f>(K644/K612)*AC75</f>
        <v>80377.314613295268</v>
      </c>
      <c r="L694" s="180">
        <f>(L647/L612)*AC80</f>
        <v>0</v>
      </c>
      <c r="M694" s="180">
        <f t="shared" si="20"/>
        <v>291197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123097.4</v>
      </c>
      <c r="D696" s="180">
        <f>(D615/D612)*AE76</f>
        <v>-3308.3075366541652</v>
      </c>
      <c r="E696" s="180">
        <f>(E623/E612)*SUM(C696:D696)</f>
        <v>35443.923911250487</v>
      </c>
      <c r="F696" s="180">
        <f>(F624/F612)*AE64</f>
        <v>1.8704900256316321</v>
      </c>
      <c r="G696" s="180">
        <f>(G625/G612)*AE77</f>
        <v>0</v>
      </c>
      <c r="H696" s="180">
        <f>(H628/H612)*AE60</f>
        <v>0</v>
      </c>
      <c r="I696" s="180">
        <f>(I629/I612)*AE78</f>
        <v>3552.5688851433188</v>
      </c>
      <c r="J696" s="180">
        <f>(J630/J612)*AE79</f>
        <v>0</v>
      </c>
      <c r="K696" s="180">
        <f>(K644/K612)*AE75</f>
        <v>10208.312364521022</v>
      </c>
      <c r="L696" s="180">
        <f>(L647/L612)*AE80</f>
        <v>0</v>
      </c>
      <c r="M696" s="180">
        <f t="shared" si="20"/>
        <v>45898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3991814.1999999997</v>
      </c>
      <c r="D698" s="180">
        <f>(D615/D612)*AG76</f>
        <v>-143566.76247605469</v>
      </c>
      <c r="E698" s="180">
        <f>(E623/E612)*SUM(C698:D698)</f>
        <v>1138642.8143196709</v>
      </c>
      <c r="F698" s="180">
        <f>(F624/F612)*AG64</f>
        <v>1707.325310852267</v>
      </c>
      <c r="G698" s="180">
        <f>(G625/G612)*AG77</f>
        <v>0</v>
      </c>
      <c r="H698" s="180">
        <f>(H628/H612)*AG60</f>
        <v>4.6239893793848559</v>
      </c>
      <c r="I698" s="180">
        <f>(I629/I612)*AG78</f>
        <v>154176.40859142051</v>
      </c>
      <c r="J698" s="180">
        <f>(J630/J612)*AG79</f>
        <v>0</v>
      </c>
      <c r="K698" s="180">
        <f>(K644/K612)*AG75</f>
        <v>786343.91950022907</v>
      </c>
      <c r="L698" s="180">
        <f>(L647/L612)*AG80</f>
        <v>319129.60259534122</v>
      </c>
      <c r="M698" s="180">
        <f t="shared" si="20"/>
        <v>2256438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19508453.59</v>
      </c>
      <c r="D701" s="180">
        <f>(D615/D612)*AJ76</f>
        <v>0</v>
      </c>
      <c r="E701" s="180">
        <f>(E623/E612)*SUM(C701:D701)</f>
        <v>5772279.6829911657</v>
      </c>
      <c r="F701" s="180">
        <f>(F624/F612)*AJ64</f>
        <v>6311.8119570801446</v>
      </c>
      <c r="G701" s="180">
        <f>(G625/G612)*AJ77</f>
        <v>0</v>
      </c>
      <c r="H701" s="180">
        <f>(H628/H612)*AJ60</f>
        <v>27.599893266296696</v>
      </c>
      <c r="I701" s="180">
        <f>(I629/I612)*AJ78</f>
        <v>0</v>
      </c>
      <c r="J701" s="180">
        <f>(J630/J612)*AJ79</f>
        <v>0</v>
      </c>
      <c r="K701" s="180">
        <f>(K644/K612)*AJ75</f>
        <v>520124.2171016623</v>
      </c>
      <c r="L701" s="180">
        <f>(L647/L612)*AJ80</f>
        <v>500444.00101256691</v>
      </c>
      <c r="M701" s="180">
        <f t="shared" si="20"/>
        <v>6799187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55084.24</v>
      </c>
      <c r="D702" s="180">
        <f>(D615/D612)*AK76</f>
        <v>0</v>
      </c>
      <c r="E702" s="180">
        <f>(E623/E612)*SUM(C702:D702)</f>
        <v>16298.659344685111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5720.8130152833146</v>
      </c>
      <c r="L702" s="180">
        <f>(L647/L612)*AK80</f>
        <v>0</v>
      </c>
      <c r="M702" s="180">
        <f t="shared" si="20"/>
        <v>22019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17736.61</v>
      </c>
      <c r="D703" s="180">
        <f>(D615/D612)*AL76</f>
        <v>0</v>
      </c>
      <c r="E703" s="180">
        <f>(E623/E612)*SUM(C703:D703)</f>
        <v>5248.0158448139682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1325.3826683087623</v>
      </c>
      <c r="L703" s="180">
        <f>(L647/L612)*AL80</f>
        <v>0</v>
      </c>
      <c r="M703" s="180">
        <f t="shared" si="20"/>
        <v>6573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12981.05</v>
      </c>
      <c r="D709" s="180">
        <f>(D615/D612)*AR76</f>
        <v>0</v>
      </c>
      <c r="E709" s="180">
        <f>(E623/E612)*SUM(C709:D709)</f>
        <v>3840.9118812626743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3841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-139435.44</v>
      </c>
      <c r="D713" s="180">
        <f>(D615/D612)*AV76</f>
        <v>0</v>
      </c>
      <c r="E713" s="180">
        <f>(E623/E612)*SUM(C713:D713)</f>
        <v>-41257.004492324486</v>
      </c>
      <c r="F713" s="180">
        <f>(F624/F612)*AV64</f>
        <v>460.59676513685685</v>
      </c>
      <c r="G713" s="180">
        <f>(G625/G612)*AV77</f>
        <v>0</v>
      </c>
      <c r="H713" s="180">
        <f>(H628/H612)*AV60</f>
        <v>0.41542839119529856</v>
      </c>
      <c r="I713" s="180">
        <f>(I629/I612)*AV78</f>
        <v>0</v>
      </c>
      <c r="J713" s="180">
        <f>(J630/J612)*AV79</f>
        <v>0</v>
      </c>
      <c r="K713" s="180">
        <f>(K644/K612)*AV75</f>
        <v>104.88466471742754</v>
      </c>
      <c r="L713" s="180">
        <f>(L647/L612)*AV80</f>
        <v>20936.52806835678</v>
      </c>
      <c r="M713" s="180">
        <f t="shared" si="20"/>
        <v>-19755</v>
      </c>
      <c r="N713" s="199" t="s">
        <v>741</v>
      </c>
    </row>
    <row r="715" spans="1:83" ht="12.6" customHeight="1" x14ac:dyDescent="0.2">
      <c r="C715" s="180">
        <f>SUM(C614:C647)+SUM(C668:C713)</f>
        <v>69212212.169999987</v>
      </c>
      <c r="D715" s="180">
        <f>SUM(D616:D647)+SUM(D668:D713)</f>
        <v>-1667645.4600000002</v>
      </c>
      <c r="E715" s="180">
        <f>SUM(E624:E647)+SUM(E668:E713)</f>
        <v>15803032.364990234</v>
      </c>
      <c r="F715" s="180">
        <f>SUM(F625:F648)+SUM(F668:F713)</f>
        <v>42892.170214165002</v>
      </c>
      <c r="G715" s="180">
        <f>SUM(G626:G647)+SUM(G668:G713)</f>
        <v>1324684.2891484974</v>
      </c>
      <c r="H715" s="180">
        <f>SUM(H629:H647)+SUM(H668:H713)</f>
        <v>64.794303547335062</v>
      </c>
      <c r="I715" s="180">
        <f>SUM(I630:I647)+SUM(I668:I713)</f>
        <v>1274399.5766391123</v>
      </c>
      <c r="J715" s="180">
        <f>SUM(J631:J647)+SUM(J668:J713)</f>
        <v>0</v>
      </c>
      <c r="K715" s="180">
        <f>SUM(K668:K713)</f>
        <v>4343640.6183201605</v>
      </c>
      <c r="L715" s="180">
        <f>SUM(L668:L713)</f>
        <v>1896077.0273944857</v>
      </c>
      <c r="M715" s="180">
        <f>SUM(M668:M713)</f>
        <v>21474716</v>
      </c>
      <c r="N715" s="198" t="s">
        <v>742</v>
      </c>
    </row>
    <row r="716" spans="1:83" ht="12.6" customHeight="1" x14ac:dyDescent="0.2">
      <c r="C716" s="180">
        <f>CE71</f>
        <v>69212212.170000002</v>
      </c>
      <c r="D716" s="180">
        <f>D615</f>
        <v>-1667645.4600000004</v>
      </c>
      <c r="E716" s="180">
        <f>E623</f>
        <v>15803032.364990236</v>
      </c>
      <c r="F716" s="180">
        <f>F624</f>
        <v>42892.170214164995</v>
      </c>
      <c r="G716" s="180">
        <f>G625</f>
        <v>1324684.2891484974</v>
      </c>
      <c r="H716" s="180">
        <f>H628</f>
        <v>64.794303547335062</v>
      </c>
      <c r="I716" s="180">
        <f>I629</f>
        <v>1274399.5766391121</v>
      </c>
      <c r="J716" s="180">
        <f>J630</f>
        <v>0</v>
      </c>
      <c r="K716" s="180">
        <f>K644</f>
        <v>4343640.6183201615</v>
      </c>
      <c r="L716" s="180">
        <f>L647</f>
        <v>1896077.0273944859</v>
      </c>
      <c r="M716" s="180">
        <f>C648</f>
        <v>21474718.819999997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035*2020*A</v>
      </c>
      <c r="B722" s="276">
        <f>ROUND(C165,0)</f>
        <v>2031348</v>
      </c>
      <c r="C722" s="276">
        <f>ROUND(C166,0)</f>
        <v>147907</v>
      </c>
      <c r="D722" s="276">
        <f>ROUND(C167,0)</f>
        <v>220174</v>
      </c>
      <c r="E722" s="276">
        <f>ROUND(C168,0)</f>
        <v>2961381</v>
      </c>
      <c r="F722" s="276">
        <f>ROUND(C169,0)</f>
        <v>70439</v>
      </c>
      <c r="G722" s="276">
        <f>ROUND(C170,0)</f>
        <v>1396044</v>
      </c>
      <c r="H722" s="276">
        <f>ROUND(C171+C172,0)</f>
        <v>404286</v>
      </c>
      <c r="I722" s="276">
        <f>ROUND(C175,0)</f>
        <v>1287159</v>
      </c>
      <c r="J722" s="276">
        <f>ROUND(C176,0)</f>
        <v>326138</v>
      </c>
      <c r="K722" s="276">
        <f>ROUND(C179,0)</f>
        <v>565250</v>
      </c>
      <c r="L722" s="276">
        <f>ROUND(C180,0)</f>
        <v>8424</v>
      </c>
      <c r="M722" s="276">
        <f>ROUND(C183,0)</f>
        <v>43720</v>
      </c>
      <c r="N722" s="276">
        <f>ROUND(C184,0)</f>
        <v>894899</v>
      </c>
      <c r="O722" s="276">
        <f>ROUND(C185,0)</f>
        <v>0</v>
      </c>
      <c r="P722" s="276">
        <f>ROUND(C188,0)</f>
        <v>0</v>
      </c>
      <c r="Q722" s="276">
        <f>ROUND(C189,0)</f>
        <v>5427</v>
      </c>
      <c r="R722" s="276">
        <f>ROUND(B195,0)</f>
        <v>3268423</v>
      </c>
      <c r="S722" s="276">
        <f>ROUND(C195,0)</f>
        <v>0</v>
      </c>
      <c r="T722" s="276">
        <f>ROUND(D195,0)</f>
        <v>0</v>
      </c>
      <c r="U722" s="276">
        <f>ROUND(B196,0)</f>
        <v>577014</v>
      </c>
      <c r="V722" s="276">
        <f>ROUND(C196,0)</f>
        <v>0</v>
      </c>
      <c r="W722" s="276">
        <f>ROUND(D196,0)</f>
        <v>0</v>
      </c>
      <c r="X722" s="276">
        <f>ROUND(B197,0)</f>
        <v>57132870</v>
      </c>
      <c r="Y722" s="276">
        <f>ROUND(C197,0)</f>
        <v>374196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1902821</v>
      </c>
      <c r="AE722" s="276">
        <f>ROUND(C199,0)</f>
        <v>303756</v>
      </c>
      <c r="AF722" s="276">
        <f>ROUND(D199,0)</f>
        <v>0</v>
      </c>
      <c r="AG722" s="276">
        <f>ROUND(B200,0)</f>
        <v>36029525</v>
      </c>
      <c r="AH722" s="276">
        <f>ROUND(C200,0)</f>
        <v>929959</v>
      </c>
      <c r="AI722" s="276">
        <f>ROUND(D200,0)</f>
        <v>360513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2322813</v>
      </c>
      <c r="AN722" s="276">
        <f>ROUND(C202,0)</f>
        <v>506744</v>
      </c>
      <c r="AO722" s="276">
        <f>ROUND(D202,0)</f>
        <v>144614</v>
      </c>
      <c r="AP722" s="276">
        <f>ROUND(B203,0)</f>
        <v>121456</v>
      </c>
      <c r="AQ722" s="276">
        <f>ROUND(C203,0)</f>
        <v>744357</v>
      </c>
      <c r="AR722" s="276">
        <f>ROUND(D203,0)</f>
        <v>361715</v>
      </c>
      <c r="AS722" s="276"/>
      <c r="AT722" s="276"/>
      <c r="AU722" s="276"/>
      <c r="AV722" s="276">
        <f>ROUND(B209,0)</f>
        <v>493117</v>
      </c>
      <c r="AW722" s="276">
        <f>ROUND(C209,0)</f>
        <v>48843</v>
      </c>
      <c r="AX722" s="276">
        <f>ROUND(D209,0)</f>
        <v>0</v>
      </c>
      <c r="AY722" s="276">
        <f>ROUND(B210,0)</f>
        <v>15087807</v>
      </c>
      <c r="AZ722" s="276">
        <f>ROUND(C210,0)</f>
        <v>1548789</v>
      </c>
      <c r="BA722" s="276">
        <f>ROUND(D210,0)</f>
        <v>-315413</v>
      </c>
      <c r="BB722" s="276">
        <f>ROUND(B211,0)</f>
        <v>1222230</v>
      </c>
      <c r="BC722" s="276">
        <f>ROUND(C211,0)</f>
        <v>122509</v>
      </c>
      <c r="BD722" s="276">
        <f>ROUND(D211,0)</f>
        <v>-224364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30228805</v>
      </c>
      <c r="BI722" s="276">
        <f>ROUND(C213,0)</f>
        <v>1945620</v>
      </c>
      <c r="BJ722" s="276">
        <f>ROUND(D213,0)</f>
        <v>237446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1260913</v>
      </c>
      <c r="BO722" s="276">
        <f>ROUND(C215,0)</f>
        <v>255152</v>
      </c>
      <c r="BP722" s="276">
        <f>ROUND(D215,0)</f>
        <v>-14927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66117619</v>
      </c>
      <c r="BU722" s="276">
        <f>ROUND(C224,0)</f>
        <v>33878329</v>
      </c>
      <c r="BV722" s="276">
        <f>ROUND(C225,0)</f>
        <v>0</v>
      </c>
      <c r="BW722" s="276">
        <f>ROUND(C226,0)</f>
        <v>5810887</v>
      </c>
      <c r="BX722" s="276">
        <f>ROUND(C227,0)</f>
        <v>55956009</v>
      </c>
      <c r="BY722" s="276">
        <f>ROUND(C228,0)</f>
        <v>3506883</v>
      </c>
      <c r="BZ722" s="276">
        <f>ROUND(C231,0)</f>
        <v>2396</v>
      </c>
      <c r="CA722" s="276">
        <f>ROUND(C233,0)</f>
        <v>2042534</v>
      </c>
      <c r="CB722" s="276">
        <f>ROUND(C234,0)</f>
        <v>2258700</v>
      </c>
      <c r="CC722" s="276">
        <f>ROUND(C238+C239,0)</f>
        <v>0</v>
      </c>
      <c r="CD722" s="276">
        <f>D221</f>
        <v>1532609.28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035*2020*A</v>
      </c>
      <c r="B726" s="276">
        <f>ROUND(C111,0)</f>
        <v>1327</v>
      </c>
      <c r="C726" s="276">
        <f>ROUND(C112,0)</f>
        <v>0</v>
      </c>
      <c r="D726" s="276">
        <f>ROUND(C113,0)</f>
        <v>0</v>
      </c>
      <c r="E726" s="276">
        <f>ROUND(C114,0)</f>
        <v>305</v>
      </c>
      <c r="F726" s="276">
        <f>ROUND(D111,0)</f>
        <v>4824</v>
      </c>
      <c r="G726" s="276">
        <f>ROUND(D112,0)</f>
        <v>0</v>
      </c>
      <c r="H726" s="276">
        <f>ROUND(D113,0)</f>
        <v>0</v>
      </c>
      <c r="I726" s="276">
        <f>ROUND(D114,0)</f>
        <v>424</v>
      </c>
      <c r="J726" s="276">
        <f>ROUND(C116,0)</f>
        <v>4</v>
      </c>
      <c r="K726" s="276">
        <f>ROUND(C117,0)</f>
        <v>0</v>
      </c>
      <c r="L726" s="276">
        <f>ROUND(C118,0)</f>
        <v>16</v>
      </c>
      <c r="M726" s="276">
        <f>ROUND(C119,0)</f>
        <v>0</v>
      </c>
      <c r="N726" s="276">
        <f>ROUND(C120,0)</f>
        <v>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8</v>
      </c>
      <c r="X726" s="276">
        <f>ROUND(B138,0)</f>
        <v>619</v>
      </c>
      <c r="Y726" s="276">
        <f>ROUND(B139,0)</f>
        <v>2725</v>
      </c>
      <c r="Z726" s="276">
        <f>ROUND(B140,0)</f>
        <v>0</v>
      </c>
      <c r="AA726" s="276">
        <f>ROUND(B141,0)</f>
        <v>26521193</v>
      </c>
      <c r="AB726" s="276">
        <f>ROUND(B142,0)</f>
        <v>62036639</v>
      </c>
      <c r="AC726" s="276">
        <f>ROUND(C138,0)</f>
        <v>271</v>
      </c>
      <c r="AD726" s="276">
        <f>ROUND(C139,0)</f>
        <v>902</v>
      </c>
      <c r="AE726" s="276">
        <f>ROUND(C140,0)</f>
        <v>0</v>
      </c>
      <c r="AF726" s="276">
        <f>ROUND(C141,0)</f>
        <v>11793619</v>
      </c>
      <c r="AG726" s="276">
        <f>ROUND(C142,0)</f>
        <v>30491814</v>
      </c>
      <c r="AH726" s="276">
        <f>ROUND(D138,0)</f>
        <v>437</v>
      </c>
      <c r="AI726" s="276">
        <f>ROUND(D139,0)</f>
        <v>1197</v>
      </c>
      <c r="AJ726" s="276">
        <f>ROUND(D140,0)</f>
        <v>0</v>
      </c>
      <c r="AK726" s="276">
        <f>ROUND(D141,0)</f>
        <v>22424666</v>
      </c>
      <c r="AL726" s="276">
        <f>ROUND(D142,0)</f>
        <v>89912530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035*2020*A</v>
      </c>
      <c r="B730" s="276">
        <f>ROUND(C250,0)</f>
        <v>-774065</v>
      </c>
      <c r="C730" s="276">
        <f>ROUND(C251,0)</f>
        <v>0</v>
      </c>
      <c r="D730" s="276">
        <f>ROUND(C252,0)</f>
        <v>29675450</v>
      </c>
      <c r="E730" s="276">
        <f>ROUND(C253,0)</f>
        <v>21255061</v>
      </c>
      <c r="F730" s="276">
        <f>ROUND(C254,0)</f>
        <v>0</v>
      </c>
      <c r="G730" s="276">
        <f>ROUND(C255,0)</f>
        <v>216668</v>
      </c>
      <c r="H730" s="276">
        <f>ROUND(C256,0)</f>
        <v>0</v>
      </c>
      <c r="I730" s="276">
        <f>ROUND(C257,0)</f>
        <v>1454712</v>
      </c>
      <c r="J730" s="276">
        <f>ROUND(C258,0)</f>
        <v>72745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3268423</v>
      </c>
      <c r="P730" s="276">
        <f>ROUND(C268,0)</f>
        <v>577014</v>
      </c>
      <c r="Q730" s="276">
        <f>ROUND(C269,0)</f>
        <v>57507066</v>
      </c>
      <c r="R730" s="276">
        <f>ROUND(C270,0)</f>
        <v>0</v>
      </c>
      <c r="S730" s="276">
        <f>ROUND(C271,0)</f>
        <v>2206577</v>
      </c>
      <c r="T730" s="276">
        <f>ROUND(C272,0)</f>
        <v>36598971</v>
      </c>
      <c r="U730" s="276">
        <f>ROUND(C273,0)</f>
        <v>2684943</v>
      </c>
      <c r="V730" s="276">
        <f>ROUND(C274,0)</f>
        <v>504097</v>
      </c>
      <c r="W730" s="276">
        <f>ROUND(C275,0)</f>
        <v>0</v>
      </c>
      <c r="X730" s="276">
        <f>ROUND(C276,0)</f>
        <v>52531043</v>
      </c>
      <c r="Y730" s="276">
        <f>ROUND(C279,0)</f>
        <v>0</v>
      </c>
      <c r="Z730" s="276">
        <f>ROUND(C280,0)</f>
        <v>0</v>
      </c>
      <c r="AA730" s="276">
        <f>ROUND(C281,0)</f>
        <v>60000597</v>
      </c>
      <c r="AB730" s="276">
        <f>ROUND(C282,0)</f>
        <v>8275310</v>
      </c>
      <c r="AC730" s="276">
        <f>ROUND(C286,0)</f>
        <v>427531</v>
      </c>
      <c r="AD730" s="276">
        <f>ROUND(C287,0)</f>
        <v>0</v>
      </c>
      <c r="AE730" s="276">
        <f>ROUND(C288,0)</f>
        <v>0</v>
      </c>
      <c r="AF730" s="276">
        <f>ROUND(C289,0)</f>
        <v>27488</v>
      </c>
      <c r="AG730" s="276">
        <f>ROUND(C304,0)</f>
        <v>0</v>
      </c>
      <c r="AH730" s="276">
        <f>ROUND(C305,0)</f>
        <v>688677</v>
      </c>
      <c r="AI730" s="276">
        <f>ROUND(C306,0)</f>
        <v>3153733</v>
      </c>
      <c r="AJ730" s="276">
        <f>ROUND(C307,0)</f>
        <v>3970121</v>
      </c>
      <c r="AK730" s="276">
        <f>ROUND(C308,0)</f>
        <v>0</v>
      </c>
      <c r="AL730" s="276">
        <f>ROUND(C309,0)</f>
        <v>4312222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196626</v>
      </c>
      <c r="AQ730" s="276">
        <f>ROUND(C316,0)</f>
        <v>0</v>
      </c>
      <c r="AR730" s="276">
        <f>ROUND(C317,0)</f>
        <v>0</v>
      </c>
      <c r="AS730" s="276">
        <f>ROUND(C318,0)</f>
        <v>8526956</v>
      </c>
      <c r="AT730" s="276">
        <f>ROUND(C321,0)</f>
        <v>0</v>
      </c>
      <c r="AU730" s="276">
        <f>ROUND(C322,0)</f>
        <v>0</v>
      </c>
      <c r="AV730" s="276">
        <f>ROUND(C323,0)</f>
        <v>96655</v>
      </c>
      <c r="AW730" s="276">
        <f>ROUND(C324,0)</f>
        <v>420441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107768615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327.54000000000002</v>
      </c>
      <c r="BJ730" s="276">
        <f>ROUND(C359,0)</f>
        <v>60739478</v>
      </c>
      <c r="BK730" s="276">
        <f>ROUND(C360,0)</f>
        <v>182440983</v>
      </c>
      <c r="BL730" s="276">
        <f>ROUND(C364,0)</f>
        <v>165269726</v>
      </c>
      <c r="BM730" s="276">
        <f>ROUND(C365,0)</f>
        <v>4301234</v>
      </c>
      <c r="BN730" s="276">
        <f>ROUND(C366,0)</f>
        <v>0</v>
      </c>
      <c r="BO730" s="276">
        <f>ROUND(C370,0)</f>
        <v>6162009</v>
      </c>
      <c r="BP730" s="276">
        <f>ROUND(C371,0)</f>
        <v>0</v>
      </c>
      <c r="BQ730" s="276">
        <f>ROUND(C378,0)</f>
        <v>30971826</v>
      </c>
      <c r="BR730" s="276">
        <f>ROUND(C379,0)</f>
        <v>7231578</v>
      </c>
      <c r="BS730" s="276">
        <f>ROUND(C380,0)</f>
        <v>2661506</v>
      </c>
      <c r="BT730" s="276">
        <f>ROUND(C381,0)</f>
        <v>6013390</v>
      </c>
      <c r="BU730" s="276">
        <f>ROUND(C382,0)</f>
        <v>608905</v>
      </c>
      <c r="BV730" s="276">
        <f>ROUND(C383,0)</f>
        <v>20562416</v>
      </c>
      <c r="BW730" s="276">
        <f>ROUND(C384,0)</f>
        <v>3920913</v>
      </c>
      <c r="BX730" s="276">
        <f>ROUND(C385,0)</f>
        <v>1613297</v>
      </c>
      <c r="BY730" s="276">
        <f>ROUND(C386,0)</f>
        <v>573674</v>
      </c>
      <c r="BZ730" s="276">
        <f>ROUND(C387,0)</f>
        <v>938620</v>
      </c>
      <c r="CA730" s="276">
        <f>ROUND(C388,0)</f>
        <v>5427</v>
      </c>
      <c r="CB730" s="276">
        <f>C363</f>
        <v>1532609.28</v>
      </c>
      <c r="CC730" s="276">
        <f>ROUND(C389,0)</f>
        <v>272665</v>
      </c>
      <c r="CD730" s="276">
        <f>ROUND(C392,0)</f>
        <v>1768806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035*2020*6010*A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035*2020*6030*A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035*2020*6070*A</v>
      </c>
      <c r="B736" s="276">
        <f>ROUND(E59,0)</f>
        <v>4824</v>
      </c>
      <c r="C736" s="278">
        <f>ROUND(E60,2)</f>
        <v>40.799999999999997</v>
      </c>
      <c r="D736" s="276">
        <f>ROUND(E61,0)</f>
        <v>3777587</v>
      </c>
      <c r="E736" s="276">
        <f>ROUND(E62,0)</f>
        <v>983347</v>
      </c>
      <c r="F736" s="276">
        <f>ROUND(E63,0)</f>
        <v>0</v>
      </c>
      <c r="G736" s="276">
        <f>ROUND(E64,0)</f>
        <v>210878</v>
      </c>
      <c r="H736" s="276">
        <f>ROUND(E65,0)</f>
        <v>964</v>
      </c>
      <c r="I736" s="276">
        <f>ROUND(E66,0)</f>
        <v>38538</v>
      </c>
      <c r="J736" s="276">
        <f>ROUND(E67,0)</f>
        <v>383406</v>
      </c>
      <c r="K736" s="276">
        <f>ROUND(E68,0)</f>
        <v>3670</v>
      </c>
      <c r="L736" s="276">
        <f>ROUND(E69,0)</f>
        <v>12839</v>
      </c>
      <c r="M736" s="276">
        <f>ROUND(E70,0)</f>
        <v>1250</v>
      </c>
      <c r="N736" s="276">
        <f>ROUND(E75,0)</f>
        <v>22246696</v>
      </c>
      <c r="O736" s="276">
        <f>ROUND(E73,0)</f>
        <v>17671076</v>
      </c>
      <c r="P736" s="276">
        <f>IF(E76&gt;0,ROUND(E76,0),0)</f>
        <v>15865</v>
      </c>
      <c r="Q736" s="276">
        <f>IF(E77&gt;0,ROUND(E77,0),0)</f>
        <v>22735</v>
      </c>
      <c r="R736" s="276">
        <f>IF(E78&gt;0,ROUND(E78,0),0)</f>
        <v>5662</v>
      </c>
      <c r="S736" s="276">
        <f>IF(E79&gt;0,ROUND(E79,0),0)</f>
        <v>53343</v>
      </c>
      <c r="T736" s="278">
        <f>IF(E80&gt;0,ROUND(E80,2),0)</f>
        <v>24.51</v>
      </c>
      <c r="U736" s="276"/>
      <c r="V736" s="277"/>
      <c r="W736" s="276"/>
      <c r="X736" s="276"/>
      <c r="Y736" s="276">
        <f t="shared" si="21"/>
        <v>3761837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035*2020*6100*A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035*2020*6120*A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035*2020*6140*A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035*2020*6150*A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035*2020*6170*A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035*2020*6200*A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035*2020*6210*A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035*2020*6330*A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035*2020*6400*A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035*2020*7010*A</v>
      </c>
      <c r="B746" s="276">
        <f>ROUND(O59,0)</f>
        <v>1137</v>
      </c>
      <c r="C746" s="278">
        <f>ROUND(O60,2)</f>
        <v>13.04</v>
      </c>
      <c r="D746" s="276">
        <f>ROUND(O61,0)</f>
        <v>1506529</v>
      </c>
      <c r="E746" s="276">
        <f>ROUND(O62,0)</f>
        <v>351580</v>
      </c>
      <c r="F746" s="276">
        <f>ROUND(O63,0)</f>
        <v>0</v>
      </c>
      <c r="G746" s="276">
        <f>ROUND(O64,0)</f>
        <v>84052</v>
      </c>
      <c r="H746" s="276">
        <f>ROUND(O65,0)</f>
        <v>463</v>
      </c>
      <c r="I746" s="276">
        <f>ROUND(O66,0)</f>
        <v>67993</v>
      </c>
      <c r="J746" s="276">
        <f>ROUND(O67,0)</f>
        <v>151788</v>
      </c>
      <c r="K746" s="276">
        <f>ROUND(O68,0)</f>
        <v>1241</v>
      </c>
      <c r="L746" s="276">
        <f>ROUND(O69,0)</f>
        <v>4771</v>
      </c>
      <c r="M746" s="276">
        <f>ROUND(O70,0)</f>
        <v>2038</v>
      </c>
      <c r="N746" s="276">
        <f>ROUND(O75,0)</f>
        <v>8233992</v>
      </c>
      <c r="O746" s="276">
        <f>ROUND(O73,0)</f>
        <v>7622490</v>
      </c>
      <c r="P746" s="276">
        <f>IF(O76&gt;0,ROUND(O76,0),0)</f>
        <v>5994</v>
      </c>
      <c r="Q746" s="276">
        <f>IF(O77&gt;0,ROUND(O77,0),0)</f>
        <v>0</v>
      </c>
      <c r="R746" s="276">
        <f>IF(O78&gt;0,ROUND(O78,0),0)</f>
        <v>2139</v>
      </c>
      <c r="S746" s="276">
        <f>IF(O79&gt;0,ROUND(O79,0),0)</f>
        <v>16629</v>
      </c>
      <c r="T746" s="278">
        <f>IF(O80&gt;0,ROUND(O80,2),0)</f>
        <v>10.72</v>
      </c>
      <c r="U746" s="276"/>
      <c r="V746" s="277"/>
      <c r="W746" s="276"/>
      <c r="X746" s="276"/>
      <c r="Y746" s="276">
        <f t="shared" si="21"/>
        <v>983657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035*2020*7020*A</v>
      </c>
      <c r="B747" s="276">
        <f>ROUND(P59,0)</f>
        <v>124335</v>
      </c>
      <c r="C747" s="278">
        <f>ROUND(P60,2)</f>
        <v>21.19</v>
      </c>
      <c r="D747" s="276">
        <f>ROUND(P61,0)</f>
        <v>1978456</v>
      </c>
      <c r="E747" s="276">
        <f>ROUND(P62,0)</f>
        <v>516971</v>
      </c>
      <c r="F747" s="276">
        <f>ROUND(P63,0)</f>
        <v>104066</v>
      </c>
      <c r="G747" s="276">
        <f>ROUND(P64,0)</f>
        <v>2361151</v>
      </c>
      <c r="H747" s="276">
        <f>ROUND(P65,0)</f>
        <v>2146</v>
      </c>
      <c r="I747" s="276">
        <f>ROUND(P66,0)</f>
        <v>361821</v>
      </c>
      <c r="J747" s="276">
        <f>ROUND(P67,0)</f>
        <v>970639</v>
      </c>
      <c r="K747" s="276">
        <f>ROUND(P68,0)</f>
        <v>16313</v>
      </c>
      <c r="L747" s="276">
        <f>ROUND(P69,0)</f>
        <v>44804</v>
      </c>
      <c r="M747" s="276">
        <f>ROUND(P70,0)</f>
        <v>0</v>
      </c>
      <c r="N747" s="276">
        <f>ROUND(P75,0)</f>
        <v>59118145</v>
      </c>
      <c r="O747" s="276">
        <f>ROUND(P73,0)</f>
        <v>12288563</v>
      </c>
      <c r="P747" s="276">
        <f>IF(P76&gt;0,ROUND(P76,0),0)</f>
        <v>17054</v>
      </c>
      <c r="Q747" s="276">
        <f>IF(P77&gt;0,ROUND(P77,0),0)</f>
        <v>0</v>
      </c>
      <c r="R747" s="276">
        <f>IF(P78&gt;0,ROUND(P78,0),0)</f>
        <v>6087</v>
      </c>
      <c r="S747" s="276">
        <f>IF(P79&gt;0,ROUND(P79,0),0)</f>
        <v>43959</v>
      </c>
      <c r="T747" s="278">
        <f>IF(P80&gt;0,ROUND(P80,2),0)</f>
        <v>8.91</v>
      </c>
      <c r="U747" s="276"/>
      <c r="V747" s="277"/>
      <c r="W747" s="276"/>
      <c r="X747" s="276"/>
      <c r="Y747" s="276">
        <f t="shared" si="21"/>
        <v>3069563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035*2020*7030*A</v>
      </c>
      <c r="B748" s="276">
        <f>ROUND(Q59,0)</f>
        <v>5315</v>
      </c>
      <c r="C748" s="278">
        <f>ROUND(Q60,2)</f>
        <v>9.59</v>
      </c>
      <c r="D748" s="276">
        <f>ROUND(Q61,0)</f>
        <v>1161676</v>
      </c>
      <c r="E748" s="276">
        <f>ROUND(Q62,0)</f>
        <v>266014</v>
      </c>
      <c r="F748" s="276">
        <f>ROUND(Q63,0)</f>
        <v>0</v>
      </c>
      <c r="G748" s="276">
        <f>ROUND(Q64,0)</f>
        <v>61474</v>
      </c>
      <c r="H748" s="276">
        <f>ROUND(Q65,0)</f>
        <v>0</v>
      </c>
      <c r="I748" s="276">
        <f>ROUND(Q66,0)</f>
        <v>10024</v>
      </c>
      <c r="J748" s="276">
        <f>ROUND(Q67,0)</f>
        <v>25891</v>
      </c>
      <c r="K748" s="276">
        <f>ROUND(Q68,0)</f>
        <v>2146</v>
      </c>
      <c r="L748" s="276">
        <f>ROUND(Q69,0)</f>
        <v>3231</v>
      </c>
      <c r="M748" s="276">
        <f>ROUND(Q70,0)</f>
        <v>0</v>
      </c>
      <c r="N748" s="276">
        <f>ROUND(Q75,0)</f>
        <v>6313748</v>
      </c>
      <c r="O748" s="276">
        <f>ROUND(Q73,0)</f>
        <v>968914</v>
      </c>
      <c r="P748" s="276">
        <f>IF(Q76&gt;0,ROUND(Q76,0),0)</f>
        <v>1200</v>
      </c>
      <c r="Q748" s="276">
        <f>IF(Q77&gt;0,ROUND(Q77,0),0)</f>
        <v>0</v>
      </c>
      <c r="R748" s="276">
        <f>IF(Q78&gt;0,ROUND(Q78,0),0)</f>
        <v>428</v>
      </c>
      <c r="S748" s="276">
        <f>IF(Q79&gt;0,ROUND(Q79,0),0)</f>
        <v>0</v>
      </c>
      <c r="T748" s="278">
        <f>IF(Q80&gt;0,ROUND(Q80,2),0)</f>
        <v>7.61</v>
      </c>
      <c r="U748" s="276"/>
      <c r="V748" s="277"/>
      <c r="W748" s="276"/>
      <c r="X748" s="276"/>
      <c r="Y748" s="276">
        <f t="shared" si="21"/>
        <v>716156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035*2020*7040*A</v>
      </c>
      <c r="B749" s="276">
        <f>ROUND(R59,0)</f>
        <v>124170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33192</v>
      </c>
      <c r="G749" s="276">
        <f>ROUND(R64,0)</f>
        <v>91880</v>
      </c>
      <c r="H749" s="276">
        <f>ROUND(R65,0)</f>
        <v>0</v>
      </c>
      <c r="I749" s="276">
        <f>ROUND(R66,0)</f>
        <v>-7435</v>
      </c>
      <c r="J749" s="276">
        <f>ROUND(R67,0)</f>
        <v>5505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4910037</v>
      </c>
      <c r="O749" s="276">
        <f>ROUND(R73,0)</f>
        <v>1233834</v>
      </c>
      <c r="P749" s="276">
        <f>IF(R76&gt;0,ROUND(R76,0),0)</f>
        <v>192</v>
      </c>
      <c r="Q749" s="276">
        <f>IF(R77&gt;0,ROUND(R77,0),0)</f>
        <v>0</v>
      </c>
      <c r="R749" s="276">
        <f>IF(R78&gt;0,ROUND(R78,0),0)</f>
        <v>69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124064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035*2020*7050*A</v>
      </c>
      <c r="B750" s="276"/>
      <c r="C750" s="278">
        <f>ROUND(S60,2)</f>
        <v>5.28</v>
      </c>
      <c r="D750" s="276">
        <f>ROUND(S61,0)</f>
        <v>308641</v>
      </c>
      <c r="E750" s="276">
        <f>ROUND(S62,0)</f>
        <v>106384</v>
      </c>
      <c r="F750" s="276">
        <f>ROUND(S63,0)</f>
        <v>0</v>
      </c>
      <c r="G750" s="276">
        <f>ROUND(S64,0)</f>
        <v>-11688</v>
      </c>
      <c r="H750" s="276">
        <f>ROUND(S65,0)</f>
        <v>0</v>
      </c>
      <c r="I750" s="276">
        <f>ROUND(S66,0)</f>
        <v>13211</v>
      </c>
      <c r="J750" s="276">
        <f>ROUND(S67,0)</f>
        <v>59570</v>
      </c>
      <c r="K750" s="276">
        <f>ROUND(S68,0)</f>
        <v>1907</v>
      </c>
      <c r="L750" s="276">
        <f>ROUND(S69,0)</f>
        <v>792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2955</v>
      </c>
      <c r="Q750" s="276">
        <f>IF(S77&gt;0,ROUND(S77,0),0)</f>
        <v>0</v>
      </c>
      <c r="R750" s="276">
        <f>IF(S78&gt;0,ROUND(S78,0),0)</f>
        <v>1055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130289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035*2020*7060*A</v>
      </c>
      <c r="B751" s="276"/>
      <c r="C751" s="278">
        <f>ROUND(T60,2)</f>
        <v>0.18</v>
      </c>
      <c r="D751" s="276">
        <f>ROUND(T61,0)</f>
        <v>37394</v>
      </c>
      <c r="E751" s="276">
        <f>ROUND(T62,0)</f>
        <v>6903</v>
      </c>
      <c r="F751" s="276">
        <f>ROUND(T63,0)</f>
        <v>0</v>
      </c>
      <c r="G751" s="276">
        <f>ROUND(T64,0)</f>
        <v>31957</v>
      </c>
      <c r="H751" s="276">
        <f>ROUND(T65,0)</f>
        <v>0</v>
      </c>
      <c r="I751" s="276">
        <f>ROUND(T66,0)</f>
        <v>750</v>
      </c>
      <c r="J751" s="276">
        <f>ROUND(T67,0)</f>
        <v>0</v>
      </c>
      <c r="K751" s="276">
        <f>ROUND(T68,0)</f>
        <v>0</v>
      </c>
      <c r="L751" s="276">
        <f>ROUND(T69,0)</f>
        <v>393</v>
      </c>
      <c r="M751" s="276">
        <f>ROUND(T70,0)</f>
        <v>0</v>
      </c>
      <c r="N751" s="276">
        <f>ROUND(T75,0)</f>
        <v>524922</v>
      </c>
      <c r="O751" s="276">
        <f>ROUND(T73,0)</f>
        <v>461446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0.18</v>
      </c>
      <c r="U751" s="276"/>
      <c r="V751" s="277"/>
      <c r="W751" s="276"/>
      <c r="X751" s="276"/>
      <c r="Y751" s="276">
        <f t="shared" si="21"/>
        <v>36165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035*2020*7070*A</v>
      </c>
      <c r="B752" s="276">
        <f>ROUND(U59,0)</f>
        <v>78899</v>
      </c>
      <c r="C752" s="278">
        <f>ROUND(U60,2)</f>
        <v>11.82</v>
      </c>
      <c r="D752" s="276">
        <f>ROUND(U61,0)</f>
        <v>908646</v>
      </c>
      <c r="E752" s="276">
        <f>ROUND(U62,0)</f>
        <v>262515</v>
      </c>
      <c r="F752" s="276">
        <f>ROUND(U63,0)</f>
        <v>18090</v>
      </c>
      <c r="G752" s="276">
        <f>ROUND(U64,0)</f>
        <v>438714</v>
      </c>
      <c r="H752" s="276">
        <f>ROUND(U65,0)</f>
        <v>223</v>
      </c>
      <c r="I752" s="276">
        <f>ROUND(U66,0)</f>
        <v>397931</v>
      </c>
      <c r="J752" s="276">
        <f>ROUND(U67,0)</f>
        <v>51358</v>
      </c>
      <c r="K752" s="276">
        <f>ROUND(U68,0)</f>
        <v>49878</v>
      </c>
      <c r="L752" s="276">
        <f>ROUND(U69,0)</f>
        <v>25939</v>
      </c>
      <c r="M752" s="276">
        <f>ROUND(U70,0)</f>
        <v>38344</v>
      </c>
      <c r="N752" s="276">
        <f>ROUND(U75,0)</f>
        <v>12944007</v>
      </c>
      <c r="O752" s="276">
        <f>ROUND(U73,0)</f>
        <v>4250114</v>
      </c>
      <c r="P752" s="276">
        <f>IF(U76&gt;0,ROUND(U76,0),0)</f>
        <v>1626</v>
      </c>
      <c r="Q752" s="276">
        <f>IF(U77&gt;0,ROUND(U77,0),0)</f>
        <v>0</v>
      </c>
      <c r="R752" s="276">
        <f>IF(U78&gt;0,ROUND(U78,0),0)</f>
        <v>580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853922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035*2020*7110*A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5</v>
      </c>
      <c r="H753" s="276">
        <f>ROUND(V65,0)</f>
        <v>0</v>
      </c>
      <c r="I753" s="276">
        <f>ROUND(V66,0)</f>
        <v>0</v>
      </c>
      <c r="J753" s="276">
        <f>ROUND(V67,0)</f>
        <v>25046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5158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7504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035*2020*7120*A</v>
      </c>
      <c r="B754" s="276">
        <f>ROUND(W59,0)</f>
        <v>1059</v>
      </c>
      <c r="C754" s="278">
        <f>ROUND(W60,2)</f>
        <v>1.88</v>
      </c>
      <c r="D754" s="276">
        <f>ROUND(W61,0)</f>
        <v>210012</v>
      </c>
      <c r="E754" s="276">
        <f>ROUND(W62,0)</f>
        <v>50069</v>
      </c>
      <c r="F754" s="276">
        <f>ROUND(W63,0)</f>
        <v>0</v>
      </c>
      <c r="G754" s="276">
        <f>ROUND(W64,0)</f>
        <v>12041</v>
      </c>
      <c r="H754" s="276">
        <f>ROUND(W65,0)</f>
        <v>0</v>
      </c>
      <c r="I754" s="276">
        <f>ROUND(W66,0)</f>
        <v>131909</v>
      </c>
      <c r="J754" s="276">
        <f>ROUND(W67,0)</f>
        <v>26282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2583807</v>
      </c>
      <c r="O754" s="276">
        <f>ROUND(W73,0)</f>
        <v>255382</v>
      </c>
      <c r="P754" s="276">
        <f>IF(W76&gt;0,ROUND(W76,0),0)</f>
        <v>720</v>
      </c>
      <c r="Q754" s="276">
        <f>IF(W77&gt;0,ROUND(W77,0),0)</f>
        <v>0</v>
      </c>
      <c r="R754" s="276">
        <f>IF(W78&gt;0,ROUND(W78,0),0)</f>
        <v>257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170808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035*2020*7130*A</v>
      </c>
      <c r="B755" s="276">
        <f>ROUND(X59,0)</f>
        <v>4496</v>
      </c>
      <c r="C755" s="278">
        <f>ROUND(X60,2)</f>
        <v>4.5599999999999996</v>
      </c>
      <c r="D755" s="276">
        <f>ROUND(X61,0)</f>
        <v>527157</v>
      </c>
      <c r="E755" s="276">
        <f>ROUND(X62,0)</f>
        <v>118553</v>
      </c>
      <c r="F755" s="276">
        <f>ROUND(X63,0)</f>
        <v>0</v>
      </c>
      <c r="G755" s="276">
        <f>ROUND(X64,0)</f>
        <v>57882</v>
      </c>
      <c r="H755" s="276">
        <f>ROUND(X65,0)</f>
        <v>0</v>
      </c>
      <c r="I755" s="276">
        <f>ROUND(X66,0)</f>
        <v>96475</v>
      </c>
      <c r="J755" s="276">
        <f>ROUND(X67,0)</f>
        <v>11968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12184923</v>
      </c>
      <c r="O755" s="276">
        <f>ROUND(X73,0)</f>
        <v>1209893</v>
      </c>
      <c r="P755" s="276">
        <f>IF(X76&gt;0,ROUND(X76,0),0)</f>
        <v>576</v>
      </c>
      <c r="Q755" s="276">
        <f>IF(X77&gt;0,ROUND(X77,0),0)</f>
        <v>0</v>
      </c>
      <c r="R755" s="276">
        <f>IF(X78&gt;0,ROUND(X78,0),0)</f>
        <v>206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456128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035*2020*7140*A</v>
      </c>
      <c r="B756" s="276">
        <f>ROUND(Y59,0)</f>
        <v>13674</v>
      </c>
      <c r="C756" s="278">
        <f>ROUND(Y60,2)</f>
        <v>11.87</v>
      </c>
      <c r="D756" s="276">
        <f>ROUND(Y61,0)</f>
        <v>1161985</v>
      </c>
      <c r="E756" s="276">
        <f>ROUND(Y62,0)</f>
        <v>289240</v>
      </c>
      <c r="F756" s="276">
        <f>ROUND(Y63,0)</f>
        <v>9391</v>
      </c>
      <c r="G756" s="276">
        <f>ROUND(Y64,0)</f>
        <v>44360</v>
      </c>
      <c r="H756" s="276">
        <f>ROUND(Y65,0)</f>
        <v>0</v>
      </c>
      <c r="I756" s="276">
        <f>ROUND(Y66,0)</f>
        <v>166108</v>
      </c>
      <c r="J756" s="276">
        <f>ROUND(Y67,0)</f>
        <v>328451</v>
      </c>
      <c r="K756" s="276">
        <f>ROUND(Y68,0)</f>
        <v>3839</v>
      </c>
      <c r="L756" s="276">
        <f>ROUND(Y69,0)</f>
        <v>1168</v>
      </c>
      <c r="M756" s="276">
        <f>ROUND(Y70,0)</f>
        <v>1140</v>
      </c>
      <c r="N756" s="276">
        <f>ROUND(Y75,0)</f>
        <v>6923558</v>
      </c>
      <c r="O756" s="276">
        <f>ROUND(Y73,0)</f>
        <v>726139</v>
      </c>
      <c r="P756" s="276">
        <f>IF(Y76&gt;0,ROUND(Y76,0),0)</f>
        <v>9797</v>
      </c>
      <c r="Q756" s="276">
        <f>IF(Y77&gt;0,ROUND(Y77,0),0)</f>
        <v>0</v>
      </c>
      <c r="R756" s="276">
        <f>IF(Y78&gt;0,ROUND(Y78,0),0)</f>
        <v>3497</v>
      </c>
      <c r="S756" s="276">
        <f>IF(Y79&gt;0,ROUND(Y79,0),0)</f>
        <v>17180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679294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035*2020*7150*A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035*2020*7160*A</v>
      </c>
      <c r="B758" s="276">
        <f>ROUND(AA59,0)</f>
        <v>0</v>
      </c>
      <c r="C758" s="278">
        <f>ROUND(AA60,2)</f>
        <v>0.98</v>
      </c>
      <c r="D758" s="276">
        <f>ROUND(AA61,0)</f>
        <v>115887</v>
      </c>
      <c r="E758" s="276">
        <f>ROUND(AA62,0)</f>
        <v>27397</v>
      </c>
      <c r="F758" s="276">
        <f>ROUND(AA63,0)</f>
        <v>3430</v>
      </c>
      <c r="G758" s="276">
        <f>ROUND(AA64,0)</f>
        <v>40417</v>
      </c>
      <c r="H758" s="276">
        <f>ROUND(AA65,0)</f>
        <v>0</v>
      </c>
      <c r="I758" s="276">
        <f>ROUND(AA66,0)</f>
        <v>2405</v>
      </c>
      <c r="J758" s="276">
        <f>ROUND(AA67,0)</f>
        <v>6026</v>
      </c>
      <c r="K758" s="276">
        <f>ROUND(AA68,0)</f>
        <v>0</v>
      </c>
      <c r="L758" s="276">
        <f>ROUND(AA69,0)</f>
        <v>386</v>
      </c>
      <c r="M758" s="276">
        <f>ROUND(AA70,0)</f>
        <v>0</v>
      </c>
      <c r="N758" s="276">
        <f>ROUND(AA75,0)</f>
        <v>564563</v>
      </c>
      <c r="O758" s="276">
        <f>ROUND(AA73,0)</f>
        <v>32857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68353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035*2020*7170*A</v>
      </c>
      <c r="B759" s="276"/>
      <c r="C759" s="278">
        <f>ROUND(AB60,2)</f>
        <v>3.98</v>
      </c>
      <c r="D759" s="276">
        <f>ROUND(AB61,0)</f>
        <v>505717</v>
      </c>
      <c r="E759" s="276">
        <f>ROUND(AB62,0)</f>
        <v>111607</v>
      </c>
      <c r="F759" s="276">
        <f>ROUND(AB63,0)</f>
        <v>0</v>
      </c>
      <c r="G759" s="276">
        <f>ROUND(AB64,0)</f>
        <v>954668</v>
      </c>
      <c r="H759" s="276">
        <f>ROUND(AB65,0)</f>
        <v>98</v>
      </c>
      <c r="I759" s="276">
        <f>ROUND(AB66,0)</f>
        <v>65613</v>
      </c>
      <c r="J759" s="276">
        <f>ROUND(AB67,0)</f>
        <v>85088</v>
      </c>
      <c r="K759" s="276">
        <f>ROUND(AB68,0)</f>
        <v>1779</v>
      </c>
      <c r="L759" s="276">
        <f>ROUND(AB69,0)</f>
        <v>4738</v>
      </c>
      <c r="M759" s="276">
        <f>ROUND(AB70,0)</f>
        <v>0</v>
      </c>
      <c r="N759" s="276">
        <f>ROUND(AB75,0)</f>
        <v>28011935</v>
      </c>
      <c r="O759" s="276">
        <f>ROUND(AB73,0)</f>
        <v>8940731</v>
      </c>
      <c r="P759" s="276">
        <f>IF(AB76&gt;0,ROUND(AB76,0),0)</f>
        <v>1909</v>
      </c>
      <c r="Q759" s="276">
        <f>IF(AB77&gt;0,ROUND(AB77,0),0)</f>
        <v>0</v>
      </c>
      <c r="R759" s="276">
        <f>IF(AB78&gt;0,ROUND(AB78,0),0)</f>
        <v>681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1011578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035*2020*7180*A</v>
      </c>
      <c r="B760" s="276">
        <f>ROUND(AC59,0)</f>
        <v>10221</v>
      </c>
      <c r="C760" s="278">
        <f>ROUND(AC60,2)</f>
        <v>5.82</v>
      </c>
      <c r="D760" s="276">
        <f>ROUND(AC61,0)</f>
        <v>523403</v>
      </c>
      <c r="E760" s="276">
        <f>ROUND(AC62,0)</f>
        <v>140280</v>
      </c>
      <c r="F760" s="276">
        <f>ROUND(AC63,0)</f>
        <v>0</v>
      </c>
      <c r="G760" s="276">
        <f>ROUND(AC64,0)</f>
        <v>20264</v>
      </c>
      <c r="H760" s="276">
        <f>ROUND(AC65,0)</f>
        <v>0</v>
      </c>
      <c r="I760" s="276">
        <f>ROUND(AC66,0)</f>
        <v>6014</v>
      </c>
      <c r="J760" s="276">
        <f>ROUND(AC67,0)</f>
        <v>18452</v>
      </c>
      <c r="K760" s="276">
        <f>ROUND(AC68,0)</f>
        <v>1219</v>
      </c>
      <c r="L760" s="276">
        <f>ROUND(AC69,0)</f>
        <v>4585</v>
      </c>
      <c r="M760" s="276">
        <f>ROUND(AC70,0)</f>
        <v>0</v>
      </c>
      <c r="N760" s="276">
        <f>ROUND(AC75,0)</f>
        <v>4499956</v>
      </c>
      <c r="O760" s="276">
        <f>ROUND(AC73,0)</f>
        <v>2260333</v>
      </c>
      <c r="P760" s="276">
        <f>IF(AC76&gt;0,ROUND(AC76,0),0)</f>
        <v>171</v>
      </c>
      <c r="Q760" s="276">
        <f>IF(AC77&gt;0,ROUND(AC77,0),0)</f>
        <v>0</v>
      </c>
      <c r="R760" s="276">
        <f>IF(AC78&gt;0,ROUND(AC78,0),0)</f>
        <v>61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291197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035*2020*7190*A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035*2020*7200*A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260</v>
      </c>
      <c r="H762" s="276">
        <f>ROUND(AE65,0)</f>
        <v>0</v>
      </c>
      <c r="I762" s="276">
        <f>ROUND(AE66,0)</f>
        <v>118966</v>
      </c>
      <c r="J762" s="276">
        <f>ROUND(AE67,0)</f>
        <v>3871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571516</v>
      </c>
      <c r="O762" s="276">
        <f>ROUND(AE73,0)</f>
        <v>437575</v>
      </c>
      <c r="P762" s="276">
        <f>IF(AE76&gt;0,ROUND(AE76,0),0)</f>
        <v>192</v>
      </c>
      <c r="Q762" s="276">
        <f>IF(AE77&gt;0,ROUND(AE77,0),0)</f>
        <v>0</v>
      </c>
      <c r="R762" s="276">
        <f>IF(AE78&gt;0,ROUND(AE78,0),0)</f>
        <v>69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45898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035*2020*7220*A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035*2020*7230*A</v>
      </c>
      <c r="B764" s="276">
        <f>ROUND(AG59,0)</f>
        <v>11774</v>
      </c>
      <c r="C764" s="278">
        <f>ROUND(AG60,2)</f>
        <v>22.15</v>
      </c>
      <c r="D764" s="276">
        <f>ROUND(AG61,0)</f>
        <v>2286751</v>
      </c>
      <c r="E764" s="276">
        <f>ROUND(AG62,0)</f>
        <v>559257</v>
      </c>
      <c r="F764" s="276">
        <f>ROUND(AG63,0)</f>
        <v>445676</v>
      </c>
      <c r="G764" s="276">
        <f>ROUND(AG64,0)</f>
        <v>237676</v>
      </c>
      <c r="H764" s="276">
        <f>ROUND(AG65,0)</f>
        <v>884</v>
      </c>
      <c r="I764" s="276">
        <f>ROUND(AG66,0)</f>
        <v>253227</v>
      </c>
      <c r="J764" s="276">
        <f>ROUND(AG67,0)</f>
        <v>195884</v>
      </c>
      <c r="K764" s="276">
        <f>ROUND(AG68,0)</f>
        <v>1202</v>
      </c>
      <c r="L764" s="276">
        <f>ROUND(AG69,0)</f>
        <v>15726</v>
      </c>
      <c r="M764" s="276">
        <f>ROUND(AG70,0)</f>
        <v>4469</v>
      </c>
      <c r="N764" s="276">
        <f>ROUND(AG75,0)</f>
        <v>44023780</v>
      </c>
      <c r="O764" s="276">
        <f>ROUND(AG73,0)</f>
        <v>2029834</v>
      </c>
      <c r="P764" s="276">
        <f>IF(AG76&gt;0,ROUND(AG76,0),0)</f>
        <v>8332</v>
      </c>
      <c r="Q764" s="276">
        <f>IF(AG77&gt;0,ROUND(AG77,0),0)</f>
        <v>0</v>
      </c>
      <c r="R764" s="276">
        <f>IF(AG78&gt;0,ROUND(AG78,0),0)</f>
        <v>2974</v>
      </c>
      <c r="S764" s="276">
        <f>IF(AG79&gt;0,ROUND(AG79,0),0)</f>
        <v>50359</v>
      </c>
      <c r="T764" s="278">
        <f>IF(AG80&gt;0,ROUND(AG80,2),0)</f>
        <v>15.7</v>
      </c>
      <c r="U764" s="276"/>
      <c r="V764" s="277"/>
      <c r="W764" s="276"/>
      <c r="X764" s="276"/>
      <c r="Y764" s="276">
        <f t="shared" si="21"/>
        <v>2256438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035*2020*7240*A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035*2020*7250*A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035*2020*7260*A</v>
      </c>
      <c r="B767" s="276">
        <f>ROUND(AJ59,0)</f>
        <v>94799</v>
      </c>
      <c r="C767" s="278">
        <f>ROUND(AJ60,2)</f>
        <v>132.21</v>
      </c>
      <c r="D767" s="276">
        <f>ROUND(AJ61,0)</f>
        <v>12787591</v>
      </c>
      <c r="E767" s="276">
        <f>ROUND(AJ62,0)</f>
        <v>2527331</v>
      </c>
      <c r="F767" s="276">
        <f>ROUND(AJ63,0)</f>
        <v>0</v>
      </c>
      <c r="G767" s="276">
        <f>ROUND(AJ64,0)</f>
        <v>878664</v>
      </c>
      <c r="H767" s="276">
        <f>ROUND(AJ65,0)</f>
        <v>102159</v>
      </c>
      <c r="I767" s="276">
        <f>ROUND(AJ66,0)</f>
        <v>1037171</v>
      </c>
      <c r="J767" s="276">
        <f>ROUND(AJ67,0)</f>
        <v>697797</v>
      </c>
      <c r="K767" s="276">
        <f>ROUND(AJ68,0)</f>
        <v>1377415</v>
      </c>
      <c r="L767" s="276">
        <f>ROUND(AJ69,0)</f>
        <v>524234</v>
      </c>
      <c r="M767" s="276">
        <f>ROUND(AJ70,0)</f>
        <v>423910</v>
      </c>
      <c r="N767" s="276">
        <f>ROUND(AJ75,0)</f>
        <v>29119363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24.62</v>
      </c>
      <c r="U767" s="276"/>
      <c r="V767" s="277"/>
      <c r="W767" s="276"/>
      <c r="X767" s="276"/>
      <c r="Y767" s="276">
        <f t="shared" si="21"/>
        <v>6799187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035*2020*7310*A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55084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320282</v>
      </c>
      <c r="O768" s="276">
        <f>ROUND(AK73,0)</f>
        <v>278648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22019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035*2020*7320*A</v>
      </c>
      <c r="B769" s="276">
        <f>ROUND(AL59,0)</f>
        <v>0</v>
      </c>
      <c r="C769" s="278">
        <f>ROUND(AL60,2)</f>
        <v>0</v>
      </c>
      <c r="D769" s="276">
        <f>ROUND(AL61,0)</f>
        <v>167</v>
      </c>
      <c r="E769" s="276">
        <f>ROUND(AL62,0)</f>
        <v>47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17523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74202</v>
      </c>
      <c r="O769" s="276">
        <f>ROUND(AL73,0)</f>
        <v>65775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6573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035*2020*7330*A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035*2020*7340*A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035*2020*7350*A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035*2020*7380*A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035*2020*7390*A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035*2020*7400*A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12981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3841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035*2020*7410*A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035*2020*7420*A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035*2020*7430*A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035*2020*7490*A</v>
      </c>
      <c r="B779" s="276"/>
      <c r="C779" s="278">
        <f>ROUND(AV60,2)</f>
        <v>1.99</v>
      </c>
      <c r="D779" s="276">
        <f>ROUND(AV61,0)</f>
        <v>173169</v>
      </c>
      <c r="E779" s="276">
        <f>ROUND(AV62,0)</f>
        <v>47689</v>
      </c>
      <c r="F779" s="276">
        <f>ROUND(AV63,0)</f>
        <v>0</v>
      </c>
      <c r="G779" s="276">
        <f>ROUND(AV64,0)</f>
        <v>64119</v>
      </c>
      <c r="H779" s="276">
        <f>ROUND(AV65,0)</f>
        <v>0</v>
      </c>
      <c r="I779" s="276">
        <f>ROUND(AV66,0)</f>
        <v>30566</v>
      </c>
      <c r="J779" s="276">
        <f>ROUND(AV67,0)</f>
        <v>0</v>
      </c>
      <c r="K779" s="276">
        <f>ROUND(AV68,0)</f>
        <v>0</v>
      </c>
      <c r="L779" s="276">
        <f>ROUND(AV69,0)</f>
        <v>-454979</v>
      </c>
      <c r="M779" s="276">
        <f>ROUND(AV70,0)</f>
        <v>0</v>
      </c>
      <c r="N779" s="276">
        <f>ROUND(AV75,0)</f>
        <v>5872</v>
      </c>
      <c r="O779" s="276">
        <f>ROUND(AV73,0)</f>
        <v>5872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1.03</v>
      </c>
      <c r="U779" s="276"/>
      <c r="V779" s="277"/>
      <c r="W779" s="276"/>
      <c r="X779" s="276"/>
      <c r="Y779" s="276">
        <f t="shared" si="21"/>
        <v>-19755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035*2020*8200*A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035*2020*8310*A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035*2020*8320*A</v>
      </c>
      <c r="B782" s="276">
        <f>ROUND(AY59,0)</f>
        <v>22735</v>
      </c>
      <c r="C782" s="278">
        <f>ROUND(AY60,2)</f>
        <v>11.6</v>
      </c>
      <c r="D782" s="276">
        <f>ROUND(AY61,0)</f>
        <v>491334</v>
      </c>
      <c r="E782" s="276">
        <f>ROUND(AY62,0)</f>
        <v>210133</v>
      </c>
      <c r="F782" s="276">
        <f>ROUND(AY63,0)</f>
        <v>0</v>
      </c>
      <c r="G782" s="276">
        <f>ROUND(AY64,0)</f>
        <v>314973</v>
      </c>
      <c r="H782" s="276">
        <f>ROUND(AY65,0)</f>
        <v>144</v>
      </c>
      <c r="I782" s="276">
        <f>ROUND(AY66,0)</f>
        <v>314678</v>
      </c>
      <c r="J782" s="276">
        <f>ROUND(AY67,0)</f>
        <v>124394</v>
      </c>
      <c r="K782" s="276">
        <f>ROUND(AY68,0)</f>
        <v>4019</v>
      </c>
      <c r="L782" s="276">
        <f>ROUND(AY69,0)</f>
        <v>8031</v>
      </c>
      <c r="M782" s="276">
        <f>ROUND(AY70,0)</f>
        <v>375359</v>
      </c>
      <c r="N782" s="276"/>
      <c r="O782" s="276"/>
      <c r="P782" s="276">
        <f>IF(AY76&gt;0,ROUND(AY76,0),0)</f>
        <v>4171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035*2020*8330*A</v>
      </c>
      <c r="B783" s="276">
        <f>ROUND(AZ59,0)</f>
        <v>57903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035*2020*8350*A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035*2020*8360*A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035*2020*8370*A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035*2020*8420*A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33099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035*2020*8430*A</v>
      </c>
      <c r="B788" s="276">
        <f>ROUND(BE59,0)</f>
        <v>100342</v>
      </c>
      <c r="C788" s="278">
        <f>ROUND(BE60,2)</f>
        <v>3.52</v>
      </c>
      <c r="D788" s="276">
        <f>ROUND(BE61,0)</f>
        <v>262270</v>
      </c>
      <c r="E788" s="276">
        <f>ROUND(BE62,0)</f>
        <v>77736</v>
      </c>
      <c r="F788" s="276">
        <f>ROUND(BE63,0)</f>
        <v>0</v>
      </c>
      <c r="G788" s="276">
        <f>ROUND(BE64,0)</f>
        <v>24648</v>
      </c>
      <c r="H788" s="276">
        <f>ROUND(BE65,0)</f>
        <v>472346</v>
      </c>
      <c r="I788" s="276">
        <f>ROUND(BE66,0)</f>
        <v>1163145</v>
      </c>
      <c r="J788" s="276">
        <f>ROUND(BE67,0)</f>
        <v>94415</v>
      </c>
      <c r="K788" s="276">
        <f>ROUND(BE68,0)</f>
        <v>20698</v>
      </c>
      <c r="L788" s="276">
        <f>ROUND(BE69,0)</f>
        <v>1585</v>
      </c>
      <c r="M788" s="276">
        <f>ROUND(BE70,0)</f>
        <v>8</v>
      </c>
      <c r="N788" s="276"/>
      <c r="O788" s="276"/>
      <c r="P788" s="276">
        <f>IF(BE76&gt;0,ROUND(BE76,0),0)</f>
        <v>3559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035*2020*8460*A</v>
      </c>
      <c r="B789" s="276"/>
      <c r="C789" s="278">
        <f>ROUND(BF60,2)</f>
        <v>11.77</v>
      </c>
      <c r="D789" s="276">
        <f>ROUND(BF61,0)</f>
        <v>629708</v>
      </c>
      <c r="E789" s="276">
        <f>ROUND(BF62,0)</f>
        <v>213699</v>
      </c>
      <c r="F789" s="276">
        <f>ROUND(BF63,0)</f>
        <v>0</v>
      </c>
      <c r="G789" s="276">
        <f>ROUND(BF64,0)</f>
        <v>57751</v>
      </c>
      <c r="H789" s="276">
        <f>ROUND(BF65,0)</f>
        <v>581</v>
      </c>
      <c r="I789" s="276">
        <f>ROUND(BF66,0)</f>
        <v>65341</v>
      </c>
      <c r="J789" s="276">
        <f>ROUND(BF67,0)</f>
        <v>39297</v>
      </c>
      <c r="K789" s="276">
        <f>ROUND(BF68,0)</f>
        <v>1791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1455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035*2020*8470*A</v>
      </c>
      <c r="B790" s="276"/>
      <c r="C790" s="278">
        <f>ROUND(BG60,2)</f>
        <v>0</v>
      </c>
      <c r="D790" s="276">
        <f>ROUND(BG61,0)</f>
        <v>104</v>
      </c>
      <c r="E790" s="276">
        <f>ROUND(BG62,0)</f>
        <v>42</v>
      </c>
      <c r="F790" s="276">
        <f>ROUND(BG63,0)</f>
        <v>0</v>
      </c>
      <c r="G790" s="276">
        <f>ROUND(BG64,0)</f>
        <v>0</v>
      </c>
      <c r="H790" s="276">
        <f>ROUND(BG65,0)</f>
        <v>26589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035*2020*8480*A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253360</v>
      </c>
      <c r="J791" s="276">
        <f>ROUND(BH67,0)</f>
        <v>18968</v>
      </c>
      <c r="K791" s="276">
        <f>ROUND(BH68,0)</f>
        <v>572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035*2020*8490*A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1272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035*2020*8510*A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035*2020*8530*A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3243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035*2020*8560*A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16225</v>
      </c>
      <c r="H795" s="276">
        <f>ROUND(BL65,0)</f>
        <v>0</v>
      </c>
      <c r="I795" s="276">
        <f>ROUND(BL66,0)</f>
        <v>2132347</v>
      </c>
      <c r="J795" s="276">
        <f>ROUND(BL67,0)</f>
        <v>1332</v>
      </c>
      <c r="K795" s="276">
        <f>ROUND(BL68,0)</f>
        <v>8702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035*2020*8590*A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035*2020*8610*A</v>
      </c>
      <c r="B797" s="276"/>
      <c r="C797" s="278">
        <f>ROUND(BN60,2)</f>
        <v>2.04</v>
      </c>
      <c r="D797" s="276">
        <f>ROUND(BN61,0)</f>
        <v>262594</v>
      </c>
      <c r="E797" s="276">
        <f>ROUND(BN62,0)</f>
        <v>66116</v>
      </c>
      <c r="F797" s="276">
        <f>ROUND(BN63,0)</f>
        <v>0</v>
      </c>
      <c r="G797" s="276">
        <f>ROUND(BN64,0)</f>
        <v>18621</v>
      </c>
      <c r="H797" s="276">
        <f>ROUND(BN65,0)</f>
        <v>589</v>
      </c>
      <c r="I797" s="276">
        <f>ROUND(BN66,0)</f>
        <v>195232</v>
      </c>
      <c r="J797" s="276">
        <f>ROUND(BN67,0)</f>
        <v>455722</v>
      </c>
      <c r="K797" s="276">
        <f>ROUND(BN68,0)</f>
        <v>14208</v>
      </c>
      <c r="L797" s="276">
        <f>ROUND(BN69,0)</f>
        <v>60495</v>
      </c>
      <c r="M797" s="276">
        <f>ROUND(BN70,0)</f>
        <v>12019</v>
      </c>
      <c r="N797" s="276"/>
      <c r="O797" s="276"/>
      <c r="P797" s="276">
        <f>IF(BN76&gt;0,ROUND(BN76,0),0)</f>
        <v>22286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035*2020*8620*A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035*2020*8630*A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035*2020*8640*A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035*2020*8650*A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50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035*2020*8660*A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035*2020*8670*A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035*2020*8680*A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035*2020*8690*A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205269</v>
      </c>
      <c r="J805" s="276">
        <f>ROUND(BV67,0)</f>
        <v>42576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2112</v>
      </c>
      <c r="Q805" s="276">
        <f>IF(BV77&gt;0,ROUND(BV77,0),0)</f>
        <v>0</v>
      </c>
      <c r="R805" s="276">
        <f>IF(BV78&gt;0,ROUND(BV78,0),0)</f>
        <v>754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035*2020*8700*A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24263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035*2020*8710*A</v>
      </c>
      <c r="B807" s="276"/>
      <c r="C807" s="278">
        <f>ROUND(BX60,2)</f>
        <v>1</v>
      </c>
      <c r="D807" s="276">
        <f>ROUND(BX61,0)</f>
        <v>82078</v>
      </c>
      <c r="E807" s="276">
        <f>ROUND(BX62,0)</f>
        <v>23556</v>
      </c>
      <c r="F807" s="276">
        <f>ROUND(BX63,0)</f>
        <v>0</v>
      </c>
      <c r="G807" s="276">
        <f>ROUND(BX64,0)</f>
        <v>256</v>
      </c>
      <c r="H807" s="276">
        <f>ROUND(BX65,0)</f>
        <v>0</v>
      </c>
      <c r="I807" s="276">
        <f>ROUND(BX66,0)</f>
        <v>546535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035*2020*8720*A</v>
      </c>
      <c r="B808" s="276"/>
      <c r="C808" s="278">
        <f>ROUND(BY60,2)</f>
        <v>10.09</v>
      </c>
      <c r="D808" s="276">
        <f>ROUND(BY61,0)</f>
        <v>1133391</v>
      </c>
      <c r="E808" s="276">
        <f>ROUND(BY62,0)</f>
        <v>271694</v>
      </c>
      <c r="F808" s="276">
        <f>ROUND(BY63,0)</f>
        <v>0</v>
      </c>
      <c r="G808" s="276">
        <f>ROUND(BY64,0)</f>
        <v>3017</v>
      </c>
      <c r="H808" s="276">
        <f>ROUND(BY65,0)</f>
        <v>1129</v>
      </c>
      <c r="I808" s="276">
        <f>ROUND(BY66,0)</f>
        <v>23471</v>
      </c>
      <c r="J808" s="276">
        <f>ROUND(BY67,0)</f>
        <v>3548</v>
      </c>
      <c r="K808" s="276">
        <f>ROUND(BY68,0)</f>
        <v>3007</v>
      </c>
      <c r="L808" s="276">
        <f>ROUND(BY69,0)</f>
        <v>11979</v>
      </c>
      <c r="M808" s="276">
        <f>ROUND(BY70,0)</f>
        <v>0</v>
      </c>
      <c r="N808" s="276"/>
      <c r="O808" s="276"/>
      <c r="P808" s="276">
        <f>IF(BY76&gt;0,ROUND(BY76,0),0)</f>
        <v>176</v>
      </c>
      <c r="Q808" s="276">
        <f>IF(BY77&gt;0,ROUND(BY77,0),0)</f>
        <v>0</v>
      </c>
      <c r="R808" s="276">
        <f>IF(BY78&gt;0,ROUND(BY78,0),0)</f>
        <v>63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035*2020*8730*A</v>
      </c>
      <c r="B809" s="276"/>
      <c r="C809" s="278">
        <f>ROUND(BZ60,2)</f>
        <v>0.18</v>
      </c>
      <c r="D809" s="276">
        <f>ROUND(BZ61,0)</f>
        <v>8592</v>
      </c>
      <c r="E809" s="276">
        <f>ROUND(BZ62,0)</f>
        <v>3368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458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035*2020*8740*A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035*2020*8770*A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035*2020*8790*A</v>
      </c>
      <c r="B812" s="276"/>
      <c r="C812" s="278">
        <f>ROUND(CC60,2)</f>
        <v>0</v>
      </c>
      <c r="D812" s="276">
        <f>ROUND(CC61,0)</f>
        <v>130988</v>
      </c>
      <c r="E812" s="276">
        <f>ROUND(CC62,0)</f>
        <v>0</v>
      </c>
      <c r="F812" s="276">
        <f>ROUND(CC63,0)</f>
        <v>2047660</v>
      </c>
      <c r="G812" s="276">
        <f>ROUND(CC64,0)</f>
        <v>-877</v>
      </c>
      <c r="H812" s="276">
        <f>ROUND(CC65,0)</f>
        <v>591</v>
      </c>
      <c r="I812" s="276">
        <f>ROUND(CC66,0)</f>
        <v>12758658</v>
      </c>
      <c r="J812" s="276">
        <f>ROUND(CC67,0)</f>
        <v>93643</v>
      </c>
      <c r="K812" s="276">
        <f>ROUND(CC68,0)</f>
        <v>66592</v>
      </c>
      <c r="L812" s="276">
        <f>ROUND(CC69,0)</f>
        <v>1489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035*2020*9000*A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1517721</v>
      </c>
      <c r="V813" s="277">
        <f>ROUND(CD70,0)</f>
        <v>5302200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327.54000000000002</v>
      </c>
      <c r="D815" s="277">
        <f t="shared" si="22"/>
        <v>30971827</v>
      </c>
      <c r="E815" s="277">
        <f t="shared" si="22"/>
        <v>7231578</v>
      </c>
      <c r="F815" s="277">
        <f t="shared" si="22"/>
        <v>2661505</v>
      </c>
      <c r="G815" s="277">
        <f t="shared" si="22"/>
        <v>6013388</v>
      </c>
      <c r="H815" s="277">
        <f t="shared" si="22"/>
        <v>608906</v>
      </c>
      <c r="I815" s="277">
        <f t="shared" si="22"/>
        <v>20562417</v>
      </c>
      <c r="J815" s="277">
        <f t="shared" si="22"/>
        <v>3920917</v>
      </c>
      <c r="K815" s="277">
        <f t="shared" si="22"/>
        <v>1613297</v>
      </c>
      <c r="L815" s="277">
        <f>SUM(L734:L813)+SUM(U734:U813)</f>
        <v>1790385</v>
      </c>
      <c r="M815" s="277">
        <f>SUM(M734:M813)+SUM(V734:V813)</f>
        <v>6162009</v>
      </c>
      <c r="N815" s="277">
        <f t="shared" ref="N815:Y815" si="23">SUM(N734:N813)</f>
        <v>243180462</v>
      </c>
      <c r="O815" s="277">
        <f t="shared" si="23"/>
        <v>60739476</v>
      </c>
      <c r="P815" s="277">
        <f t="shared" si="23"/>
        <v>100342</v>
      </c>
      <c r="Q815" s="277">
        <f t="shared" si="23"/>
        <v>22735</v>
      </c>
      <c r="R815" s="277">
        <f t="shared" si="23"/>
        <v>24582</v>
      </c>
      <c r="S815" s="277">
        <f t="shared" si="23"/>
        <v>181470</v>
      </c>
      <c r="T815" s="281">
        <f t="shared" si="23"/>
        <v>93.28</v>
      </c>
      <c r="U815" s="277">
        <f t="shared" si="23"/>
        <v>1517721</v>
      </c>
      <c r="V815" s="277">
        <f t="shared" si="23"/>
        <v>5302200</v>
      </c>
      <c r="W815" s="277">
        <f t="shared" si="23"/>
        <v>0</v>
      </c>
      <c r="X815" s="277">
        <f t="shared" si="23"/>
        <v>0</v>
      </c>
      <c r="Y815" s="277">
        <f t="shared" si="23"/>
        <v>21474716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327.54000000000002</v>
      </c>
      <c r="D816" s="277">
        <f>CE61</f>
        <v>30971825.989999998</v>
      </c>
      <c r="E816" s="277">
        <f>CE62</f>
        <v>7231578</v>
      </c>
      <c r="F816" s="277">
        <f>CE63</f>
        <v>2661505.7199999997</v>
      </c>
      <c r="G816" s="277">
        <f>CE64</f>
        <v>6013390.4899999993</v>
      </c>
      <c r="H816" s="280">
        <f>CE65</f>
        <v>608905.10999999987</v>
      </c>
      <c r="I816" s="280">
        <f>CE66</f>
        <v>20562415.940000001</v>
      </c>
      <c r="J816" s="280">
        <f>CE67</f>
        <v>3920917</v>
      </c>
      <c r="K816" s="280">
        <f>CE68</f>
        <v>1613296.9799999997</v>
      </c>
      <c r="L816" s="280">
        <f>CE69</f>
        <v>1790385.84</v>
      </c>
      <c r="M816" s="280">
        <f>CE70</f>
        <v>6162008.9000000004</v>
      </c>
      <c r="N816" s="277">
        <f>CE75</f>
        <v>243180461.28000003</v>
      </c>
      <c r="O816" s="277">
        <f>CE73</f>
        <v>60739478.099999994</v>
      </c>
      <c r="P816" s="277">
        <f>CE76</f>
        <v>100342</v>
      </c>
      <c r="Q816" s="277">
        <f>CE77</f>
        <v>22735</v>
      </c>
      <c r="R816" s="277">
        <f>CE78</f>
        <v>24579.919999999998</v>
      </c>
      <c r="S816" s="277">
        <f>CE79</f>
        <v>181469.48</v>
      </c>
      <c r="T816" s="281">
        <f>CE80</f>
        <v>93.28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21474718.819999997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30971825.990000002</v>
      </c>
      <c r="E817" s="180">
        <f>C379</f>
        <v>7231577.9900000002</v>
      </c>
      <c r="F817" s="180">
        <f>C380</f>
        <v>2661505.7200000002</v>
      </c>
      <c r="G817" s="240">
        <f>C381</f>
        <v>6013390.4900000002</v>
      </c>
      <c r="H817" s="240">
        <f>C382</f>
        <v>608905.11</v>
      </c>
      <c r="I817" s="240">
        <f>C383</f>
        <v>20562415.939999998</v>
      </c>
      <c r="J817" s="240">
        <f>C384</f>
        <v>3920912.84</v>
      </c>
      <c r="K817" s="240">
        <f>C385</f>
        <v>1613297.18</v>
      </c>
      <c r="L817" s="240">
        <f>C386+C387+C388+C389</f>
        <v>1790385.8399999999</v>
      </c>
      <c r="M817" s="240">
        <f>C370</f>
        <v>6162008.8999999994</v>
      </c>
      <c r="N817" s="180">
        <f>D361</f>
        <v>243180461.27999997</v>
      </c>
      <c r="O817" s="180">
        <f>C359</f>
        <v>60739478.100000001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U50" transitionEvaluation="1" transitionEntry="1" codeName="Sheet10">
    <pageSetUpPr autoPageBreaks="0" fitToPage="1"/>
  </sheetPr>
  <dimension ref="A1:CF817"/>
  <sheetViews>
    <sheetView showGridLines="0" topLeftCell="BU50" zoomScale="75" workbookViewId="0">
      <selection activeCell="CQ71" sqref="CQ71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6727149.8600000003</v>
      </c>
      <c r="C47" s="184">
        <v>0</v>
      </c>
      <c r="D47" s="184">
        <v>0</v>
      </c>
      <c r="E47" s="184">
        <v>896963.07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324044.84999999998</v>
      </c>
      <c r="P47" s="184">
        <v>514981.86</v>
      </c>
      <c r="Q47" s="184">
        <v>262429.13999999996</v>
      </c>
      <c r="R47" s="184">
        <v>0</v>
      </c>
      <c r="S47" s="184">
        <v>95200.609999999986</v>
      </c>
      <c r="T47" s="184">
        <v>3765.3199999999997</v>
      </c>
      <c r="U47" s="184">
        <v>230741.17</v>
      </c>
      <c r="V47" s="184">
        <v>0</v>
      </c>
      <c r="W47" s="184">
        <v>47067.520000000004</v>
      </c>
      <c r="X47" s="184">
        <v>119530.18</v>
      </c>
      <c r="Y47" s="184">
        <v>261703.69999999998</v>
      </c>
      <c r="Z47" s="184">
        <v>0</v>
      </c>
      <c r="AA47" s="184">
        <v>32977.299999999996</v>
      </c>
      <c r="AB47" s="184">
        <v>138024.24</v>
      </c>
      <c r="AC47" s="184">
        <v>137051.85</v>
      </c>
      <c r="AD47" s="184">
        <v>0</v>
      </c>
      <c r="AE47" s="184">
        <v>0</v>
      </c>
      <c r="AF47" s="184">
        <v>0</v>
      </c>
      <c r="AG47" s="184">
        <v>533006.6100000001</v>
      </c>
      <c r="AH47" s="184">
        <v>0</v>
      </c>
      <c r="AI47" s="184">
        <v>0</v>
      </c>
      <c r="AJ47" s="184">
        <v>2287695.91</v>
      </c>
      <c r="AK47" s="184">
        <v>0</v>
      </c>
      <c r="AL47" s="184">
        <v>22.92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197116.23000000004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78260.840000000011</v>
      </c>
      <c r="BF47" s="184">
        <v>200782.41000000003</v>
      </c>
      <c r="BG47" s="184">
        <v>-426.38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60604.42</v>
      </c>
      <c r="BO47" s="184">
        <v>0</v>
      </c>
      <c r="BP47" s="184">
        <v>0</v>
      </c>
      <c r="BQ47" s="184">
        <v>0</v>
      </c>
      <c r="BR47" s="184">
        <v>46.550000000030643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22439.47</v>
      </c>
      <c r="BY47" s="184">
        <v>283033.93</v>
      </c>
      <c r="BZ47" s="184">
        <v>0</v>
      </c>
      <c r="CA47" s="184">
        <v>0</v>
      </c>
      <c r="CB47" s="184">
        <v>0</v>
      </c>
      <c r="CC47" s="184">
        <v>86.140000000000015</v>
      </c>
      <c r="CD47" s="195"/>
      <c r="CE47" s="195">
        <f>SUM(C47:CC47)</f>
        <v>6727149.8599999994</v>
      </c>
    </row>
    <row r="48" spans="1:83" ht="12.6" customHeight="1" x14ac:dyDescent="0.2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6727149.8600000003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f>4372880.93-1971796</f>
        <v>2401084.9299999997</v>
      </c>
      <c r="C51" s="184">
        <v>0</v>
      </c>
      <c r="D51" s="184">
        <v>0</v>
      </c>
      <c r="E51" s="184">
        <v>87265.1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37465.44999999999</v>
      </c>
      <c r="P51" s="184">
        <v>919369.71</v>
      </c>
      <c r="Q51" s="184">
        <v>13092.63</v>
      </c>
      <c r="R51" s="184">
        <v>2112.5700000000002</v>
      </c>
      <c r="S51" s="184">
        <v>0</v>
      </c>
      <c r="T51" s="184">
        <v>0</v>
      </c>
      <c r="U51" s="184">
        <v>28368.240000000002</v>
      </c>
      <c r="V51" s="184">
        <v>0</v>
      </c>
      <c r="W51" s="184">
        <v>164794.84999999998</v>
      </c>
      <c r="X51" s="184">
        <v>0</v>
      </c>
      <c r="Y51" s="184">
        <v>204251.8</v>
      </c>
      <c r="Z51" s="184">
        <v>0</v>
      </c>
      <c r="AA51" s="184">
        <v>10962.9</v>
      </c>
      <c r="AB51" s="184">
        <v>46603.78</v>
      </c>
      <c r="AC51" s="184">
        <v>9726.92</v>
      </c>
      <c r="AD51" s="184">
        <v>0</v>
      </c>
      <c r="AE51" s="184">
        <v>0</v>
      </c>
      <c r="AF51" s="184">
        <v>0</v>
      </c>
      <c r="AG51" s="184">
        <v>44417.15</v>
      </c>
      <c r="AH51" s="184">
        <v>0</v>
      </c>
      <c r="AI51" s="184">
        <v>0</v>
      </c>
      <c r="AJ51" s="184">
        <v>669014.69999999995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40310.71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22297.62</v>
      </c>
      <c r="BF51" s="184">
        <v>9966.25</v>
      </c>
      <c r="BG51" s="184">
        <v>0</v>
      </c>
      <c r="BH51" s="184">
        <v>84114.2</v>
      </c>
      <c r="BI51" s="184">
        <v>0</v>
      </c>
      <c r="BJ51" s="184">
        <v>0</v>
      </c>
      <c r="BK51" s="184">
        <v>0</v>
      </c>
      <c r="BL51" s="184">
        <v>142.08000000000001</v>
      </c>
      <c r="BM51" s="184">
        <v>0</v>
      </c>
      <c r="BN51" s="184">
        <v>6809.36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2401086.02</v>
      </c>
    </row>
    <row r="52" spans="1:84" ht="12.6" customHeight="1" x14ac:dyDescent="0.2">
      <c r="A52" s="171" t="s">
        <v>208</v>
      </c>
      <c r="B52" s="184">
        <v>1971795.9100000001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311759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117787</v>
      </c>
      <c r="P52" s="195">
        <f>ROUND((B52/(CE76+CF76)*P76),0)</f>
        <v>335124</v>
      </c>
      <c r="Q52" s="195">
        <f>ROUND((B52/(CE76+CF76)*Q76),0)</f>
        <v>23581</v>
      </c>
      <c r="R52" s="195">
        <f>ROUND((B52/(CE76+CF76)*R76),0)</f>
        <v>3773</v>
      </c>
      <c r="S52" s="195">
        <f>ROUND((B52/(CE76+CF76)*S76),0)</f>
        <v>58068</v>
      </c>
      <c r="T52" s="195">
        <f>ROUND((B52/(CE76+CF76)*T76),0)</f>
        <v>0</v>
      </c>
      <c r="U52" s="195">
        <f>ROUND((B52/(CE76+CF76)*U76),0)</f>
        <v>31952</v>
      </c>
      <c r="V52" s="195">
        <f>ROUND((B52/(CE76+CF76)*V76),0)</f>
        <v>0</v>
      </c>
      <c r="W52" s="195">
        <f>ROUND((B52/(CE76+CF76)*W76),0)</f>
        <v>14149</v>
      </c>
      <c r="X52" s="195">
        <f>ROUND((B52/(CE76+CF76)*X76),0)</f>
        <v>11319</v>
      </c>
      <c r="Y52" s="195">
        <f>ROUND((B52/(CE76+CF76)*Y76),0)</f>
        <v>192518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37513</v>
      </c>
      <c r="AC52" s="195">
        <f>ROUND((B52/(CE76+CF76)*AC76),0)</f>
        <v>3360</v>
      </c>
      <c r="AD52" s="195">
        <f>ROUND((B52/(CE76+CF76)*AD76),0)</f>
        <v>0</v>
      </c>
      <c r="AE52" s="195">
        <f>ROUND((B52/(CE76+CF76)*AE76),0)</f>
        <v>3773</v>
      </c>
      <c r="AF52" s="195">
        <f>ROUND((B52/(CE76+CF76)*AF76),0)</f>
        <v>0</v>
      </c>
      <c r="AG52" s="195">
        <f>ROUND((B52/(CE76+CF76)*AG76),0)</f>
        <v>163730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81963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69937</v>
      </c>
      <c r="BF52" s="195">
        <f>ROUND((B52/(CE76+CF76)*BF76),0)</f>
        <v>28592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437937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41502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3459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1971796</v>
      </c>
    </row>
    <row r="53" spans="1:84" ht="12.6" customHeight="1" x14ac:dyDescent="0.2">
      <c r="A53" s="175" t="s">
        <v>206</v>
      </c>
      <c r="B53" s="195">
        <f>B51+B52</f>
        <v>4372880.84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/>
      <c r="D59" s="184"/>
      <c r="E59" s="184">
        <v>5143</v>
      </c>
      <c r="F59" s="184"/>
      <c r="G59" s="184"/>
      <c r="H59" s="184"/>
      <c r="I59" s="184"/>
      <c r="J59" s="287">
        <v>524</v>
      </c>
      <c r="K59" s="184"/>
      <c r="L59" s="184"/>
      <c r="M59" s="184"/>
      <c r="N59" s="184"/>
      <c r="O59" s="184">
        <v>1165</v>
      </c>
      <c r="P59" s="185">
        <v>156330</v>
      </c>
      <c r="Q59" s="185">
        <v>7002</v>
      </c>
      <c r="R59" s="185">
        <v>156090</v>
      </c>
      <c r="S59" s="248"/>
      <c r="T59" s="248"/>
      <c r="U59" s="224">
        <v>86125</v>
      </c>
      <c r="V59" s="185"/>
      <c r="W59" s="185">
        <v>1389</v>
      </c>
      <c r="X59" s="185">
        <v>5244</v>
      </c>
      <c r="Y59" s="185">
        <v>17113</v>
      </c>
      <c r="Z59" s="185"/>
      <c r="AA59" s="185">
        <v>347</v>
      </c>
      <c r="AB59" s="248"/>
      <c r="AC59" s="185">
        <v>11609</v>
      </c>
      <c r="AD59" s="185"/>
      <c r="AE59" s="185"/>
      <c r="AF59" s="185"/>
      <c r="AG59" s="185">
        <v>14985</v>
      </c>
      <c r="AH59" s="185"/>
      <c r="AI59" s="185"/>
      <c r="AJ59" s="286">
        <v>101240.3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24945</v>
      </c>
      <c r="AZ59" s="286">
        <v>101157</v>
      </c>
      <c r="BA59" s="248"/>
      <c r="BB59" s="248"/>
      <c r="BC59" s="248"/>
      <c r="BD59" s="248"/>
      <c r="BE59" s="286">
        <f>100566-224</f>
        <v>100342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/>
      <c r="D60" s="187"/>
      <c r="E60" s="187">
        <v>40.46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13.06</v>
      </c>
      <c r="P60" s="221">
        <v>22.79</v>
      </c>
      <c r="Q60" s="221">
        <v>10.42</v>
      </c>
      <c r="R60" s="221"/>
      <c r="S60" s="221">
        <v>5.09</v>
      </c>
      <c r="T60" s="221">
        <v>0.08</v>
      </c>
      <c r="U60" s="221">
        <v>11.26</v>
      </c>
      <c r="V60" s="221"/>
      <c r="W60" s="221">
        <v>1.88</v>
      </c>
      <c r="X60" s="221">
        <v>4.92</v>
      </c>
      <c r="Y60" s="221">
        <v>11.7</v>
      </c>
      <c r="Z60" s="221"/>
      <c r="AA60" s="221">
        <v>1.27</v>
      </c>
      <c r="AB60" s="221">
        <v>5.3</v>
      </c>
      <c r="AC60" s="221">
        <v>6.13</v>
      </c>
      <c r="AD60" s="221"/>
      <c r="AE60" s="221"/>
      <c r="AF60" s="221"/>
      <c r="AG60" s="221">
        <v>22.71</v>
      </c>
      <c r="AH60" s="221"/>
      <c r="AI60" s="221"/>
      <c r="AJ60" s="221">
        <v>124.59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0</v>
      </c>
      <c r="AV60" s="221">
        <v>0.02</v>
      </c>
      <c r="AW60" s="221"/>
      <c r="AX60" s="221"/>
      <c r="AY60" s="221">
        <v>11.81</v>
      </c>
      <c r="AZ60" s="221"/>
      <c r="BA60" s="221"/>
      <c r="BB60" s="221"/>
      <c r="BC60" s="221"/>
      <c r="BD60" s="221"/>
      <c r="BE60" s="221">
        <v>3.73</v>
      </c>
      <c r="BF60" s="221">
        <v>11.85</v>
      </c>
      <c r="BG60" s="221"/>
      <c r="BH60" s="221"/>
      <c r="BI60" s="221"/>
      <c r="BJ60" s="221"/>
      <c r="BK60" s="221"/>
      <c r="BL60" s="221"/>
      <c r="BM60" s="221"/>
      <c r="BN60" s="221">
        <v>2.2400000000000002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11.68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323.99000000000007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3564840.48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1426262.6900000002</v>
      </c>
      <c r="P61" s="184">
        <v>2104301.21</v>
      </c>
      <c r="Q61" s="184">
        <v>1158402.4500000002</v>
      </c>
      <c r="R61" s="184">
        <v>0</v>
      </c>
      <c r="S61" s="184">
        <v>288873.27999999997</v>
      </c>
      <c r="T61" s="184">
        <v>23073.260000000002</v>
      </c>
      <c r="U61" s="184">
        <v>858415.46</v>
      </c>
      <c r="V61" s="184">
        <v>0</v>
      </c>
      <c r="W61" s="184">
        <v>209088.92000000004</v>
      </c>
      <c r="X61" s="184">
        <v>502678.26</v>
      </c>
      <c r="Y61" s="184">
        <v>1045809.79</v>
      </c>
      <c r="Z61" s="184"/>
      <c r="AA61" s="184">
        <v>149186.23999999999</v>
      </c>
      <c r="AB61" s="184">
        <v>648606.49</v>
      </c>
      <c r="AC61" s="184">
        <v>515744.67</v>
      </c>
      <c r="AD61" s="184">
        <v>0</v>
      </c>
      <c r="AE61" s="184">
        <v>0</v>
      </c>
      <c r="AF61" s="184">
        <v>0</v>
      </c>
      <c r="AG61" s="184">
        <v>2213607.4300000002</v>
      </c>
      <c r="AH61" s="184">
        <v>0</v>
      </c>
      <c r="AI61" s="184">
        <v>0</v>
      </c>
      <c r="AJ61" s="184">
        <v>12281694.259999998</v>
      </c>
      <c r="AK61" s="184">
        <v>0</v>
      </c>
      <c r="AL61" s="184">
        <v>191.88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476831.27</v>
      </c>
      <c r="AZ61" s="184">
        <v>0</v>
      </c>
      <c r="BA61" s="184">
        <v>0</v>
      </c>
      <c r="BB61" s="184">
        <v>0</v>
      </c>
      <c r="BC61" s="184">
        <v>0</v>
      </c>
      <c r="BD61" s="184">
        <v>0</v>
      </c>
      <c r="BE61" s="184">
        <v>265282.07000000007</v>
      </c>
      <c r="BF61" s="184">
        <v>554415.68999999994</v>
      </c>
      <c r="BG61" s="184">
        <v>-1561.38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309278.28000000003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86798.430000000022</v>
      </c>
      <c r="BY61" s="184">
        <v>1178551.56</v>
      </c>
      <c r="BZ61" s="184">
        <v>0</v>
      </c>
      <c r="CA61" s="184">
        <v>0</v>
      </c>
      <c r="CB61" s="184">
        <v>0</v>
      </c>
      <c r="CC61" s="184">
        <v>125958.62</v>
      </c>
      <c r="CD61" s="249" t="s">
        <v>221</v>
      </c>
      <c r="CE61" s="195">
        <f t="shared" si="0"/>
        <v>29986331.309999995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896963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324045</v>
      </c>
      <c r="P62" s="195">
        <f t="shared" si="1"/>
        <v>514982</v>
      </c>
      <c r="Q62" s="195">
        <f t="shared" si="1"/>
        <v>262429</v>
      </c>
      <c r="R62" s="195">
        <f t="shared" si="1"/>
        <v>0</v>
      </c>
      <c r="S62" s="195">
        <f t="shared" si="1"/>
        <v>95201</v>
      </c>
      <c r="T62" s="195">
        <f t="shared" si="1"/>
        <v>3765</v>
      </c>
      <c r="U62" s="195">
        <f t="shared" si="1"/>
        <v>230741</v>
      </c>
      <c r="V62" s="195">
        <f t="shared" si="1"/>
        <v>0</v>
      </c>
      <c r="W62" s="195">
        <f t="shared" si="1"/>
        <v>47068</v>
      </c>
      <c r="X62" s="195">
        <f t="shared" si="1"/>
        <v>119530</v>
      </c>
      <c r="Y62" s="195">
        <f t="shared" si="1"/>
        <v>261704</v>
      </c>
      <c r="Z62" s="195">
        <f t="shared" si="1"/>
        <v>0</v>
      </c>
      <c r="AA62" s="195">
        <f t="shared" si="1"/>
        <v>32977</v>
      </c>
      <c r="AB62" s="195">
        <f t="shared" si="1"/>
        <v>138024</v>
      </c>
      <c r="AC62" s="195">
        <f t="shared" si="1"/>
        <v>137052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533007</v>
      </c>
      <c r="AH62" s="195">
        <f t="shared" si="1"/>
        <v>0</v>
      </c>
      <c r="AI62" s="195">
        <f t="shared" si="1"/>
        <v>0</v>
      </c>
      <c r="AJ62" s="195">
        <f t="shared" si="1"/>
        <v>2287696</v>
      </c>
      <c r="AK62" s="195">
        <f t="shared" si="1"/>
        <v>0</v>
      </c>
      <c r="AL62" s="195">
        <f t="shared" si="1"/>
        <v>23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197116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78261</v>
      </c>
      <c r="BF62" s="195">
        <f t="shared" si="1"/>
        <v>200782</v>
      </c>
      <c r="BG62" s="195">
        <f t="shared" si="1"/>
        <v>-426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60604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22439</v>
      </c>
      <c r="BY62" s="195">
        <f t="shared" si="2"/>
        <v>283034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86</v>
      </c>
      <c r="CD62" s="249" t="s">
        <v>221</v>
      </c>
      <c r="CE62" s="195">
        <f t="shared" si="0"/>
        <v>6727150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58348.560000000005</v>
      </c>
      <c r="Q63" s="184">
        <v>0</v>
      </c>
      <c r="R63" s="184">
        <v>181895.50999999998</v>
      </c>
      <c r="S63" s="184">
        <v>0</v>
      </c>
      <c r="T63" s="184">
        <v>0</v>
      </c>
      <c r="U63" s="184">
        <v>22327.32</v>
      </c>
      <c r="V63" s="184">
        <v>0</v>
      </c>
      <c r="W63" s="184">
        <v>2300</v>
      </c>
      <c r="X63" s="184">
        <v>1350</v>
      </c>
      <c r="Y63" s="184">
        <v>12579</v>
      </c>
      <c r="Z63" s="184"/>
      <c r="AA63" s="184">
        <v>4375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281006.54000000004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1976375</v>
      </c>
      <c r="CD63" s="249" t="s">
        <v>221</v>
      </c>
      <c r="CE63" s="195">
        <f t="shared" si="0"/>
        <v>2540556.9299999997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4">
        <v>220951.94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75735.47</v>
      </c>
      <c r="P64" s="184">
        <v>2812442.45</v>
      </c>
      <c r="Q64" s="184">
        <v>60573.529999999992</v>
      </c>
      <c r="R64" s="184">
        <v>71345.959999999992</v>
      </c>
      <c r="S64" s="184">
        <v>-62726.289999999994</v>
      </c>
      <c r="T64" s="184">
        <v>23841.649999999998</v>
      </c>
      <c r="U64" s="184">
        <v>491972.32999999996</v>
      </c>
      <c r="V64" s="184">
        <v>0</v>
      </c>
      <c r="W64" s="184">
        <v>14489.189999999999</v>
      </c>
      <c r="X64" s="184">
        <v>53595.25</v>
      </c>
      <c r="Y64" s="184">
        <f>20292.44+16</f>
        <v>20308.439999999999</v>
      </c>
      <c r="Z64" s="184"/>
      <c r="AA64" s="184">
        <v>69406.92</v>
      </c>
      <c r="AB64" s="184">
        <v>1016175</v>
      </c>
      <c r="AC64" s="184">
        <v>21727.800000000003</v>
      </c>
      <c r="AD64" s="184">
        <v>0</v>
      </c>
      <c r="AE64" s="184">
        <v>0</v>
      </c>
      <c r="AF64" s="184">
        <v>0</v>
      </c>
      <c r="AG64" s="184">
        <v>226408.86999999997</v>
      </c>
      <c r="AH64" s="184">
        <v>0</v>
      </c>
      <c r="AI64" s="184">
        <v>0</v>
      </c>
      <c r="AJ64" s="184">
        <v>780648.15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279540.6399999999</v>
      </c>
      <c r="AZ64" s="184">
        <v>0</v>
      </c>
      <c r="BA64" s="184">
        <v>0</v>
      </c>
      <c r="BB64" s="184">
        <v>0</v>
      </c>
      <c r="BC64" s="184">
        <v>0</v>
      </c>
      <c r="BD64" s="184">
        <v>0</v>
      </c>
      <c r="BE64" s="184">
        <v>16198.619999999999</v>
      </c>
      <c r="BF64" s="184">
        <v>58106.160000000011</v>
      </c>
      <c r="BG64" s="184">
        <v>0</v>
      </c>
      <c r="BH64" s="184">
        <v>123.35</v>
      </c>
      <c r="BI64" s="184">
        <v>0</v>
      </c>
      <c r="BJ64" s="184">
        <v>0</v>
      </c>
      <c r="BK64" s="184">
        <v>0</v>
      </c>
      <c r="BL64" s="184">
        <v>9290.630000000001</v>
      </c>
      <c r="BM64" s="184">
        <v>0</v>
      </c>
      <c r="BN64" s="184">
        <v>22510.439999999995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40.54</v>
      </c>
      <c r="BY64" s="184">
        <v>3274.8399999999992</v>
      </c>
      <c r="BZ64" s="184">
        <v>0</v>
      </c>
      <c r="CA64" s="184">
        <v>0</v>
      </c>
      <c r="CB64" s="184">
        <v>0</v>
      </c>
      <c r="CC64" s="184">
        <v>26043.119999999999</v>
      </c>
      <c r="CD64" s="249" t="s">
        <v>221</v>
      </c>
      <c r="CE64" s="195">
        <f t="shared" si="0"/>
        <v>6312025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887.86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1774.45</v>
      </c>
      <c r="Q65" s="184">
        <v>0</v>
      </c>
      <c r="R65" s="184">
        <v>0</v>
      </c>
      <c r="S65" s="184">
        <v>0</v>
      </c>
      <c r="T65" s="184">
        <v>0</v>
      </c>
      <c r="U65" s="184">
        <v>194.76</v>
      </c>
      <c r="V65" s="184">
        <v>0</v>
      </c>
      <c r="W65" s="184">
        <v>0</v>
      </c>
      <c r="X65" s="184">
        <v>0</v>
      </c>
      <c r="Y65" s="184">
        <v>76.13</v>
      </c>
      <c r="Z65" s="184"/>
      <c r="AA65" s="184">
        <v>0</v>
      </c>
      <c r="AB65" s="184">
        <v>165.45</v>
      </c>
      <c r="AC65" s="184">
        <v>16.2</v>
      </c>
      <c r="AD65" s="184">
        <v>0</v>
      </c>
      <c r="AE65" s="184">
        <v>0</v>
      </c>
      <c r="AF65" s="184">
        <v>0</v>
      </c>
      <c r="AG65" s="184">
        <v>649.86</v>
      </c>
      <c r="AH65" s="184">
        <v>0</v>
      </c>
      <c r="AI65" s="184">
        <v>0</v>
      </c>
      <c r="AJ65" s="184">
        <v>108783.66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361.11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408804.30999999994</v>
      </c>
      <c r="BF65" s="184">
        <v>368.27</v>
      </c>
      <c r="BG65" s="184">
        <v>33153.119999999995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441.81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707.34999999999991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556384.34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149867.68025</v>
      </c>
      <c r="F66" s="184">
        <v>0</v>
      </c>
      <c r="G66" s="184">
        <v>11978.464750000001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64099.780000000006</v>
      </c>
      <c r="P66" s="184">
        <v>377754.8015</v>
      </c>
      <c r="Q66" s="184">
        <v>10167.469999999998</v>
      </c>
      <c r="R66" s="184">
        <v>18997.919999999998</v>
      </c>
      <c r="S66" s="184">
        <v>49455.885445250002</v>
      </c>
      <c r="T66" s="184">
        <v>21561.998500000002</v>
      </c>
      <c r="U66" s="184">
        <v>295653.44999999995</v>
      </c>
      <c r="V66" s="184">
        <v>0</v>
      </c>
      <c r="W66" s="184">
        <v>134669.01</v>
      </c>
      <c r="X66" s="184">
        <v>101234.34999999999</v>
      </c>
      <c r="Y66" s="184">
        <v>158235</v>
      </c>
      <c r="Z66" s="184">
        <v>0</v>
      </c>
      <c r="AA66" s="184">
        <v>21442.89</v>
      </c>
      <c r="AB66" s="184">
        <v>91188.98</v>
      </c>
      <c r="AC66" s="184">
        <v>458.7</v>
      </c>
      <c r="AD66" s="184">
        <v>0</v>
      </c>
      <c r="AE66" s="184">
        <v>129464.20999999998</v>
      </c>
      <c r="AF66" s="184">
        <v>0</v>
      </c>
      <c r="AG66" s="184">
        <v>138003.81160000002</v>
      </c>
      <c r="AH66" s="184">
        <v>0</v>
      </c>
      <c r="AI66" s="184">
        <v>0</v>
      </c>
      <c r="AJ66" s="184">
        <v>908390.35</v>
      </c>
      <c r="AK66" s="184">
        <v>66540.460000000006</v>
      </c>
      <c r="AL66" s="184">
        <v>21219.3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230421.08142</v>
      </c>
      <c r="AW66" s="184">
        <v>0</v>
      </c>
      <c r="AX66" s="184">
        <v>19488.455999999998</v>
      </c>
      <c r="AY66" s="184">
        <v>314824.19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1715730.0719999997</v>
      </c>
      <c r="BF66" s="184">
        <v>94333.430000000022</v>
      </c>
      <c r="BG66" s="184">
        <v>83895.798250000007</v>
      </c>
      <c r="BH66" s="184">
        <v>614012.13500000001</v>
      </c>
      <c r="BI66" s="184">
        <v>0</v>
      </c>
      <c r="BJ66" s="184">
        <v>87264.259249999988</v>
      </c>
      <c r="BK66" s="184">
        <v>557814.17985347495</v>
      </c>
      <c r="BL66" s="184">
        <v>1505435.66738</v>
      </c>
      <c r="BM66" s="184">
        <v>0</v>
      </c>
      <c r="BN66" s="184">
        <v>635143.1647136251</v>
      </c>
      <c r="BO66" s="184">
        <v>63607.626500000006</v>
      </c>
      <c r="BP66" s="184">
        <v>335208.30449999997</v>
      </c>
      <c r="BQ66" s="184">
        <v>0</v>
      </c>
      <c r="BR66" s="184">
        <v>214014.21275000001</v>
      </c>
      <c r="BS66" s="184">
        <v>17575.629749999996</v>
      </c>
      <c r="BT66" s="184">
        <v>30091.622249999997</v>
      </c>
      <c r="BU66" s="184">
        <v>10482.752750000003</v>
      </c>
      <c r="BV66" s="184">
        <v>767035.98836307495</v>
      </c>
      <c r="BW66" s="184">
        <v>154452.670456375</v>
      </c>
      <c r="BX66" s="184">
        <v>798463.59161359991</v>
      </c>
      <c r="BY66" s="184">
        <v>28829.389150000003</v>
      </c>
      <c r="BZ66" s="184">
        <v>0</v>
      </c>
      <c r="CA66" s="184">
        <v>93033.581999999995</v>
      </c>
      <c r="CB66" s="184">
        <v>11254.406750000002</v>
      </c>
      <c r="CC66" s="184">
        <v>5259419.3632049002</v>
      </c>
      <c r="CD66" s="249" t="s">
        <v>221</v>
      </c>
      <c r="CE66" s="195">
        <f t="shared" si="0"/>
        <v>16412216.085950296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399024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155252</v>
      </c>
      <c r="P67" s="195">
        <f t="shared" si="3"/>
        <v>1254494</v>
      </c>
      <c r="Q67" s="195">
        <f t="shared" si="3"/>
        <v>36674</v>
      </c>
      <c r="R67" s="195">
        <f t="shared" si="3"/>
        <v>5886</v>
      </c>
      <c r="S67" s="195">
        <f t="shared" si="3"/>
        <v>58068</v>
      </c>
      <c r="T67" s="195">
        <f t="shared" si="3"/>
        <v>0</v>
      </c>
      <c r="U67" s="195">
        <f t="shared" si="3"/>
        <v>60320</v>
      </c>
      <c r="V67" s="195">
        <f t="shared" si="3"/>
        <v>0</v>
      </c>
      <c r="W67" s="195">
        <f t="shared" si="3"/>
        <v>178944</v>
      </c>
      <c r="X67" s="195">
        <f t="shared" si="3"/>
        <v>11319</v>
      </c>
      <c r="Y67" s="195">
        <f t="shared" si="3"/>
        <v>396770</v>
      </c>
      <c r="Z67" s="195">
        <f t="shared" si="3"/>
        <v>0</v>
      </c>
      <c r="AA67" s="195">
        <f t="shared" si="3"/>
        <v>10963</v>
      </c>
      <c r="AB67" s="195">
        <f t="shared" si="3"/>
        <v>84117</v>
      </c>
      <c r="AC67" s="195">
        <f t="shared" si="3"/>
        <v>13087</v>
      </c>
      <c r="AD67" s="195">
        <f t="shared" si="3"/>
        <v>0</v>
      </c>
      <c r="AE67" s="195">
        <f t="shared" si="3"/>
        <v>3773</v>
      </c>
      <c r="AF67" s="195">
        <f t="shared" si="3"/>
        <v>0</v>
      </c>
      <c r="AG67" s="195">
        <f t="shared" si="3"/>
        <v>208147</v>
      </c>
      <c r="AH67" s="195">
        <f t="shared" si="3"/>
        <v>0</v>
      </c>
      <c r="AI67" s="195">
        <f t="shared" si="3"/>
        <v>0</v>
      </c>
      <c r="AJ67" s="195">
        <f t="shared" si="3"/>
        <v>669015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122274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92235</v>
      </c>
      <c r="BF67" s="195">
        <f t="shared" si="3"/>
        <v>38558</v>
      </c>
      <c r="BG67" s="195">
        <f t="shared" si="3"/>
        <v>0</v>
      </c>
      <c r="BH67" s="195">
        <f t="shared" si="3"/>
        <v>84114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142</v>
      </c>
      <c r="BM67" s="195">
        <f t="shared" si="3"/>
        <v>0</v>
      </c>
      <c r="BN67" s="195">
        <f t="shared" si="3"/>
        <v>444746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41502</v>
      </c>
      <c r="BW67" s="195">
        <f t="shared" si="4"/>
        <v>0</v>
      </c>
      <c r="BX67" s="195">
        <f t="shared" si="4"/>
        <v>0</v>
      </c>
      <c r="BY67" s="195">
        <f t="shared" si="4"/>
        <v>3459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4372883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3508.5299999999997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1470.44</v>
      </c>
      <c r="P68" s="184">
        <v>19328.41</v>
      </c>
      <c r="Q68" s="184">
        <v>1733.72</v>
      </c>
      <c r="R68" s="184">
        <v>-95.78</v>
      </c>
      <c r="S68" s="184">
        <v>1621.07</v>
      </c>
      <c r="T68" s="184">
        <v>0</v>
      </c>
      <c r="U68" s="184">
        <v>69001.740000000005</v>
      </c>
      <c r="V68" s="184">
        <v>0</v>
      </c>
      <c r="W68" s="184">
        <v>0</v>
      </c>
      <c r="X68" s="184">
        <v>0</v>
      </c>
      <c r="Y68" s="184">
        <v>4070.01</v>
      </c>
      <c r="Z68" s="184"/>
      <c r="AA68" s="184">
        <v>0</v>
      </c>
      <c r="AB68" s="184">
        <v>9168.36</v>
      </c>
      <c r="AC68" s="184">
        <v>42.029999999999994</v>
      </c>
      <c r="AD68" s="184">
        <v>0</v>
      </c>
      <c r="AE68" s="184">
        <v>0</v>
      </c>
      <c r="AF68" s="184">
        <v>0</v>
      </c>
      <c r="AG68" s="184">
        <v>1171.17</v>
      </c>
      <c r="AH68" s="184">
        <v>0</v>
      </c>
      <c r="AI68" s="184">
        <v>0</v>
      </c>
      <c r="AJ68" s="184">
        <v>1379973.0699999998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3497.49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10257.879999999999</v>
      </c>
      <c r="BF68" s="184">
        <v>2010.77</v>
      </c>
      <c r="BG68" s="184">
        <v>0</v>
      </c>
      <c r="BH68" s="184">
        <v>2824.17</v>
      </c>
      <c r="BI68" s="184">
        <v>0</v>
      </c>
      <c r="BJ68" s="184">
        <v>0</v>
      </c>
      <c r="BK68" s="184">
        <v>0</v>
      </c>
      <c r="BL68" s="184">
        <v>9236.6</v>
      </c>
      <c r="BM68" s="184">
        <v>0</v>
      </c>
      <c r="BN68" s="184">
        <v>12098.840000000002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83.02</v>
      </c>
      <c r="BY68" s="184">
        <v>4559.3599999999997</v>
      </c>
      <c r="BZ68" s="184">
        <v>0</v>
      </c>
      <c r="CA68" s="184">
        <v>0</v>
      </c>
      <c r="CB68" s="184">
        <v>0</v>
      </c>
      <c r="CC68" s="184">
        <v>41780</v>
      </c>
      <c r="CD68" s="249" t="s">
        <v>221</v>
      </c>
      <c r="CE68" s="195">
        <f t="shared" si="0"/>
        <v>1577340.9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4">
        <v>14702.240000000002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9558.56</v>
      </c>
      <c r="P69" s="184">
        <v>19381.240000000002</v>
      </c>
      <c r="Q69" s="184">
        <v>2879.92</v>
      </c>
      <c r="R69" s="184">
        <v>0</v>
      </c>
      <c r="S69" s="184">
        <v>1189.9299999999998</v>
      </c>
      <c r="T69" s="184">
        <v>0</v>
      </c>
      <c r="U69" s="184">
        <v>46034.03</v>
      </c>
      <c r="V69" s="184">
        <v>0</v>
      </c>
      <c r="W69" s="184">
        <v>0</v>
      </c>
      <c r="X69" s="184">
        <v>391.62</v>
      </c>
      <c r="Y69" s="184">
        <v>2135</v>
      </c>
      <c r="Z69" s="184"/>
      <c r="AA69" s="184">
        <v>254.37</v>
      </c>
      <c r="AB69" s="184">
        <v>2746.4</v>
      </c>
      <c r="AC69" s="184">
        <v>3461.2700000000004</v>
      </c>
      <c r="AD69" s="184">
        <v>0</v>
      </c>
      <c r="AE69" s="184">
        <v>0</v>
      </c>
      <c r="AF69" s="184">
        <v>0</v>
      </c>
      <c r="AG69" s="184">
        <v>7519.880000000001</v>
      </c>
      <c r="AH69" s="184">
        <v>0</v>
      </c>
      <c r="AI69" s="184">
        <v>0</v>
      </c>
      <c r="AJ69" s="184">
        <v>539749.29</v>
      </c>
      <c r="AK69" s="184">
        <v>0</v>
      </c>
      <c r="AL69" s="184">
        <v>33.64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21381.279999999999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1883.3000000000004</v>
      </c>
      <c r="BF69" s="184">
        <v>455.27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7.52</v>
      </c>
      <c r="BM69" s="184">
        <v>0</v>
      </c>
      <c r="BN69" s="184">
        <v>39300.89</v>
      </c>
      <c r="BO69" s="184">
        <v>0</v>
      </c>
      <c r="BP69" s="184">
        <v>0</v>
      </c>
      <c r="BQ69" s="184">
        <v>0</v>
      </c>
      <c r="BR69" s="184">
        <v>218.95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498.93</v>
      </c>
      <c r="BY69" s="184">
        <v>6401.09</v>
      </c>
      <c r="BZ69" s="184">
        <v>0</v>
      </c>
      <c r="CA69" s="184">
        <v>0</v>
      </c>
      <c r="CB69" s="184">
        <v>0</v>
      </c>
      <c r="CC69" s="287">
        <v>-255287.73000000021</v>
      </c>
      <c r="CD69" s="287">
        <v>1521503</v>
      </c>
      <c r="CE69" s="195">
        <f t="shared" si="0"/>
        <v>1986399.89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3000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920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43396.52</v>
      </c>
      <c r="V70" s="184">
        <v>0</v>
      </c>
      <c r="W70" s="184">
        <v>0</v>
      </c>
      <c r="X70" s="184">
        <v>0</v>
      </c>
      <c r="Y70" s="184">
        <v>4294.76</v>
      </c>
      <c r="Z70" s="184"/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298814.52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368135.84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10.89</v>
      </c>
      <c r="BF70" s="184">
        <v>0</v>
      </c>
      <c r="BG70" s="184">
        <v>0</v>
      </c>
      <c r="BH70" s="184">
        <v>0</v>
      </c>
      <c r="BI70" s="184">
        <v>0.17000000000007276</v>
      </c>
      <c r="BJ70" s="184">
        <v>0</v>
      </c>
      <c r="BK70" s="184">
        <v>0</v>
      </c>
      <c r="BL70" s="184">
        <v>0</v>
      </c>
      <c r="BM70" s="184">
        <v>0</v>
      </c>
      <c r="BN70" s="184">
        <v>6715.5899999999992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331.77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725620.06000000017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5247745.7302500019</v>
      </c>
      <c r="F71" s="195">
        <f t="shared" si="5"/>
        <v>0</v>
      </c>
      <c r="G71" s="195">
        <f t="shared" si="5"/>
        <v>11978.464750000001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2055503.9400000002</v>
      </c>
      <c r="P71" s="195">
        <f t="shared" si="5"/>
        <v>7162807.1215000013</v>
      </c>
      <c r="Q71" s="195">
        <f t="shared" si="5"/>
        <v>1532860.09</v>
      </c>
      <c r="R71" s="195">
        <f t="shared" si="5"/>
        <v>278029.60999999993</v>
      </c>
      <c r="S71" s="195">
        <f t="shared" si="5"/>
        <v>431682.87544525001</v>
      </c>
      <c r="T71" s="195">
        <f t="shared" si="5"/>
        <v>72241.908500000005</v>
      </c>
      <c r="U71" s="195">
        <f t="shared" si="5"/>
        <v>2031263.5699999998</v>
      </c>
      <c r="V71" s="195">
        <f t="shared" si="5"/>
        <v>0</v>
      </c>
      <c r="W71" s="195">
        <f t="shared" si="5"/>
        <v>586559.12000000011</v>
      </c>
      <c r="X71" s="195">
        <f t="shared" si="5"/>
        <v>790098.48</v>
      </c>
      <c r="Y71" s="195">
        <f t="shared" si="5"/>
        <v>1897392.6099999999</v>
      </c>
      <c r="Z71" s="195">
        <f t="shared" si="5"/>
        <v>0</v>
      </c>
      <c r="AA71" s="195">
        <f t="shared" si="5"/>
        <v>288605.42</v>
      </c>
      <c r="AB71" s="195">
        <f t="shared" si="5"/>
        <v>1990191.68</v>
      </c>
      <c r="AC71" s="195">
        <f t="shared" si="5"/>
        <v>691589.66999999993</v>
      </c>
      <c r="AD71" s="195">
        <f t="shared" si="5"/>
        <v>0</v>
      </c>
      <c r="AE71" s="195">
        <f t="shared" si="5"/>
        <v>133237.20999999996</v>
      </c>
      <c r="AF71" s="195">
        <f t="shared" si="5"/>
        <v>0</v>
      </c>
      <c r="AG71" s="195">
        <f t="shared" si="5"/>
        <v>3609521.5616000001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18657135.259999998</v>
      </c>
      <c r="AK71" s="195">
        <f t="shared" si="6"/>
        <v>66540.460000000006</v>
      </c>
      <c r="AL71" s="195">
        <f t="shared" si="6"/>
        <v>21467.82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230421.08142</v>
      </c>
      <c r="AW71" s="195">
        <f t="shared" si="6"/>
        <v>0</v>
      </c>
      <c r="AX71" s="195">
        <f t="shared" si="6"/>
        <v>19488.455999999998</v>
      </c>
      <c r="AY71" s="195">
        <f t="shared" si="6"/>
        <v>1047690.1399999999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2588641.3619999993</v>
      </c>
      <c r="BF71" s="195">
        <f t="shared" si="6"/>
        <v>949029.59000000008</v>
      </c>
      <c r="BG71" s="195">
        <f t="shared" si="6"/>
        <v>115061.53825</v>
      </c>
      <c r="BH71" s="195">
        <f t="shared" si="6"/>
        <v>701073.65500000003</v>
      </c>
      <c r="BI71" s="195">
        <f t="shared" si="6"/>
        <v>-0.17000000000007276</v>
      </c>
      <c r="BJ71" s="195">
        <f t="shared" si="6"/>
        <v>87264.259249999988</v>
      </c>
      <c r="BK71" s="195">
        <f t="shared" si="6"/>
        <v>557814.17985347495</v>
      </c>
      <c r="BL71" s="195">
        <f t="shared" si="6"/>
        <v>1524112.41738</v>
      </c>
      <c r="BM71" s="195">
        <f t="shared" si="6"/>
        <v>0</v>
      </c>
      <c r="BN71" s="195">
        <f t="shared" si="6"/>
        <v>1517407.834713625</v>
      </c>
      <c r="BO71" s="195">
        <f t="shared" si="6"/>
        <v>63607.626500000006</v>
      </c>
      <c r="BP71" s="195">
        <f t="shared" ref="BP71:CC71" si="7">SUM(BP61:BP69)-BP70</f>
        <v>335208.30449999997</v>
      </c>
      <c r="BQ71" s="195">
        <f t="shared" si="7"/>
        <v>0</v>
      </c>
      <c r="BR71" s="195">
        <f t="shared" si="7"/>
        <v>214280.16275000002</v>
      </c>
      <c r="BS71" s="195">
        <f t="shared" si="7"/>
        <v>17575.629749999996</v>
      </c>
      <c r="BT71" s="195">
        <f t="shared" si="7"/>
        <v>30091.622249999997</v>
      </c>
      <c r="BU71" s="195">
        <f t="shared" si="7"/>
        <v>10482.752750000003</v>
      </c>
      <c r="BV71" s="195">
        <f t="shared" si="7"/>
        <v>808537.98836307495</v>
      </c>
      <c r="BW71" s="195">
        <f t="shared" si="7"/>
        <v>154452.670456375</v>
      </c>
      <c r="BX71" s="195">
        <f t="shared" si="7"/>
        <v>908323.51161359996</v>
      </c>
      <c r="BY71" s="195">
        <f t="shared" si="7"/>
        <v>1508484.8191500003</v>
      </c>
      <c r="BZ71" s="195">
        <f t="shared" si="7"/>
        <v>0</v>
      </c>
      <c r="CA71" s="195">
        <f t="shared" si="7"/>
        <v>93033.581999999995</v>
      </c>
      <c r="CB71" s="195">
        <f t="shared" si="7"/>
        <v>11254.406750000002</v>
      </c>
      <c r="CC71" s="195">
        <f t="shared" si="7"/>
        <v>7174374.3732049</v>
      </c>
      <c r="CD71" s="245">
        <f>CD69-CD70</f>
        <v>1521503</v>
      </c>
      <c r="CE71" s="195">
        <f>SUM(CE61:CE69)-CE70</f>
        <v>69745667.395950302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4">
        <v>16994767.060000002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7312352.2300000004</v>
      </c>
      <c r="P73" s="184">
        <v>15708190.959999997</v>
      </c>
      <c r="Q73" s="184">
        <v>1200513.04</v>
      </c>
      <c r="R73" s="184">
        <v>1475042.26</v>
      </c>
      <c r="S73" s="184">
        <v>0</v>
      </c>
      <c r="T73" s="184">
        <v>396494.5</v>
      </c>
      <c r="U73" s="184">
        <v>3759650.0199999996</v>
      </c>
      <c r="V73" s="184">
        <v>0</v>
      </c>
      <c r="W73" s="184">
        <v>213265.9</v>
      </c>
      <c r="X73" s="184">
        <v>1226179.54</v>
      </c>
      <c r="Y73" s="184">
        <v>656273.42000000004</v>
      </c>
      <c r="Z73" s="184"/>
      <c r="AA73" s="184">
        <v>56820.73</v>
      </c>
      <c r="AB73" s="184">
        <v>8885593.6999999993</v>
      </c>
      <c r="AC73" s="184">
        <v>2241837.59</v>
      </c>
      <c r="AD73" s="184">
        <v>0</v>
      </c>
      <c r="AE73" s="184">
        <v>369191.35</v>
      </c>
      <c r="AF73" s="184">
        <v>0</v>
      </c>
      <c r="AG73" s="184">
        <v>1976398.42</v>
      </c>
      <c r="AH73" s="184">
        <v>0</v>
      </c>
      <c r="AI73" s="184">
        <v>0</v>
      </c>
      <c r="AJ73" s="184">
        <v>0</v>
      </c>
      <c r="AK73" s="184">
        <v>250755.29</v>
      </c>
      <c r="AL73" s="184">
        <v>59859.149999999994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-46604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62736581.159999989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>
        <v>0</v>
      </c>
      <c r="E74" s="184">
        <v>3435680.12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443953.79000000004</v>
      </c>
      <c r="P74" s="184">
        <v>46637505.379999995</v>
      </c>
      <c r="Q74" s="184">
        <v>5481051.959999999</v>
      </c>
      <c r="R74" s="184">
        <v>3812329.52</v>
      </c>
      <c r="S74" s="184">
        <v>0</v>
      </c>
      <c r="T74" s="184">
        <v>34394.660000000003</v>
      </c>
      <c r="U74" s="184">
        <v>8633801.7400000002</v>
      </c>
      <c r="V74" s="184">
        <v>0</v>
      </c>
      <c r="W74" s="184">
        <v>2704707</v>
      </c>
      <c r="X74" s="184">
        <v>10823852.74</v>
      </c>
      <c r="Y74" s="184">
        <v>6609568.4500000002</v>
      </c>
      <c r="Z74" s="184"/>
      <c r="AA74" s="184">
        <v>820917.84000000008</v>
      </c>
      <c r="AB74" s="184">
        <v>18910496.670000002</v>
      </c>
      <c r="AC74" s="184">
        <v>2342872.6</v>
      </c>
      <c r="AD74" s="184">
        <v>0</v>
      </c>
      <c r="AE74" s="184">
        <v>93148.59</v>
      </c>
      <c r="AF74" s="184">
        <v>0</v>
      </c>
      <c r="AG74" s="184">
        <v>45075550.980000004</v>
      </c>
      <c r="AH74" s="184">
        <v>0</v>
      </c>
      <c r="AI74" s="184">
        <v>0</v>
      </c>
      <c r="AJ74" s="184">
        <v>29749292.790000003</v>
      </c>
      <c r="AK74" s="184">
        <v>41796.25</v>
      </c>
      <c r="AL74" s="184">
        <v>8962.5999999999985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-149117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185510766.67999998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20430447.180000003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7756306.0200000005</v>
      </c>
      <c r="P75" s="195">
        <f t="shared" si="9"/>
        <v>62345696.339999989</v>
      </c>
      <c r="Q75" s="195">
        <f t="shared" si="9"/>
        <v>6681564.9999999991</v>
      </c>
      <c r="R75" s="195">
        <f t="shared" si="9"/>
        <v>5287371.78</v>
      </c>
      <c r="S75" s="195">
        <f t="shared" si="9"/>
        <v>0</v>
      </c>
      <c r="T75" s="195">
        <f t="shared" si="9"/>
        <v>430889.16000000003</v>
      </c>
      <c r="U75" s="195">
        <f t="shared" si="9"/>
        <v>12393451.76</v>
      </c>
      <c r="V75" s="195">
        <f t="shared" si="9"/>
        <v>0</v>
      </c>
      <c r="W75" s="195">
        <f t="shared" si="9"/>
        <v>2917972.9</v>
      </c>
      <c r="X75" s="195">
        <f t="shared" si="9"/>
        <v>12050032.280000001</v>
      </c>
      <c r="Y75" s="195">
        <f t="shared" si="9"/>
        <v>7265841.8700000001</v>
      </c>
      <c r="Z75" s="195">
        <f t="shared" si="9"/>
        <v>0</v>
      </c>
      <c r="AA75" s="195">
        <f t="shared" si="9"/>
        <v>877738.57000000007</v>
      </c>
      <c r="AB75" s="195">
        <f t="shared" si="9"/>
        <v>27796090.370000001</v>
      </c>
      <c r="AC75" s="195">
        <f t="shared" si="9"/>
        <v>4584710.1899999995</v>
      </c>
      <c r="AD75" s="195">
        <f t="shared" si="9"/>
        <v>0</v>
      </c>
      <c r="AE75" s="195">
        <f t="shared" si="9"/>
        <v>462339.93999999994</v>
      </c>
      <c r="AF75" s="195">
        <f t="shared" si="9"/>
        <v>0</v>
      </c>
      <c r="AG75" s="195">
        <f t="shared" si="9"/>
        <v>47051949.400000006</v>
      </c>
      <c r="AH75" s="195">
        <f t="shared" si="9"/>
        <v>0</v>
      </c>
      <c r="AI75" s="195">
        <f t="shared" si="9"/>
        <v>0</v>
      </c>
      <c r="AJ75" s="195">
        <f t="shared" si="9"/>
        <v>29749292.790000003</v>
      </c>
      <c r="AK75" s="195">
        <f t="shared" si="9"/>
        <v>292551.54000000004</v>
      </c>
      <c r="AL75" s="195">
        <f t="shared" si="9"/>
        <v>68821.75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-195721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248247347.83999997</v>
      </c>
      <c r="CF75" s="252"/>
    </row>
    <row r="76" spans="1:84" ht="12.6" customHeight="1" x14ac:dyDescent="0.2">
      <c r="A76" s="171" t="s">
        <v>248</v>
      </c>
      <c r="B76" s="175"/>
      <c r="C76" s="184"/>
      <c r="D76" s="184"/>
      <c r="E76" s="286">
        <v>15865</v>
      </c>
      <c r="F76" s="185"/>
      <c r="G76" s="184"/>
      <c r="H76" s="184"/>
      <c r="I76" s="185"/>
      <c r="J76" s="286"/>
      <c r="K76" s="185"/>
      <c r="L76" s="185"/>
      <c r="M76" s="185"/>
      <c r="N76" s="185"/>
      <c r="O76" s="185">
        <f>192+5802</f>
        <v>5994</v>
      </c>
      <c r="P76" s="185">
        <v>17054</v>
      </c>
      <c r="Q76" s="185">
        <v>1200</v>
      </c>
      <c r="R76" s="185">
        <v>192</v>
      </c>
      <c r="S76" s="185">
        <v>2955</v>
      </c>
      <c r="T76" s="185"/>
      <c r="U76" s="185">
        <v>1626</v>
      </c>
      <c r="V76" s="185"/>
      <c r="W76" s="185">
        <v>720</v>
      </c>
      <c r="X76" s="185">
        <v>576</v>
      </c>
      <c r="Y76" s="185">
        <v>9797</v>
      </c>
      <c r="Z76" s="185"/>
      <c r="AA76" s="185"/>
      <c r="AB76" s="185">
        <f>53+1856</f>
        <v>1909</v>
      </c>
      <c r="AC76" s="185">
        <v>171</v>
      </c>
      <c r="AD76" s="185"/>
      <c r="AE76" s="185">
        <v>192</v>
      </c>
      <c r="AF76" s="185"/>
      <c r="AG76" s="185">
        <v>8332</v>
      </c>
      <c r="AH76" s="185"/>
      <c r="AI76" s="185"/>
      <c r="AJ76" s="286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f>1424+2747</f>
        <v>4171</v>
      </c>
      <c r="AZ76" s="286"/>
      <c r="BA76" s="286"/>
      <c r="BB76" s="185"/>
      <c r="BC76" s="185"/>
      <c r="BD76" s="185"/>
      <c r="BE76" s="185">
        <v>3559</v>
      </c>
      <c r="BF76" s="185">
        <f>192+1263</f>
        <v>1455</v>
      </c>
      <c r="BG76" s="185"/>
      <c r="BH76" s="185"/>
      <c r="BI76" s="286"/>
      <c r="BJ76" s="185"/>
      <c r="BK76" s="185"/>
      <c r="BL76" s="185"/>
      <c r="BM76" s="185"/>
      <c r="BN76" s="185">
        <v>22286</v>
      </c>
      <c r="BO76" s="185"/>
      <c r="BP76" s="185"/>
      <c r="BQ76" s="185"/>
      <c r="BR76" s="185">
        <f>224-224</f>
        <v>0</v>
      </c>
      <c r="BS76" s="185"/>
      <c r="BT76" s="185"/>
      <c r="BU76" s="185"/>
      <c r="BV76" s="185">
        <v>2112</v>
      </c>
      <c r="BW76" s="185"/>
      <c r="BX76" s="185"/>
      <c r="BY76" s="185">
        <v>176</v>
      </c>
      <c r="BZ76" s="185"/>
      <c r="CA76" s="185"/>
      <c r="CB76" s="185"/>
      <c r="CC76" s="185"/>
      <c r="CD76" s="249" t="s">
        <v>221</v>
      </c>
      <c r="CE76" s="195">
        <f t="shared" si="8"/>
        <v>100342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/>
      <c r="D77" s="184"/>
      <c r="E77" s="287">
        <v>24945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24945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/>
      <c r="D78" s="184"/>
      <c r="E78" s="184">
        <v>5676.67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2144.7199999999998</v>
      </c>
      <c r="P78" s="184">
        <v>6102.1</v>
      </c>
      <c r="Q78" s="184">
        <v>429.37</v>
      </c>
      <c r="R78" s="184">
        <v>68.7</v>
      </c>
      <c r="S78" s="184">
        <v>1057.33</v>
      </c>
      <c r="T78" s="184"/>
      <c r="U78" s="184">
        <v>581.79999999999995</v>
      </c>
      <c r="V78" s="184"/>
      <c r="W78" s="184">
        <v>257.62</v>
      </c>
      <c r="X78" s="184">
        <v>206.1</v>
      </c>
      <c r="Y78" s="184">
        <v>3505.47</v>
      </c>
      <c r="Z78" s="184"/>
      <c r="AA78" s="184"/>
      <c r="AB78" s="184">
        <v>683.06</v>
      </c>
      <c r="AC78" s="184">
        <v>61.19</v>
      </c>
      <c r="AD78" s="184"/>
      <c r="AE78" s="184">
        <v>68.7</v>
      </c>
      <c r="AF78" s="184"/>
      <c r="AG78" s="184">
        <v>2981.28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755.7</v>
      </c>
      <c r="BW78" s="184"/>
      <c r="BX78" s="184"/>
      <c r="BY78" s="184">
        <v>62.97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24642.780000000002</v>
      </c>
      <c r="CF78" s="195"/>
    </row>
    <row r="79" spans="1:84" ht="12.6" customHeight="1" x14ac:dyDescent="0.2">
      <c r="A79" s="171" t="s">
        <v>251</v>
      </c>
      <c r="B79" s="175"/>
      <c r="C79" s="225"/>
      <c r="D79" s="225"/>
      <c r="E79" s="184">
        <v>72592.28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19948.490000000002</v>
      </c>
      <c r="P79" s="184">
        <v>52876.05</v>
      </c>
      <c r="Q79" s="184"/>
      <c r="R79" s="184"/>
      <c r="S79" s="184"/>
      <c r="T79" s="184"/>
      <c r="U79" s="184"/>
      <c r="V79" s="184"/>
      <c r="W79" s="184"/>
      <c r="X79" s="184"/>
      <c r="Y79" s="184">
        <v>27417.040000000001</v>
      </c>
      <c r="Z79" s="184"/>
      <c r="AA79" s="184"/>
      <c r="AB79" s="184"/>
      <c r="AC79" s="184"/>
      <c r="AD79" s="184"/>
      <c r="AE79" s="184"/>
      <c r="AF79" s="184"/>
      <c r="AG79" s="184">
        <v>67279.25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240113.11000000002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/>
      <c r="D80" s="187"/>
      <c r="E80" s="187">
        <v>23.09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10.55</v>
      </c>
      <c r="P80" s="187">
        <v>9.58</v>
      </c>
      <c r="Q80" s="187">
        <v>8.35</v>
      </c>
      <c r="R80" s="187"/>
      <c r="S80" s="187"/>
      <c r="T80" s="187">
        <v>0.08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14.9</v>
      </c>
      <c r="AH80" s="187"/>
      <c r="AI80" s="187"/>
      <c r="AJ80" s="187">
        <v>21.46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88.009999999999991</v>
      </c>
      <c r="CF80" s="255">
        <f>75.01-8.12-0.32-0.02+21.46</f>
        <v>88.010000000000019</v>
      </c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1506</v>
      </c>
      <c r="D111" s="174">
        <v>5143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288">
        <v>357</v>
      </c>
      <c r="D114" s="174">
        <v>524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499+210</f>
        <v>709</v>
      </c>
      <c r="C138" s="189">
        <f>41+223+1</f>
        <v>265</v>
      </c>
      <c r="D138" s="174">
        <f>1506-974</f>
        <v>532</v>
      </c>
      <c r="E138" s="175">
        <f>SUM(B138:D138)</f>
        <v>1506</v>
      </c>
    </row>
    <row r="139" spans="1:6" ht="12.6" customHeight="1" x14ac:dyDescent="0.2">
      <c r="A139" s="173" t="s">
        <v>215</v>
      </c>
      <c r="B139" s="174">
        <f>2004+984</f>
        <v>2988</v>
      </c>
      <c r="C139" s="189">
        <f>141+684+3</f>
        <v>828</v>
      </c>
      <c r="D139" s="174">
        <f>-3816+5143</f>
        <v>1327</v>
      </c>
      <c r="E139" s="175">
        <f>SUM(B139:D139)</f>
        <v>5143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28855193</v>
      </c>
      <c r="C141" s="189">
        <v>11521011</v>
      </c>
      <c r="D141" s="174">
        <f>-40376204+62736581</f>
        <v>22360377</v>
      </c>
      <c r="E141" s="175">
        <f>SUM(B141:D141)</f>
        <v>62736581</v>
      </c>
      <c r="F141" s="199"/>
    </row>
    <row r="142" spans="1:6" ht="12.6" customHeight="1" x14ac:dyDescent="0.2">
      <c r="A142" s="173" t="s">
        <v>246</v>
      </c>
      <c r="B142" s="174">
        <f>56686202+113041+8195560</f>
        <v>64994803</v>
      </c>
      <c r="C142" s="189">
        <f>28949843+114872+5401020</f>
        <v>34465735</v>
      </c>
      <c r="D142" s="174">
        <f>-99460538+155764902+532247+29213617</f>
        <v>86050228</v>
      </c>
      <c r="E142" s="175">
        <f>SUM(B142:D142)</f>
        <v>185510766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288">
        <v>1925686.86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f>-9852.38+625.61</f>
        <v>-9226.7699999999986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288">
        <f>218576.88-967.31+24989</f>
        <v>242598.57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f>2187438.18-330400.49+4.44+137739.17-52859.67+21001.03-20909.76+49547.57+966529</f>
        <v>2958089.47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f>49880.49-39445.06+12091</f>
        <v>22526.43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f>468913.51+348875.93+495523</f>
        <v>1313312.44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f>93969.6+123190+57003</f>
        <v>274162.59999999998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6727149.5999999996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f>981089.38+268560.36+102783.51</f>
        <v>1352433.25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f>126338.6+98569.11</f>
        <v>224907.71000000002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1577340.96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f>281585.37+231605.71</f>
        <v>513191.07999999996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72502.63-36729.38</f>
        <v>35773.250000000007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548964.32999999996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29758.09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f>774534</f>
        <v>774534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804292.09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158075.22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10170.959999999999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168246.18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3268423.02</v>
      </c>
      <c r="C195" s="189"/>
      <c r="D195" s="174"/>
      <c r="E195" s="175">
        <f t="shared" ref="E195:E203" si="10">SUM(B195:C195)-D195</f>
        <v>3268423.02</v>
      </c>
    </row>
    <row r="196" spans="1:8" ht="12.6" customHeight="1" x14ac:dyDescent="0.2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">
      <c r="A197" s="173" t="s">
        <v>334</v>
      </c>
      <c r="B197" s="174">
        <f>56789921.08+16746</f>
        <v>56806667.079999998</v>
      </c>
      <c r="C197" s="189">
        <f>196179.35+6641.57+108627</f>
        <v>311447.92000000004</v>
      </c>
      <c r="D197" s="174"/>
      <c r="E197" s="175">
        <f t="shared" si="10"/>
        <v>57118115</v>
      </c>
    </row>
    <row r="198" spans="1:8" ht="12.6" customHeight="1" x14ac:dyDescent="0.2">
      <c r="A198" s="173" t="s">
        <v>335</v>
      </c>
      <c r="B198" s="289"/>
      <c r="C198" s="189"/>
      <c r="D198" s="174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f>1813323.04+82158+14754</f>
        <v>1910235.04</v>
      </c>
      <c r="C199" s="189">
        <f>7340</f>
        <v>7340</v>
      </c>
      <c r="D199" s="174"/>
      <c r="E199" s="175">
        <f t="shared" si="10"/>
        <v>1917575.04</v>
      </c>
    </row>
    <row r="200" spans="1:8" ht="12.6" customHeight="1" x14ac:dyDescent="0.2">
      <c r="A200" s="173" t="s">
        <v>337</v>
      </c>
      <c r="B200" s="174">
        <f>31355848.03+4124014</f>
        <v>35479862.030000001</v>
      </c>
      <c r="C200" s="189">
        <f>197116.03+208400.15+189341</f>
        <v>594857.17999999993</v>
      </c>
      <c r="D200" s="174">
        <f>28255.92+16938</f>
        <v>45193.919999999998</v>
      </c>
      <c r="E200" s="175">
        <f t="shared" si="10"/>
        <v>36029525.289999999</v>
      </c>
    </row>
    <row r="201" spans="1:8" ht="12.6" customHeight="1" x14ac:dyDescent="0.2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f>2059379</f>
        <v>2059379</v>
      </c>
      <c r="C202" s="189">
        <f>266729</f>
        <v>266729</v>
      </c>
      <c r="D202" s="174">
        <v>3295</v>
      </c>
      <c r="E202" s="175">
        <f t="shared" si="10"/>
        <v>2322813</v>
      </c>
    </row>
    <row r="203" spans="1:8" ht="12.6" customHeight="1" x14ac:dyDescent="0.2">
      <c r="A203" s="173" t="s">
        <v>340</v>
      </c>
      <c r="B203" s="174">
        <f>422947.67+364220+25790</f>
        <v>812957.66999999993</v>
      </c>
      <c r="C203" s="189">
        <f>231096.12+1-339214-16357-567028.16</f>
        <v>-691502.04</v>
      </c>
      <c r="D203" s="174"/>
      <c r="E203" s="175">
        <f t="shared" si="10"/>
        <v>121455.62999999989</v>
      </c>
    </row>
    <row r="204" spans="1:8" ht="12.6" customHeight="1" x14ac:dyDescent="0.2">
      <c r="A204" s="173" t="s">
        <v>203</v>
      </c>
      <c r="B204" s="175">
        <f>SUM(B195:B203)</f>
        <v>100914537.84</v>
      </c>
      <c r="C204" s="191">
        <f>SUM(C195:C203)</f>
        <v>488872.06000000006</v>
      </c>
      <c r="D204" s="175">
        <f>SUM(D195:D203)</f>
        <v>48488.92</v>
      </c>
      <c r="E204" s="175">
        <f>SUM(E195:E203)</f>
        <v>101354920.97999999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439276.31</v>
      </c>
      <c r="C209" s="189">
        <v>53840.65</v>
      </c>
      <c r="D209" s="174"/>
      <c r="E209" s="175">
        <f t="shared" ref="E209:E216" si="11">SUM(B209:C209)-D209</f>
        <v>493116.96</v>
      </c>
      <c r="H209" s="259"/>
    </row>
    <row r="210" spans="1:8" ht="12.6" customHeight="1" x14ac:dyDescent="0.2">
      <c r="A210" s="173" t="s">
        <v>334</v>
      </c>
      <c r="B210" s="174">
        <f>13573872+2721</f>
        <v>13576593</v>
      </c>
      <c r="C210" s="189">
        <f>574490.55+924230.7+12493</f>
        <v>1511214.25</v>
      </c>
      <c r="D210" s="174"/>
      <c r="E210" s="175">
        <f t="shared" si="11"/>
        <v>15087807.25</v>
      </c>
      <c r="H210" s="259"/>
    </row>
    <row r="211" spans="1:8" ht="12.6" customHeight="1" x14ac:dyDescent="0.2">
      <c r="A211" s="173" t="s">
        <v>335</v>
      </c>
      <c r="B211" s="174">
        <f>1070629.29+46785</f>
        <v>1117414.29</v>
      </c>
      <c r="C211" s="189">
        <f>96183.6+8632</f>
        <v>104815.6</v>
      </c>
      <c r="D211" s="174"/>
      <c r="E211" s="175">
        <f t="shared" si="11"/>
        <v>1222229.8900000001</v>
      </c>
      <c r="H211" s="259"/>
    </row>
    <row r="212" spans="1:8" ht="12.6" customHeight="1" x14ac:dyDescent="0.2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">
      <c r="A213" s="173" t="s">
        <v>337</v>
      </c>
      <c r="B213" s="174">
        <f>25441354.1+2346153</f>
        <v>27787507.100000001</v>
      </c>
      <c r="C213" s="189">
        <f>2033578.44-8457.71+414433+1762+30000</f>
        <v>2471315.73</v>
      </c>
      <c r="D213" s="174">
        <f>28255.92-30000+1762+30000</f>
        <v>30017.919999999998</v>
      </c>
      <c r="E213" s="175">
        <f t="shared" si="11"/>
        <v>30228804.91</v>
      </c>
      <c r="H213" s="259"/>
    </row>
    <row r="214" spans="1:8" ht="12.6" customHeight="1" x14ac:dyDescent="0.2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f>1029218</f>
        <v>1029218</v>
      </c>
      <c r="C215" s="189">
        <f>231695</f>
        <v>231695</v>
      </c>
      <c r="D215" s="174"/>
      <c r="E215" s="175">
        <f t="shared" si="11"/>
        <v>1260913</v>
      </c>
      <c r="H215" s="259"/>
    </row>
    <row r="216" spans="1:8" ht="12.6" customHeight="1" x14ac:dyDescent="0.2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43950008.700000003</v>
      </c>
      <c r="C217" s="175">
        <f>SUM(C208:C216)</f>
        <v>4372881.2300000004</v>
      </c>
      <c r="D217" s="175">
        <f>SUM(D208:D216)</f>
        <v>30017.919999999998</v>
      </c>
      <c r="E217" s="175">
        <f>SUM(E208:E216)</f>
        <v>48292872.010000005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92" t="s">
        <v>1255</v>
      </c>
      <c r="C220" s="292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5012509.76</v>
      </c>
      <c r="D221" s="172">
        <f>C221</f>
        <v>5012509.76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f>19968504.73-840484-865643.54+369451+805344+44834124.88+70464.18+5349315.83</f>
        <v>69691077.080000013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f>8189806.27-73575.88-76235.7+23319112.13+76598.79+3805336.72</f>
        <v>35241042.329999998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f>491392.67+8346.81+4928807.97+680781.37</f>
        <v>6109328.8199999994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f>164163982.01-C223-C224-C228-C226</f>
        <v>49878494.919999979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f>917372.62+1972052.63+7003.09+347610.52</f>
        <v>3244038.86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164163982.00999999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1822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1147192.75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f>1962412.5+150939.4</f>
        <v>2113351.9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3260544.65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172437036.41999999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f>7806864.77-903969.22</f>
        <v>6902895.5499999998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f>28096229.58+3054410</f>
        <v>31150639.579999998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f>17545228.98+2669999.49+1900980.33</f>
        <v>22116208.799999997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f>50543.51+73266.7</f>
        <v>123810.20999999999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f>1228774.26+62827.81</f>
        <v>1291602.07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f>67608.01</f>
        <v>67608.009999999995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17420346.619999997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>23757816.34+33249680.16-14754-0.3+16746+108627</f>
        <v>57118115.200000003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288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f>1813322.77+82158+7340+14754</f>
        <v>1917574.77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f>31733108.44+4124014+189341-16938</f>
        <v>36029525.439999998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f>2059379+266729-3295</f>
        <v>2322813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f>41275+45741.6+364220-339214+25790-16357</f>
        <v>121455.59999999998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101354920.81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44200742.02+4092129.21</f>
        <v>48292871.230000004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53062049.579999998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f>58235856.45+2430</f>
        <v>58238286.450000003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58238286.450000003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f>412804</f>
        <v>412804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f>37811</f>
        <v>37811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450615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129171297.64999999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1224121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f>1949229.93+638680</f>
        <v>2587909.9299999997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-9234965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57258.23+81306</f>
        <v>138564.23000000001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-5284369.84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f>581345</f>
        <v>581345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581345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139988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f>57258+14356+34643+43046</f>
        <v>149303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289291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138564.23000000001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150726.76999999999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f>132284782.96+1438813</f>
        <v>133723595.95999999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129171297.88999999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129171297.64999999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62736580.859999999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f>155764902.45+532247.34+29213616.81</f>
        <v>185510766.59999999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248247347.45999998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5012509.76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164163982.00999999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3260544.65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172437036.41999999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75810311.039999992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f>725280.22+339.84</f>
        <v>725620.05999999994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725620.05999999994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76535931.099999994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f>29408251.42+578079.66</f>
        <v>29986331.080000002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6727149.8600000003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2540556.7799999998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6312024.7300000004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556384.34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288">
        <f>9190.84+12186668.28+636835.15+3579521.1</f>
        <v>16412215.369999999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288">
        <v>4372880.93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1577340.96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548964.32999999996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29758.09+774534</f>
        <v>804292.09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168246.18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f>51618.15+35408.2+72581.51+710.82+723.39+7230.35-186.87+306413.97-29758.09+20155.86</f>
        <v>464897.29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70471283.940000013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6064647.1599999815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f>3621637.56-288090.39</f>
        <v>3333547.17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9398194.3299999814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9398194.3299999814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St. Elizabeth Hospital   H-0     FYE 06/30/2019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1506</v>
      </c>
      <c r="C414" s="194">
        <f>E138</f>
        <v>1506</v>
      </c>
      <c r="D414" s="179"/>
    </row>
    <row r="415" spans="1:5" ht="12.6" customHeight="1" x14ac:dyDescent="0.2">
      <c r="A415" s="179" t="s">
        <v>464</v>
      </c>
      <c r="B415" s="179">
        <f>D111</f>
        <v>5143</v>
      </c>
      <c r="C415" s="179">
        <f>E139</f>
        <v>5143</v>
      </c>
      <c r="D415" s="194">
        <f>SUM(C59:H59)+N59</f>
        <v>5143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357</v>
      </c>
    </row>
    <row r="424" spans="1:7" ht="12.6" customHeight="1" x14ac:dyDescent="0.2">
      <c r="A424" s="179" t="s">
        <v>1244</v>
      </c>
      <c r="B424" s="179">
        <f>D114</f>
        <v>524</v>
      </c>
      <c r="D424" s="179">
        <f>J59</f>
        <v>524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29986331.080000002</v>
      </c>
      <c r="C427" s="179">
        <f t="shared" ref="C427:C434" si="13">CE61</f>
        <v>29986331.309999995</v>
      </c>
      <c r="D427" s="179"/>
    </row>
    <row r="428" spans="1:7" ht="12.6" customHeight="1" x14ac:dyDescent="0.2">
      <c r="A428" s="179" t="s">
        <v>3</v>
      </c>
      <c r="B428" s="179">
        <f t="shared" si="12"/>
        <v>6727149.8600000003</v>
      </c>
      <c r="C428" s="179">
        <f t="shared" si="13"/>
        <v>6727150</v>
      </c>
      <c r="D428" s="179">
        <f>D173</f>
        <v>6727149.5999999996</v>
      </c>
    </row>
    <row r="429" spans="1:7" ht="12.6" customHeight="1" x14ac:dyDescent="0.2">
      <c r="A429" s="179" t="s">
        <v>236</v>
      </c>
      <c r="B429" s="179">
        <f t="shared" si="12"/>
        <v>2540556.7799999998</v>
      </c>
      <c r="C429" s="179">
        <f t="shared" si="13"/>
        <v>2540556.9299999997</v>
      </c>
      <c r="D429" s="179"/>
    </row>
    <row r="430" spans="1:7" ht="12.6" customHeight="1" x14ac:dyDescent="0.2">
      <c r="A430" s="179" t="s">
        <v>237</v>
      </c>
      <c r="B430" s="179">
        <f t="shared" si="12"/>
        <v>6312024.7300000004</v>
      </c>
      <c r="C430" s="179">
        <f t="shared" si="13"/>
        <v>6312025</v>
      </c>
      <c r="D430" s="179"/>
    </row>
    <row r="431" spans="1:7" ht="12.6" customHeight="1" x14ac:dyDescent="0.2">
      <c r="A431" s="179" t="s">
        <v>444</v>
      </c>
      <c r="B431" s="179">
        <f t="shared" si="12"/>
        <v>556384.34</v>
      </c>
      <c r="C431" s="179">
        <f t="shared" si="13"/>
        <v>556384.34</v>
      </c>
      <c r="D431" s="179"/>
    </row>
    <row r="432" spans="1:7" ht="12.6" customHeight="1" x14ac:dyDescent="0.2">
      <c r="A432" s="179" t="s">
        <v>445</v>
      </c>
      <c r="B432" s="179">
        <f t="shared" si="12"/>
        <v>16412215.369999999</v>
      </c>
      <c r="C432" s="179">
        <f t="shared" si="13"/>
        <v>16412216.085950296</v>
      </c>
      <c r="D432" s="179"/>
    </row>
    <row r="433" spans="1:6" ht="12.6" customHeight="1" x14ac:dyDescent="0.2">
      <c r="A433" s="179" t="s">
        <v>6</v>
      </c>
      <c r="B433" s="194">
        <f t="shared" si="12"/>
        <v>4372880.93</v>
      </c>
      <c r="C433" s="194">
        <f t="shared" si="13"/>
        <v>4372883</v>
      </c>
      <c r="D433" s="194">
        <f>C217</f>
        <v>4372881.2300000004</v>
      </c>
    </row>
    <row r="434" spans="1:6" ht="12.6" customHeight="1" x14ac:dyDescent="0.2">
      <c r="A434" s="179" t="s">
        <v>474</v>
      </c>
      <c r="B434" s="179">
        <f t="shared" si="12"/>
        <v>1577340.96</v>
      </c>
      <c r="C434" s="179">
        <f t="shared" si="13"/>
        <v>1577340.9</v>
      </c>
      <c r="D434" s="179">
        <f>D177</f>
        <v>1577340.96</v>
      </c>
    </row>
    <row r="435" spans="1:6" ht="12.6" customHeight="1" x14ac:dyDescent="0.2">
      <c r="A435" s="179" t="s">
        <v>447</v>
      </c>
      <c r="B435" s="179">
        <f t="shared" si="12"/>
        <v>548964.32999999996</v>
      </c>
      <c r="C435" s="179"/>
      <c r="D435" s="179">
        <f>D181</f>
        <v>548964.32999999996</v>
      </c>
    </row>
    <row r="436" spans="1:6" ht="12.6" customHeight="1" x14ac:dyDescent="0.2">
      <c r="A436" s="179" t="s">
        <v>475</v>
      </c>
      <c r="B436" s="179">
        <f t="shared" si="12"/>
        <v>804292.09</v>
      </c>
      <c r="C436" s="179"/>
      <c r="D436" s="179">
        <f>D186</f>
        <v>804292.09</v>
      </c>
    </row>
    <row r="437" spans="1:6" ht="12.6" customHeight="1" x14ac:dyDescent="0.2">
      <c r="A437" s="194" t="s">
        <v>449</v>
      </c>
      <c r="B437" s="194">
        <f t="shared" si="12"/>
        <v>168246.18</v>
      </c>
      <c r="C437" s="194"/>
      <c r="D437" s="194">
        <f>D190</f>
        <v>168246.18</v>
      </c>
    </row>
    <row r="438" spans="1:6" ht="12.6" customHeight="1" x14ac:dyDescent="0.2">
      <c r="A438" s="194" t="s">
        <v>476</v>
      </c>
      <c r="B438" s="194">
        <f>C386+C387+C388</f>
        <v>1521502.5999999999</v>
      </c>
      <c r="C438" s="194">
        <f>CD69</f>
        <v>1521503</v>
      </c>
      <c r="D438" s="194">
        <f>D181+D186+D190</f>
        <v>1521502.5999999999</v>
      </c>
    </row>
    <row r="439" spans="1:6" ht="12.6" customHeight="1" x14ac:dyDescent="0.2">
      <c r="A439" s="179" t="s">
        <v>451</v>
      </c>
      <c r="B439" s="194">
        <f>C389</f>
        <v>464897.29</v>
      </c>
      <c r="C439" s="194">
        <f>SUM(C69:CC69)</f>
        <v>464896.8899999999</v>
      </c>
      <c r="D439" s="179"/>
    </row>
    <row r="440" spans="1:6" ht="12.6" customHeight="1" x14ac:dyDescent="0.2">
      <c r="A440" s="179" t="s">
        <v>477</v>
      </c>
      <c r="B440" s="194">
        <f>B438+B439</f>
        <v>1986399.89</v>
      </c>
      <c r="C440" s="194">
        <f>CE69</f>
        <v>1986399.89</v>
      </c>
      <c r="D440" s="179"/>
    </row>
    <row r="441" spans="1:6" ht="12.6" customHeight="1" x14ac:dyDescent="0.2">
      <c r="A441" s="179" t="s">
        <v>478</v>
      </c>
      <c r="B441" s="194">
        <f>D390</f>
        <v>70471283.940000013</v>
      </c>
      <c r="C441" s="194">
        <f>SUM(C427:C437)+C440</f>
        <v>70471287.455950305</v>
      </c>
      <c r="D441" s="179"/>
      <c r="E441" s="180">
        <f>B441-C441</f>
        <v>-3.5159502923488617</v>
      </c>
    </row>
    <row r="442" spans="1:6" ht="12.6" customHeight="1" x14ac:dyDescent="0.2">
      <c r="A442" s="206"/>
      <c r="B442" s="206"/>
      <c r="C442" s="206"/>
      <c r="D442" s="206"/>
      <c r="F442" s="206"/>
    </row>
    <row r="443" spans="1:6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6" ht="12.6" customHeight="1" x14ac:dyDescent="0.2">
      <c r="A444" s="179" t="s">
        <v>1257</v>
      </c>
      <c r="B444" s="179">
        <f>D221</f>
        <v>5012509.76</v>
      </c>
      <c r="C444" s="179">
        <f>C363</f>
        <v>5012509.76</v>
      </c>
      <c r="D444" s="179"/>
    </row>
    <row r="445" spans="1:6" ht="12.6" customHeight="1" x14ac:dyDescent="0.2">
      <c r="A445" s="179" t="s">
        <v>343</v>
      </c>
      <c r="B445" s="179">
        <f>D229</f>
        <v>164163982.00999999</v>
      </c>
      <c r="C445" s="179">
        <f>C364</f>
        <v>164163982.00999999</v>
      </c>
      <c r="D445" s="179"/>
    </row>
    <row r="446" spans="1:6" ht="12.6" customHeight="1" x14ac:dyDescent="0.2">
      <c r="A446" s="179" t="s">
        <v>351</v>
      </c>
      <c r="B446" s="179">
        <f>D236</f>
        <v>3260544.65</v>
      </c>
      <c r="C446" s="179">
        <f>C365</f>
        <v>3260544.65</v>
      </c>
      <c r="D446" s="179"/>
    </row>
    <row r="447" spans="1:6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6" ht="12.6" customHeight="1" x14ac:dyDescent="0.2">
      <c r="A448" s="179" t="s">
        <v>358</v>
      </c>
      <c r="B448" s="179">
        <f>D242</f>
        <v>172437036.41999999</v>
      </c>
      <c r="C448" s="179">
        <f>D367</f>
        <v>172437036.41999999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1822</v>
      </c>
    </row>
    <row r="454" spans="1:7" ht="12.6" customHeight="1" x14ac:dyDescent="0.2">
      <c r="A454" s="179" t="s">
        <v>168</v>
      </c>
      <c r="B454" s="179">
        <f>C233</f>
        <v>1147192.75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2113351.9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725620.05999999994</v>
      </c>
      <c r="C458" s="194">
        <f>CE70</f>
        <v>725620.06000000017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62736580.859999999</v>
      </c>
      <c r="C463" s="194">
        <f>CE73</f>
        <v>62736581.159999989</v>
      </c>
      <c r="D463" s="194">
        <f>E141+E147+E153</f>
        <v>62736581</v>
      </c>
    </row>
    <row r="464" spans="1:7" ht="12.6" customHeight="1" x14ac:dyDescent="0.2">
      <c r="A464" s="179" t="s">
        <v>246</v>
      </c>
      <c r="B464" s="194">
        <f>C360</f>
        <v>185510766.59999999</v>
      </c>
      <c r="C464" s="194">
        <f>CE74</f>
        <v>185510766.67999998</v>
      </c>
      <c r="D464" s="194">
        <f>E142+E148+E154</f>
        <v>185510766</v>
      </c>
    </row>
    <row r="465" spans="1:7" ht="12.6" customHeight="1" x14ac:dyDescent="0.2">
      <c r="A465" s="179" t="s">
        <v>247</v>
      </c>
      <c r="B465" s="194">
        <f>D361</f>
        <v>248247347.45999998</v>
      </c>
      <c r="C465" s="194">
        <f>CE75-1</f>
        <v>248247346.83999997</v>
      </c>
      <c r="D465" s="194">
        <f>D463+D464</f>
        <v>248247347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" customHeight="1" x14ac:dyDescent="0.2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">
      <c r="A470" s="179" t="s">
        <v>334</v>
      </c>
      <c r="B470" s="179">
        <f t="shared" si="14"/>
        <v>57118115.200000003</v>
      </c>
      <c r="C470" s="179">
        <f>E197</f>
        <v>57118115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1917574.77</v>
      </c>
      <c r="C472" s="179">
        <f>E199</f>
        <v>1917575.04</v>
      </c>
      <c r="D472" s="179"/>
    </row>
    <row r="473" spans="1:7" ht="12.6" customHeight="1" x14ac:dyDescent="0.2">
      <c r="A473" s="179" t="s">
        <v>495</v>
      </c>
      <c r="B473" s="179">
        <f t="shared" si="14"/>
        <v>36029525.439999998</v>
      </c>
      <c r="C473" s="179">
        <f>SUM(E200:E201)</f>
        <v>36029525.289999999</v>
      </c>
      <c r="D473" s="179"/>
    </row>
    <row r="474" spans="1:7" ht="12.6" customHeight="1" x14ac:dyDescent="0.2">
      <c r="A474" s="179" t="s">
        <v>339</v>
      </c>
      <c r="B474" s="179">
        <f t="shared" si="14"/>
        <v>2322813</v>
      </c>
      <c r="C474" s="179">
        <f>E202</f>
        <v>2322813</v>
      </c>
      <c r="D474" s="179"/>
    </row>
    <row r="475" spans="1:7" ht="12.6" customHeight="1" x14ac:dyDescent="0.2">
      <c r="A475" s="179" t="s">
        <v>340</v>
      </c>
      <c r="B475" s="179">
        <f t="shared" si="14"/>
        <v>121455.59999999998</v>
      </c>
      <c r="C475" s="179">
        <f>E203</f>
        <v>121455.62999999989</v>
      </c>
      <c r="D475" s="179"/>
    </row>
    <row r="476" spans="1:7" ht="12.6" customHeight="1" x14ac:dyDescent="0.2">
      <c r="A476" s="179" t="s">
        <v>203</v>
      </c>
      <c r="B476" s="194">
        <f>D275</f>
        <v>101354920.81</v>
      </c>
      <c r="C476" s="194">
        <f>E204</f>
        <v>101354920.97999999</v>
      </c>
      <c r="D476" s="179"/>
    </row>
    <row r="477" spans="1:7" ht="12.6" customHeight="1" x14ac:dyDescent="0.2">
      <c r="A477" s="179"/>
      <c r="B477" s="194"/>
      <c r="C477" s="194"/>
      <c r="D477" s="179"/>
    </row>
    <row r="478" spans="1:7" ht="12.6" customHeight="1" x14ac:dyDescent="0.2">
      <c r="A478" s="179" t="s">
        <v>496</v>
      </c>
      <c r="B478" s="194">
        <f>C276</f>
        <v>48292871.230000004</v>
      </c>
      <c r="C478" s="194">
        <f>E217</f>
        <v>48292872.010000005</v>
      </c>
      <c r="D478" s="179"/>
    </row>
    <row r="479" spans="1:7" ht="12.6" customHeight="1" x14ac:dyDescent="0.2">
      <c r="B479" s="234"/>
      <c r="C479" s="234"/>
    </row>
    <row r="480" spans="1:7" ht="12.6" customHeight="1" x14ac:dyDescent="0.2">
      <c r="A480" s="180" t="s">
        <v>497</v>
      </c>
      <c r="B480" s="234"/>
      <c r="C480" s="234"/>
    </row>
    <row r="481" spans="1:12" ht="12.6" customHeight="1" x14ac:dyDescent="0.2">
      <c r="A481" s="180" t="s">
        <v>498</v>
      </c>
      <c r="B481" s="234"/>
      <c r="C481" s="234">
        <f>D341</f>
        <v>129171297.64999999</v>
      </c>
    </row>
    <row r="482" spans="1:12" ht="12.6" customHeight="1" x14ac:dyDescent="0.2">
      <c r="A482" s="180" t="s">
        <v>499</v>
      </c>
      <c r="B482" s="234"/>
      <c r="C482" s="234">
        <f>D339</f>
        <v>129171297.88999999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035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6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v>5353850.5900000008</v>
      </c>
      <c r="C498" s="240">
        <f>E71</f>
        <v>5247745.7302500019</v>
      </c>
      <c r="D498" s="240">
        <v>5627</v>
      </c>
      <c r="E498" s="180">
        <f>E59</f>
        <v>5143</v>
      </c>
      <c r="F498" s="263">
        <f t="shared" si="15"/>
        <v>951.45736449262495</v>
      </c>
      <c r="G498" s="263">
        <f t="shared" si="15"/>
        <v>1020.3666595858452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v>0</v>
      </c>
      <c r="C500" s="240">
        <f>G71</f>
        <v>11978.464750000001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v>3704</v>
      </c>
      <c r="C503" s="240">
        <f>J71</f>
        <v>0</v>
      </c>
      <c r="D503" s="240">
        <v>0</v>
      </c>
      <c r="E503" s="180">
        <f>J59</f>
        <v>524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v>1922687.6600000001</v>
      </c>
      <c r="C508" s="240">
        <f>O71</f>
        <v>2055503.9400000002</v>
      </c>
      <c r="D508" s="240">
        <v>1219</v>
      </c>
      <c r="E508" s="180">
        <f>O59</f>
        <v>1165</v>
      </c>
      <c r="F508" s="263">
        <f t="shared" si="15"/>
        <v>1577.2663330598853</v>
      </c>
      <c r="G508" s="263">
        <f t="shared" si="15"/>
        <v>1764.3810643776826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v>7192752.5668000001</v>
      </c>
      <c r="C509" s="240">
        <f>P71</f>
        <v>7162807.1215000013</v>
      </c>
      <c r="D509" s="240">
        <v>143610</v>
      </c>
      <c r="E509" s="180">
        <f>P59</f>
        <v>156330</v>
      </c>
      <c r="F509" s="263">
        <f t="shared" si="15"/>
        <v>50.085318339948472</v>
      </c>
      <c r="G509" s="263">
        <f t="shared" si="15"/>
        <v>45.818506502270843</v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v>1533602.2</v>
      </c>
      <c r="C510" s="240">
        <f>Q71</f>
        <v>1532860.09</v>
      </c>
      <c r="D510" s="240">
        <v>6338</v>
      </c>
      <c r="E510" s="180">
        <f>Q59</f>
        <v>7002</v>
      </c>
      <c r="F510" s="263">
        <f t="shared" si="15"/>
        <v>241.96942253076679</v>
      </c>
      <c r="G510" s="263">
        <f t="shared" si="15"/>
        <v>218.91746500999716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v>2063999.57</v>
      </c>
      <c r="C511" s="240">
        <f>R71</f>
        <v>278029.60999999993</v>
      </c>
      <c r="D511" s="240">
        <v>143430</v>
      </c>
      <c r="E511" s="180">
        <f>R59</f>
        <v>156090</v>
      </c>
      <c r="F511" s="263">
        <f t="shared" si="15"/>
        <v>14.390291919403193</v>
      </c>
      <c r="G511" s="263">
        <f t="shared" si="15"/>
        <v>1.7812134665897874</v>
      </c>
      <c r="H511" s="265">
        <f t="shared" si="16"/>
        <v>-0.87622117212312545</v>
      </c>
      <c r="I511" s="267" t="s">
        <v>1279</v>
      </c>
      <c r="K511" s="261"/>
      <c r="L511" s="261"/>
    </row>
    <row r="512" spans="1:12" ht="12.6" customHeight="1" x14ac:dyDescent="0.2">
      <c r="A512" s="180" t="s">
        <v>528</v>
      </c>
      <c r="B512" s="240">
        <v>377675.69520919997</v>
      </c>
      <c r="C512" s="240">
        <f>S71</f>
        <v>431682.87544525001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v>40868.339999999997</v>
      </c>
      <c r="C513" s="240">
        <f>T71</f>
        <v>72241.908500000005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v>1958486.0399999998</v>
      </c>
      <c r="C514" s="240">
        <f>U71</f>
        <v>2031263.5699999998</v>
      </c>
      <c r="D514" s="240">
        <v>87689</v>
      </c>
      <c r="E514" s="180">
        <f>U59</f>
        <v>86125</v>
      </c>
      <c r="F514" s="263">
        <f t="shared" si="17"/>
        <v>22.334455176818071</v>
      </c>
      <c r="G514" s="263">
        <f t="shared" si="17"/>
        <v>23.585063222060956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v>665784.6</v>
      </c>
      <c r="C516" s="240">
        <f>W71</f>
        <v>586559.12000000011</v>
      </c>
      <c r="D516" s="240">
        <v>1190</v>
      </c>
      <c r="E516" s="180">
        <f>W59</f>
        <v>1389</v>
      </c>
      <c r="F516" s="263">
        <f t="shared" si="17"/>
        <v>559.48285714285714</v>
      </c>
      <c r="G516" s="263">
        <f t="shared" si="17"/>
        <v>422.28878329733629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v>747599.6</v>
      </c>
      <c r="C517" s="240">
        <f>X71</f>
        <v>790098.48</v>
      </c>
      <c r="D517" s="240">
        <v>4979</v>
      </c>
      <c r="E517" s="180">
        <f>X59</f>
        <v>5244</v>
      </c>
      <c r="F517" s="263">
        <f t="shared" si="17"/>
        <v>150.15055231974293</v>
      </c>
      <c r="G517" s="263">
        <f t="shared" si="17"/>
        <v>150.6671395881007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v>325178</v>
      </c>
      <c r="C518" s="240">
        <f>Y71</f>
        <v>1897392.6099999999</v>
      </c>
      <c r="D518" s="240">
        <v>0</v>
      </c>
      <c r="E518" s="180">
        <f>Y59</f>
        <v>17113</v>
      </c>
      <c r="F518" s="263" t="str">
        <f t="shared" si="17"/>
        <v/>
      </c>
      <c r="G518" s="263">
        <f t="shared" si="17"/>
        <v>110.87434172851049</v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v>1604266.58</v>
      </c>
      <c r="C519" s="240">
        <f>Z71</f>
        <v>0</v>
      </c>
      <c r="D519" s="240">
        <v>15686</v>
      </c>
      <c r="E519" s="180">
        <f>Z59</f>
        <v>0</v>
      </c>
      <c r="F519" s="263">
        <f t="shared" si="17"/>
        <v>102.27378426622467</v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v>263187.02</v>
      </c>
      <c r="C520" s="240">
        <f>AA71</f>
        <v>288605.42</v>
      </c>
      <c r="D520" s="240">
        <v>251</v>
      </c>
      <c r="E520" s="180">
        <f>AA59</f>
        <v>347</v>
      </c>
      <c r="F520" s="263">
        <f t="shared" si="17"/>
        <v>1048.5538645418328</v>
      </c>
      <c r="G520" s="263">
        <f t="shared" si="17"/>
        <v>831.71590778097982</v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v>1999960.01</v>
      </c>
      <c r="C521" s="240">
        <f>AB71</f>
        <v>1990191.68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v>671091.19000000006</v>
      </c>
      <c r="C522" s="240">
        <f>AC71</f>
        <v>691589.66999999993</v>
      </c>
      <c r="D522" s="240">
        <v>12519</v>
      </c>
      <c r="E522" s="180">
        <f>AC59</f>
        <v>11609</v>
      </c>
      <c r="F522" s="263">
        <f t="shared" si="17"/>
        <v>53.605814362169504</v>
      </c>
      <c r="G522" s="263">
        <f t="shared" si="17"/>
        <v>59.573578258247906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v>139841.74</v>
      </c>
      <c r="C524" s="240">
        <f>AE71</f>
        <v>133237.20999999996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v>3383416.7500000005</v>
      </c>
      <c r="C526" s="240">
        <f>AG71</f>
        <v>3609521.5616000001</v>
      </c>
      <c r="D526" s="240">
        <v>13761</v>
      </c>
      <c r="E526" s="180">
        <f>AG59</f>
        <v>14985</v>
      </c>
      <c r="F526" s="263">
        <f t="shared" si="17"/>
        <v>245.86997674587607</v>
      </c>
      <c r="G526" s="263">
        <f t="shared" si="17"/>
        <v>240.87564641975308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v>1022</v>
      </c>
      <c r="C529" s="240">
        <f>AJ71</f>
        <v>18657135.259999998</v>
      </c>
      <c r="D529" s="240">
        <v>0</v>
      </c>
      <c r="E529" s="180">
        <f>AJ59</f>
        <v>101240.3</v>
      </c>
      <c r="F529" s="263" t="str">
        <f t="shared" si="18"/>
        <v/>
      </c>
      <c r="G529" s="263">
        <f t="shared" si="18"/>
        <v>184.28565758892455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v>82459.67</v>
      </c>
      <c r="C530" s="240">
        <f>AK71</f>
        <v>66540.460000000006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v>22173.759999999998</v>
      </c>
      <c r="C531" s="240">
        <f>AL71</f>
        <v>21467.82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v>576138.66440000013</v>
      </c>
      <c r="C541" s="240">
        <f>AV71</f>
        <v>230421.08142</v>
      </c>
      <c r="D541" s="181" t="s">
        <v>529</v>
      </c>
      <c r="E541" s="181" t="s">
        <v>529</v>
      </c>
      <c r="F541" s="263"/>
      <c r="G541" s="263"/>
      <c r="H541" s="265" t="str">
        <f t="shared" si="16"/>
        <v/>
      </c>
      <c r="I541" s="267"/>
      <c r="K541" s="261"/>
      <c r="L541" s="261"/>
    </row>
    <row r="542" spans="1:12" ht="12.6" customHeight="1" x14ac:dyDescent="0.2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 t="str">
        <f t="shared" si="16"/>
        <v/>
      </c>
      <c r="I542" s="267"/>
      <c r="K542" s="261"/>
      <c r="L542" s="261"/>
    </row>
    <row r="543" spans="1:12" ht="12.6" customHeight="1" x14ac:dyDescent="0.2">
      <c r="A543" s="180" t="s">
        <v>557</v>
      </c>
      <c r="B543" s="240">
        <v>123.5474</v>
      </c>
      <c r="C543" s="240">
        <f>AX71</f>
        <v>19488.455999999998</v>
      </c>
      <c r="D543" s="181" t="s">
        <v>529</v>
      </c>
      <c r="E543" s="181" t="s">
        <v>529</v>
      </c>
      <c r="F543" s="263"/>
      <c r="G543" s="263"/>
      <c r="H543" s="265" t="str">
        <f t="shared" si="16"/>
        <v/>
      </c>
      <c r="I543" s="267"/>
      <c r="K543" s="261"/>
      <c r="L543" s="261"/>
    </row>
    <row r="544" spans="1:12" ht="12.6" customHeight="1" x14ac:dyDescent="0.2">
      <c r="A544" s="180" t="s">
        <v>558</v>
      </c>
      <c r="B544" s="240">
        <v>975836.29000000015</v>
      </c>
      <c r="C544" s="240">
        <f>AY71</f>
        <v>1047690.1399999999</v>
      </c>
      <c r="D544" s="240">
        <v>26585</v>
      </c>
      <c r="E544" s="180">
        <f>AY59</f>
        <v>24945</v>
      </c>
      <c r="F544" s="263">
        <f t="shared" ref="F544:G550" si="19">IF(B544=0,"",IF(D544=0,"",B544/D544))</f>
        <v>36.706273838630814</v>
      </c>
      <c r="G544" s="263">
        <f t="shared" si="19"/>
        <v>42.000005612347159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v>27471</v>
      </c>
      <c r="C545" s="240">
        <f>AZ71</f>
        <v>0</v>
      </c>
      <c r="D545" s="240">
        <v>26585</v>
      </c>
      <c r="E545" s="180">
        <f>AZ59</f>
        <v>101157</v>
      </c>
      <c r="F545" s="263">
        <f t="shared" si="19"/>
        <v>1.0333270641339101</v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v>3704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 t="str">
        <f t="shared" si="16"/>
        <v/>
      </c>
      <c r="I547" s="267"/>
      <c r="K547" s="261"/>
      <c r="L547" s="261"/>
    </row>
    <row r="548" spans="1:13" ht="12.6" customHeight="1" x14ac:dyDescent="0.2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 t="str">
        <f t="shared" si="16"/>
        <v/>
      </c>
      <c r="I548" s="267"/>
      <c r="K548" s="261"/>
      <c r="L548" s="261"/>
    </row>
    <row r="549" spans="1:13" ht="12.6" customHeight="1" x14ac:dyDescent="0.2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 t="str">
        <f t="shared" si="16"/>
        <v/>
      </c>
      <c r="I549" s="267"/>
      <c r="K549" s="261"/>
      <c r="L549" s="261"/>
    </row>
    <row r="550" spans="1:13" ht="12.6" customHeight="1" x14ac:dyDescent="0.2">
      <c r="A550" s="180" t="s">
        <v>564</v>
      </c>
      <c r="B550" s="240">
        <v>2523235.7611999996</v>
      </c>
      <c r="C550" s="240">
        <f>BE71</f>
        <v>2588641.3619999993</v>
      </c>
      <c r="D550" s="240">
        <v>101299</v>
      </c>
      <c r="E550" s="180">
        <f>BE59</f>
        <v>100342</v>
      </c>
      <c r="F550" s="263">
        <f t="shared" si="19"/>
        <v>24.90879239874036</v>
      </c>
      <c r="G550" s="263">
        <f t="shared" si="19"/>
        <v>25.798183831296956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v>929711.29999999993</v>
      </c>
      <c r="C551" s="240">
        <f>BF71</f>
        <v>949029.59000000008</v>
      </c>
      <c r="D551" s="181" t="s">
        <v>529</v>
      </c>
      <c r="E551" s="181" t="s">
        <v>529</v>
      </c>
      <c r="F551" s="263"/>
      <c r="G551" s="263"/>
      <c r="H551" s="265" t="str">
        <f t="shared" si="16"/>
        <v/>
      </c>
      <c r="I551" s="267"/>
      <c r="J551" s="199"/>
      <c r="M551" s="265"/>
    </row>
    <row r="552" spans="1:13" ht="12.6" customHeight="1" x14ac:dyDescent="0.2">
      <c r="A552" s="180" t="s">
        <v>566</v>
      </c>
      <c r="B552" s="240">
        <v>34620.198400000001</v>
      </c>
      <c r="C552" s="240">
        <f>BG71</f>
        <v>115061.53825</v>
      </c>
      <c r="D552" s="181" t="s">
        <v>529</v>
      </c>
      <c r="E552" s="181" t="s">
        <v>529</v>
      </c>
      <c r="F552" s="263"/>
      <c r="G552" s="263"/>
      <c r="H552" s="265" t="str">
        <f t="shared" si="16"/>
        <v/>
      </c>
      <c r="J552" s="199"/>
      <c r="M552" s="265"/>
    </row>
    <row r="553" spans="1:13" ht="12.6" customHeight="1" x14ac:dyDescent="0.2">
      <c r="A553" s="180" t="s">
        <v>567</v>
      </c>
      <c r="B553" s="240">
        <v>397409.11599999998</v>
      </c>
      <c r="C553" s="240">
        <f>BH71</f>
        <v>701073.65500000003</v>
      </c>
      <c r="D553" s="181" t="s">
        <v>529</v>
      </c>
      <c r="E553" s="181" t="s">
        <v>529</v>
      </c>
      <c r="F553" s="263"/>
      <c r="G553" s="263"/>
      <c r="H553" s="265" t="str">
        <f t="shared" si="16"/>
        <v/>
      </c>
      <c r="J553" s="199"/>
      <c r="M553" s="265"/>
    </row>
    <row r="554" spans="1:13" ht="12.6" customHeight="1" x14ac:dyDescent="0.2">
      <c r="A554" s="180" t="s">
        <v>568</v>
      </c>
      <c r="B554" s="240">
        <v>13297.49</v>
      </c>
      <c r="C554" s="240">
        <f>BI71</f>
        <v>-0.17000000000007276</v>
      </c>
      <c r="D554" s="181" t="s">
        <v>529</v>
      </c>
      <c r="E554" s="181" t="s">
        <v>529</v>
      </c>
      <c r="F554" s="263"/>
      <c r="G554" s="263"/>
      <c r="H554" s="265" t="str">
        <f t="shared" si="16"/>
        <v/>
      </c>
      <c r="J554" s="199"/>
      <c r="M554" s="265"/>
    </row>
    <row r="555" spans="1:13" ht="12.6" customHeight="1" x14ac:dyDescent="0.2">
      <c r="A555" s="180" t="s">
        <v>569</v>
      </c>
      <c r="B555" s="240">
        <v>104756.78512962</v>
      </c>
      <c r="C555" s="240">
        <f>BJ71</f>
        <v>87264.259249999988</v>
      </c>
      <c r="D555" s="181" t="s">
        <v>529</v>
      </c>
      <c r="E555" s="181" t="s">
        <v>529</v>
      </c>
      <c r="F555" s="263"/>
      <c r="G555" s="263"/>
      <c r="H555" s="265" t="str">
        <f t="shared" si="16"/>
        <v/>
      </c>
      <c r="J555" s="199"/>
      <c r="M555" s="265"/>
    </row>
    <row r="556" spans="1:13" ht="12.6" customHeight="1" x14ac:dyDescent="0.2">
      <c r="A556" s="180" t="s">
        <v>570</v>
      </c>
      <c r="B556" s="240">
        <v>495200.66153020086</v>
      </c>
      <c r="C556" s="240">
        <f>BK71</f>
        <v>557814.17985347495</v>
      </c>
      <c r="D556" s="181" t="s">
        <v>529</v>
      </c>
      <c r="E556" s="181" t="s">
        <v>529</v>
      </c>
      <c r="F556" s="263"/>
      <c r="G556" s="263"/>
      <c r="H556" s="265" t="str">
        <f t="shared" si="16"/>
        <v/>
      </c>
      <c r="J556" s="199"/>
      <c r="M556" s="265"/>
    </row>
    <row r="557" spans="1:13" ht="12.6" customHeight="1" x14ac:dyDescent="0.2">
      <c r="A557" s="180" t="s">
        <v>571</v>
      </c>
      <c r="B557" s="240">
        <v>1475851.1943151043</v>
      </c>
      <c r="C557" s="240">
        <f>BL71</f>
        <v>1524112.41738</v>
      </c>
      <c r="D557" s="181" t="s">
        <v>529</v>
      </c>
      <c r="E557" s="181" t="s">
        <v>529</v>
      </c>
      <c r="F557" s="263"/>
      <c r="G557" s="263"/>
      <c r="H557" s="265" t="str">
        <f t="shared" si="16"/>
        <v/>
      </c>
      <c r="J557" s="199"/>
      <c r="M557" s="265"/>
    </row>
    <row r="558" spans="1:13" ht="12.6" customHeight="1" x14ac:dyDescent="0.2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 t="str">
        <f t="shared" si="16"/>
        <v/>
      </c>
      <c r="J558" s="199"/>
      <c r="M558" s="265"/>
    </row>
    <row r="559" spans="1:13" ht="12.6" customHeight="1" x14ac:dyDescent="0.2">
      <c r="A559" s="180" t="s">
        <v>573</v>
      </c>
      <c r="B559" s="240">
        <v>1757405.6264190599</v>
      </c>
      <c r="C559" s="240">
        <f>BN71</f>
        <v>1517407.834713625</v>
      </c>
      <c r="D559" s="181" t="s">
        <v>529</v>
      </c>
      <c r="E559" s="181" t="s">
        <v>529</v>
      </c>
      <c r="F559" s="263"/>
      <c r="G559" s="263"/>
      <c r="H559" s="265" t="str">
        <f t="shared" si="16"/>
        <v/>
      </c>
      <c r="J559" s="199"/>
      <c r="M559" s="265"/>
    </row>
    <row r="560" spans="1:13" ht="12.6" customHeight="1" x14ac:dyDescent="0.2">
      <c r="A560" s="180" t="s">
        <v>574</v>
      </c>
      <c r="B560" s="240">
        <v>57690.567199999998</v>
      </c>
      <c r="C560" s="240">
        <f>BO71</f>
        <v>63607.626500000006</v>
      </c>
      <c r="D560" s="181" t="s">
        <v>529</v>
      </c>
      <c r="E560" s="181" t="s">
        <v>529</v>
      </c>
      <c r="F560" s="263"/>
      <c r="G560" s="263"/>
      <c r="H560" s="265" t="str">
        <f t="shared" si="16"/>
        <v/>
      </c>
      <c r="J560" s="199"/>
      <c r="M560" s="265"/>
    </row>
    <row r="561" spans="1:13" ht="12.6" customHeight="1" x14ac:dyDescent="0.2">
      <c r="A561" s="180" t="s">
        <v>575</v>
      </c>
      <c r="B561" s="240">
        <v>75627.4948</v>
      </c>
      <c r="C561" s="240">
        <f>BP71</f>
        <v>335208.30449999997</v>
      </c>
      <c r="D561" s="181" t="s">
        <v>529</v>
      </c>
      <c r="E561" s="181" t="s">
        <v>529</v>
      </c>
      <c r="F561" s="263"/>
      <c r="G561" s="263"/>
      <c r="H561" s="265" t="str">
        <f t="shared" ref="H561:H575" si="20">IF(B561=0,"",IF(C561=0,"",IF(D561=0,"",IF(E561=0,"",IF(G561/F561-1&lt;-0.25,G561/F561-1,IF(G561/F561-1&gt;0.25,G561/F561-1,""))))))</f>
        <v/>
      </c>
      <c r="J561" s="199"/>
      <c r="M561" s="265"/>
    </row>
    <row r="562" spans="1:13" ht="12.6" customHeight="1" x14ac:dyDescent="0.2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 t="str">
        <f t="shared" si="20"/>
        <v/>
      </c>
      <c r="J562" s="199"/>
      <c r="M562" s="265"/>
    </row>
    <row r="563" spans="1:13" ht="12.6" customHeight="1" x14ac:dyDescent="0.2">
      <c r="A563" s="180" t="s">
        <v>577</v>
      </c>
      <c r="B563" s="240">
        <v>230475.50100000002</v>
      </c>
      <c r="C563" s="240">
        <f>BR71</f>
        <v>214280.16275000002</v>
      </c>
      <c r="D563" s="181" t="s">
        <v>529</v>
      </c>
      <c r="E563" s="181" t="s">
        <v>529</v>
      </c>
      <c r="F563" s="263"/>
      <c r="G563" s="263"/>
      <c r="H563" s="265" t="str">
        <f t="shared" si="20"/>
        <v/>
      </c>
      <c r="J563" s="199"/>
      <c r="M563" s="265"/>
    </row>
    <row r="564" spans="1:13" ht="12.6" customHeight="1" x14ac:dyDescent="0.2">
      <c r="A564" s="180" t="s">
        <v>1249</v>
      </c>
      <c r="B564" s="240">
        <v>2.8192000000000004</v>
      </c>
      <c r="C564" s="240">
        <f>BS71</f>
        <v>17575.629749999996</v>
      </c>
      <c r="D564" s="181" t="s">
        <v>529</v>
      </c>
      <c r="E564" s="181" t="s">
        <v>529</v>
      </c>
      <c r="F564" s="263"/>
      <c r="G564" s="263"/>
      <c r="H564" s="265" t="str">
        <f t="shared" si="20"/>
        <v/>
      </c>
      <c r="J564" s="199"/>
      <c r="M564" s="265"/>
    </row>
    <row r="565" spans="1:13" ht="12.6" customHeight="1" x14ac:dyDescent="0.2">
      <c r="A565" s="180" t="s">
        <v>578</v>
      </c>
      <c r="B565" s="240">
        <v>4178.1086000000005</v>
      </c>
      <c r="C565" s="240">
        <f>BT71</f>
        <v>30091.622249999997</v>
      </c>
      <c r="D565" s="181" t="s">
        <v>529</v>
      </c>
      <c r="E565" s="181" t="s">
        <v>529</v>
      </c>
      <c r="F565" s="263"/>
      <c r="G565" s="263"/>
      <c r="H565" s="265" t="str">
        <f t="shared" si="20"/>
        <v/>
      </c>
      <c r="J565" s="199"/>
      <c r="M565" s="265"/>
    </row>
    <row r="566" spans="1:13" ht="12.6" customHeight="1" x14ac:dyDescent="0.2">
      <c r="A566" s="180" t="s">
        <v>579</v>
      </c>
      <c r="B566" s="240">
        <v>6777.0642000000007</v>
      </c>
      <c r="C566" s="240">
        <f>BU71</f>
        <v>10482.752750000003</v>
      </c>
      <c r="D566" s="181" t="s">
        <v>529</v>
      </c>
      <c r="E566" s="181" t="s">
        <v>529</v>
      </c>
      <c r="F566" s="263"/>
      <c r="G566" s="263"/>
      <c r="H566" s="265" t="str">
        <f t="shared" si="20"/>
        <v/>
      </c>
      <c r="J566" s="199"/>
      <c r="M566" s="265"/>
    </row>
    <row r="567" spans="1:13" ht="12.6" customHeight="1" x14ac:dyDescent="0.2">
      <c r="A567" s="180" t="s">
        <v>580</v>
      </c>
      <c r="B567" s="240">
        <v>757775.60177700163</v>
      </c>
      <c r="C567" s="240">
        <f>BV71</f>
        <v>808537.98836307495</v>
      </c>
      <c r="D567" s="181" t="s">
        <v>529</v>
      </c>
      <c r="E567" s="181" t="s">
        <v>529</v>
      </c>
      <c r="F567" s="263"/>
      <c r="G567" s="263"/>
      <c r="H567" s="265" t="str">
        <f t="shared" si="20"/>
        <v/>
      </c>
      <c r="J567" s="199"/>
      <c r="M567" s="265"/>
    </row>
    <row r="568" spans="1:13" ht="12.6" customHeight="1" x14ac:dyDescent="0.2">
      <c r="A568" s="180" t="s">
        <v>581</v>
      </c>
      <c r="B568" s="240">
        <v>70317.390476000015</v>
      </c>
      <c r="C568" s="240">
        <f>BW71</f>
        <v>154452.670456375</v>
      </c>
      <c r="D568" s="181" t="s">
        <v>529</v>
      </c>
      <c r="E568" s="181" t="s">
        <v>529</v>
      </c>
      <c r="F568" s="263"/>
      <c r="G568" s="263"/>
      <c r="H568" s="265" t="str">
        <f t="shared" si="20"/>
        <v/>
      </c>
      <c r="J568" s="199"/>
      <c r="M568" s="265"/>
    </row>
    <row r="569" spans="1:13" ht="12.6" customHeight="1" x14ac:dyDescent="0.2">
      <c r="A569" s="180" t="s">
        <v>582</v>
      </c>
      <c r="B569" s="240">
        <v>395389.94541963993</v>
      </c>
      <c r="C569" s="240">
        <f>BX71</f>
        <v>908323.51161359996</v>
      </c>
      <c r="D569" s="181" t="s">
        <v>529</v>
      </c>
      <c r="E569" s="181" t="s">
        <v>529</v>
      </c>
      <c r="F569" s="263"/>
      <c r="G569" s="263"/>
      <c r="H569" s="265" t="str">
        <f t="shared" si="20"/>
        <v/>
      </c>
      <c r="J569" s="199"/>
      <c r="M569" s="265"/>
    </row>
    <row r="570" spans="1:13" ht="12.6" customHeight="1" x14ac:dyDescent="0.2">
      <c r="A570" s="180" t="s">
        <v>583</v>
      </c>
      <c r="B570" s="240">
        <v>1319967.1203999997</v>
      </c>
      <c r="C570" s="240">
        <f>BY71</f>
        <v>1508484.8191500003</v>
      </c>
      <c r="D570" s="181" t="s">
        <v>529</v>
      </c>
      <c r="E570" s="181" t="s">
        <v>529</v>
      </c>
      <c r="F570" s="263"/>
      <c r="G570" s="263"/>
      <c r="H570" s="265" t="str">
        <f t="shared" si="20"/>
        <v/>
      </c>
      <c r="J570" s="199"/>
      <c r="M570" s="265"/>
    </row>
    <row r="571" spans="1:13" ht="12.6" customHeight="1" x14ac:dyDescent="0.2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 t="str">
        <f t="shared" si="20"/>
        <v/>
      </c>
      <c r="J571" s="199"/>
      <c r="M571" s="265"/>
    </row>
    <row r="572" spans="1:13" ht="12.6" customHeight="1" x14ac:dyDescent="0.2">
      <c r="A572" s="180" t="s">
        <v>585</v>
      </c>
      <c r="B572" s="240">
        <v>82056.217000000004</v>
      </c>
      <c r="C572" s="240">
        <f>CA71</f>
        <v>93033.581999999995</v>
      </c>
      <c r="D572" s="181" t="s">
        <v>529</v>
      </c>
      <c r="E572" s="181" t="s">
        <v>529</v>
      </c>
      <c r="F572" s="263"/>
      <c r="G572" s="263"/>
      <c r="H572" s="265" t="str">
        <f t="shared" si="20"/>
        <v/>
      </c>
      <c r="J572" s="199"/>
      <c r="M572" s="265"/>
    </row>
    <row r="573" spans="1:13" ht="12.6" customHeight="1" x14ac:dyDescent="0.2">
      <c r="A573" s="180" t="s">
        <v>586</v>
      </c>
      <c r="B573" s="240">
        <v>8374.8024000000005</v>
      </c>
      <c r="C573" s="240">
        <f>CB71</f>
        <v>11254.406750000002</v>
      </c>
      <c r="D573" s="181" t="s">
        <v>529</v>
      </c>
      <c r="E573" s="181" t="s">
        <v>529</v>
      </c>
      <c r="F573" s="263"/>
      <c r="G573" s="263"/>
      <c r="H573" s="265" t="str">
        <f t="shared" si="20"/>
        <v/>
      </c>
      <c r="J573" s="199"/>
      <c r="M573" s="265"/>
    </row>
    <row r="574" spans="1:13" ht="12.6" customHeight="1" x14ac:dyDescent="0.2">
      <c r="A574" s="180" t="s">
        <v>587</v>
      </c>
      <c r="B574" s="240">
        <v>4254148.1953618797</v>
      </c>
      <c r="C574" s="240">
        <f>CC71</f>
        <v>7174374.3732049</v>
      </c>
      <c r="D574" s="181" t="s">
        <v>529</v>
      </c>
      <c r="E574" s="181" t="s">
        <v>529</v>
      </c>
      <c r="F574" s="263"/>
      <c r="G574" s="263"/>
      <c r="H574" s="265" t="str">
        <f t="shared" si="20"/>
        <v/>
      </c>
      <c r="J574" s="199"/>
      <c r="M574" s="265"/>
    </row>
    <row r="575" spans="1:13" ht="12.6" customHeight="1" x14ac:dyDescent="0.2">
      <c r="A575" s="180" t="s">
        <v>588</v>
      </c>
      <c r="B575" s="240">
        <v>1657357</v>
      </c>
      <c r="C575" s="240">
        <f>CD71</f>
        <v>1521503</v>
      </c>
      <c r="D575" s="181" t="s">
        <v>529</v>
      </c>
      <c r="E575" s="181" t="s">
        <v>529</v>
      </c>
      <c r="F575" s="263"/>
      <c r="G575" s="263"/>
      <c r="H575" s="265" t="str">
        <f t="shared" si="20"/>
        <v/>
      </c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96783</v>
      </c>
      <c r="E612" s="180">
        <f>SUM(C624:D647)+SUM(C668:D713)</f>
        <v>59539174.683801375</v>
      </c>
      <c r="F612" s="180">
        <f>CE64-(AX64+BD64+BE64+BG64+BJ64+BN64+BP64+BQ64+CB64+CC64+CD64)</f>
        <v>6247272.8200000003</v>
      </c>
      <c r="G612" s="180">
        <f>CE77-(AX77+AY77+BD77+BE77+BG77+BJ77+BN77+BP77+BQ77+CB77+CC77+CD77)</f>
        <v>24945</v>
      </c>
      <c r="H612" s="197">
        <f>CE60-(AX60+AY60+AZ60+BD60+BE60+BG60+BJ60+BN60+BO60+BP60+BQ60+BR60+CB60+CC60+CD60)</f>
        <v>306.21000000000004</v>
      </c>
      <c r="I612" s="180">
        <f>CE78-(AX78+AY78+AZ78+BD78+BE78+BF78+BG78+BJ78+BN78+BO78+BP78+BQ78+BR78+CB78+CC78+CD78)</f>
        <v>24642.780000000002</v>
      </c>
      <c r="J612" s="180">
        <f>CE79-(AX79+AY79+AZ79+BA79+BD79+BE79+BF79+BG79+BJ79+BN79+BO79+BP79+BQ79+BR79+CB79+CC79+CD79)</f>
        <v>240113.11000000002</v>
      </c>
      <c r="K612" s="180">
        <f>CE75-(AW75+AX75+AY75+AZ75+BA75+BB75+BC75+BD75+BE75+BF75+BG75+BH75+BI75+BJ75+BK75+BL75+BM75+BN75+BO75+BP75+BQ75+BR75+BS75+BT75+BU75+BV75+BW75+BX75+CB75+CC75+CD75)</f>
        <v>248247347.83999997</v>
      </c>
      <c r="L612" s="197">
        <f>CE80-(AW80+AX80+AY80+AZ80+BA80+BB80+BC80+BD80+BE80+BF80+BG80+BH80+BI80+BJ80+BK80+BL80+BM80+BN80+BO80+BP80+BQ80+BR80+BS80+BT80+BU80+BV80+BW80+BX80+BY80+BZ80+CA80+CB80+CC80+CD80)</f>
        <v>88.009999999999991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2588641.3619999993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1521503</v>
      </c>
      <c r="D615" s="266">
        <f>SUM(C614:C615)</f>
        <v>4110144.3619999993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19488.455999999998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87264.259249999988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115061.53825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1517407.834713625</v>
      </c>
      <c r="D619" s="180">
        <f>(D615/D612)*BN76</f>
        <v>946433.53948040446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7174374.3732049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335208.30449999997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11254.406750000002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10206492.712148929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1047690.1399999999</v>
      </c>
      <c r="D625" s="180">
        <f>(D615/D612)*AY76</f>
        <v>177132.47299527808</v>
      </c>
      <c r="E625" s="180">
        <f>(E623/E612)*SUM(C625:D625)</f>
        <v>209965.00437908585</v>
      </c>
      <c r="F625" s="180">
        <f>(F624/F612)*AY64</f>
        <v>0</v>
      </c>
      <c r="G625" s="180">
        <f>SUM(C625:F625)</f>
        <v>1434787.6173743638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214280.16275000002</v>
      </c>
      <c r="D626" s="180">
        <f>(D615/D612)*BR76</f>
        <v>0</v>
      </c>
      <c r="E626" s="180">
        <f>(E623/E612)*SUM(C626:D626)</f>
        <v>36732.939801078304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63607.626500000006</v>
      </c>
      <c r="D627" s="180">
        <f>(D615/D612)*BO76</f>
        <v>0</v>
      </c>
      <c r="E627" s="180">
        <f>(E623/E612)*SUM(C627:D627)</f>
        <v>10903.926360369414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325524.65541144775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949029.59000000008</v>
      </c>
      <c r="D629" s="180">
        <f>(D615/D612)*BF76</f>
        <v>61790.397556492346</v>
      </c>
      <c r="E629" s="180">
        <f>(E623/E612)*SUM(C629:D629)</f>
        <v>173279.6413635324</v>
      </c>
      <c r="F629" s="180">
        <f>(F624/F612)*BF64</f>
        <v>0</v>
      </c>
      <c r="G629" s="180">
        <f>(G625/G612)*BF77</f>
        <v>0</v>
      </c>
      <c r="H629" s="180">
        <f>(H628/H612)*BF60</f>
        <v>12597.456538407156</v>
      </c>
      <c r="I629" s="180">
        <f>SUM(C629:H629)</f>
        <v>1196697.0854584319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-0.17000000000007276</v>
      </c>
      <c r="D634" s="180">
        <f>(D615/D612)*BI76</f>
        <v>0</v>
      </c>
      <c r="E634" s="180">
        <f>(E623/E612)*SUM(C634:D634)</f>
        <v>-2.9142220567899883E-2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557814.17985347495</v>
      </c>
      <c r="D635" s="180">
        <f>(D615/D612)*BK76</f>
        <v>0</v>
      </c>
      <c r="E635" s="180">
        <f>(E623/E612)*SUM(C635:D635)</f>
        <v>95623.19920697168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701073.65500000003</v>
      </c>
      <c r="D636" s="180">
        <f>(D615/D612)*BH76</f>
        <v>0</v>
      </c>
      <c r="E636" s="180">
        <f>(E623/E612)*SUM(C636:D636)</f>
        <v>120181.42993144119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1524112.41738</v>
      </c>
      <c r="D637" s="180">
        <f>(D615/D612)*BL76</f>
        <v>0</v>
      </c>
      <c r="E637" s="180">
        <f>(E623/E612)*SUM(C637:D637)</f>
        <v>261270.70727967081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17575.629749999996</v>
      </c>
      <c r="D639" s="180">
        <f>(D615/D612)*BS76</f>
        <v>0</v>
      </c>
      <c r="E639" s="180">
        <f>(E623/E612)*SUM(C639:D639)</f>
        <v>3012.8992870236693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30091.622249999997</v>
      </c>
      <c r="D640" s="180">
        <f>(D615/D612)*BT76</f>
        <v>0</v>
      </c>
      <c r="E640" s="180">
        <f>(E623/E612)*SUM(C640:D640)</f>
        <v>5158.4511344414605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10482.752750000003</v>
      </c>
      <c r="D641" s="180">
        <f>(D615/D612)*BU76</f>
        <v>0</v>
      </c>
      <c r="E641" s="180">
        <f>(E623/E612)*SUM(C641:D641)</f>
        <v>1797.0040752889906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808537.98836307495</v>
      </c>
      <c r="D642" s="180">
        <f>(D615/D612)*BV76</f>
        <v>89691.628618083734</v>
      </c>
      <c r="E642" s="180">
        <f>(E623/E612)*SUM(C642:D642)</f>
        <v>153978.85658043504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36698.131764392529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154452.670456375</v>
      </c>
      <c r="D643" s="180">
        <f>(D615/D612)*BW76</f>
        <v>0</v>
      </c>
      <c r="E643" s="180">
        <f>(E623/E612)*SUM(C643:D643)</f>
        <v>26477.022292581809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908323.51161359996</v>
      </c>
      <c r="D644" s="180">
        <f>(D615/D612)*BX76</f>
        <v>0</v>
      </c>
      <c r="E644" s="180">
        <f>(E623/E612)*SUM(C644:D644)</f>
        <v>155709.20072024452</v>
      </c>
      <c r="F644" s="180">
        <f>(F624/F612)*BX64</f>
        <v>0</v>
      </c>
      <c r="G644" s="180">
        <f>(G625/G612)*BX77</f>
        <v>0</v>
      </c>
      <c r="H644" s="180">
        <f>(H628/H612)*BX60</f>
        <v>1063.0765011314056</v>
      </c>
      <c r="I644" s="180">
        <f>(I629/I612)*BX78</f>
        <v>0</v>
      </c>
      <c r="J644" s="180">
        <f>(J630/J612)*BX79</f>
        <v>0</v>
      </c>
      <c r="K644" s="180">
        <f>SUM(C631:J644)</f>
        <v>5663125.8356660092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1508484.8191500003</v>
      </c>
      <c r="D645" s="180">
        <f>(D615/D612)*BY76</f>
        <v>7474.3023848403118</v>
      </c>
      <c r="E645" s="180">
        <f>(E623/E612)*SUM(C645:D645)</f>
        <v>259873.02995099509</v>
      </c>
      <c r="F645" s="180">
        <f>(F624/F612)*BY64</f>
        <v>0</v>
      </c>
      <c r="G645" s="180">
        <f>(G625/G612)*BY77</f>
        <v>0</v>
      </c>
      <c r="H645" s="180">
        <f>(H628/H612)*BY60</f>
        <v>12416.733533214818</v>
      </c>
      <c r="I645" s="180">
        <f>(I629/I612)*BY78</f>
        <v>3057.9348381683171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93033.581999999995</v>
      </c>
      <c r="D647" s="180">
        <f>(D615/D612)*CA76</f>
        <v>0</v>
      </c>
      <c r="E647" s="180">
        <f>(E623/E612)*SUM(C647:D647)</f>
        <v>15948.265687439058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1900288.6675446578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21958793.712485049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5247745.7302500019</v>
      </c>
      <c r="D670" s="180">
        <f>(D615/D612)*E76</f>
        <v>673748.90531529288</v>
      </c>
      <c r="E670" s="180">
        <f>(E623/E612)*SUM(C670:D670)</f>
        <v>1015091.1927129759</v>
      </c>
      <c r="F670" s="180">
        <f>(F624/F612)*E64</f>
        <v>0</v>
      </c>
      <c r="G670" s="180">
        <f>(G625/G612)*E77</f>
        <v>1434787.6173743638</v>
      </c>
      <c r="H670" s="180">
        <f>(H628/H612)*E60</f>
        <v>43012.075235776669</v>
      </c>
      <c r="I670" s="180">
        <f>(I629/I612)*E78</f>
        <v>275669.15924702148</v>
      </c>
      <c r="J670" s="180">
        <f>(J630/J612)*E79</f>
        <v>0</v>
      </c>
      <c r="K670" s="180">
        <f>(K644/K612)*E75</f>
        <v>466068.19475001481</v>
      </c>
      <c r="L670" s="180">
        <f>(L647/L612)*E80</f>
        <v>498553.1795660283</v>
      </c>
      <c r="M670" s="180">
        <f t="shared" si="21"/>
        <v>4406930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11978.464750000001</v>
      </c>
      <c r="D672" s="180">
        <f>(D615/D612)*G76</f>
        <v>0</v>
      </c>
      <c r="E672" s="180">
        <f>(E623/E612)*SUM(C672:D672)</f>
        <v>2053.4062459362608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2053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2055503.9400000002</v>
      </c>
      <c r="D680" s="180">
        <f>(D615/D612)*O76</f>
        <v>254550.95735643653</v>
      </c>
      <c r="E680" s="180">
        <f>(E623/E612)*SUM(C680:D680)</f>
        <v>396000.76083935169</v>
      </c>
      <c r="F680" s="180">
        <f>(F624/F612)*O64</f>
        <v>0</v>
      </c>
      <c r="G680" s="180">
        <f>(G625/G612)*O77</f>
        <v>0</v>
      </c>
      <c r="H680" s="180">
        <f>(H628/H612)*O60</f>
        <v>13883.779104776158</v>
      </c>
      <c r="I680" s="180">
        <f>(I629/I612)*O78</f>
        <v>104151.40552828892</v>
      </c>
      <c r="J680" s="180">
        <f>(J630/J612)*O79</f>
        <v>0</v>
      </c>
      <c r="K680" s="180">
        <f>(K644/K612)*O75</f>
        <v>176940.2065858292</v>
      </c>
      <c r="L680" s="180">
        <f>(L647/L612)*O80</f>
        <v>227792.81266442611</v>
      </c>
      <c r="M680" s="180">
        <f t="shared" si="21"/>
        <v>1173320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7162807.1215000013</v>
      </c>
      <c r="D681" s="180">
        <f>(D615/D612)*P76</f>
        <v>724242.91404015152</v>
      </c>
      <c r="E681" s="180">
        <f>(E623/E612)*SUM(C681:D681)</f>
        <v>1352036.1868569138</v>
      </c>
      <c r="F681" s="180">
        <f>(F624/F612)*P64</f>
        <v>0</v>
      </c>
      <c r="G681" s="180">
        <f>(G625/G612)*P77</f>
        <v>0</v>
      </c>
      <c r="H681" s="180">
        <f>(H628/H612)*P60</f>
        <v>24227.513460784732</v>
      </c>
      <c r="I681" s="180">
        <f>(I629/I612)*P78</f>
        <v>296328.7942827837</v>
      </c>
      <c r="J681" s="180">
        <f>(J630/J612)*P79</f>
        <v>0</v>
      </c>
      <c r="K681" s="180">
        <f>(K644/K612)*P75</f>
        <v>1422256.9818276681</v>
      </c>
      <c r="L681" s="180">
        <f>(L647/L612)*P80</f>
        <v>206848.82894077743</v>
      </c>
      <c r="M681" s="180">
        <f t="shared" si="21"/>
        <v>4025941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1532860.09</v>
      </c>
      <c r="D682" s="180">
        <f>(D615/D612)*Q76</f>
        <v>50961.152623911214</v>
      </c>
      <c r="E682" s="180">
        <f>(E623/E612)*SUM(C682:D682)</f>
        <v>271506.28230971494</v>
      </c>
      <c r="F682" s="180">
        <f>(F624/F612)*Q64</f>
        <v>0</v>
      </c>
      <c r="G682" s="180">
        <f>(G625/G612)*Q77</f>
        <v>0</v>
      </c>
      <c r="H682" s="180">
        <f>(H628/H612)*Q60</f>
        <v>11077.257141789247</v>
      </c>
      <c r="I682" s="180">
        <f>(I629/I612)*Q78</f>
        <v>20850.96842090409</v>
      </c>
      <c r="J682" s="180">
        <f>(J630/J612)*Q79</f>
        <v>0</v>
      </c>
      <c r="K682" s="180">
        <f>(K644/K612)*Q75</f>
        <v>152422.74974300791</v>
      </c>
      <c r="L682" s="180">
        <f>(L647/L612)*Q80</f>
        <v>180290.99390975904</v>
      </c>
      <c r="M682" s="180">
        <f t="shared" si="21"/>
        <v>687109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278029.60999999993</v>
      </c>
      <c r="D683" s="180">
        <f>(D615/D612)*R76</f>
        <v>8153.7844198257944</v>
      </c>
      <c r="E683" s="180">
        <f>(E623/E612)*SUM(C683:D683)</f>
        <v>49058.938841466348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3336.1937967629569</v>
      </c>
      <c r="J683" s="180">
        <f>(J630/J612)*R79</f>
        <v>0</v>
      </c>
      <c r="K683" s="180">
        <f>(K644/K612)*R75</f>
        <v>120617.81118962137</v>
      </c>
      <c r="L683" s="180">
        <f>(L647/L612)*R80</f>
        <v>0</v>
      </c>
      <c r="M683" s="180">
        <f t="shared" si="21"/>
        <v>181167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431682.87544525001</v>
      </c>
      <c r="D684" s="180">
        <f>(D615/D612)*S76</f>
        <v>125491.83833638136</v>
      </c>
      <c r="E684" s="180">
        <f>(E623/E612)*SUM(C684:D684)</f>
        <v>95513.578846316683</v>
      </c>
      <c r="F684" s="180">
        <f>(F624/F612)*S64</f>
        <v>0</v>
      </c>
      <c r="G684" s="180">
        <f>(G625/G612)*S77</f>
        <v>0</v>
      </c>
      <c r="H684" s="180">
        <f>(H628/H612)*S60</f>
        <v>5411.0593907588545</v>
      </c>
      <c r="I684" s="180">
        <f>(I629/I612)*S78</f>
        <v>51345.819317778412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277762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72241.908500000005</v>
      </c>
      <c r="D685" s="180">
        <f>(D615/D612)*T76</f>
        <v>0</v>
      </c>
      <c r="E685" s="180">
        <f>(E623/E612)*SUM(C685:D685)</f>
        <v>12384.056657365532</v>
      </c>
      <c r="F685" s="180">
        <f>(F624/F612)*T64</f>
        <v>0</v>
      </c>
      <c r="G685" s="180">
        <f>(G625/G612)*T77</f>
        <v>0</v>
      </c>
      <c r="H685" s="180">
        <f>(H628/H612)*T60</f>
        <v>85.046120090512446</v>
      </c>
      <c r="I685" s="180">
        <f>(I629/I612)*T78</f>
        <v>0</v>
      </c>
      <c r="J685" s="180">
        <f>(J630/J612)*T79</f>
        <v>0</v>
      </c>
      <c r="K685" s="180">
        <f>(K644/K612)*T75</f>
        <v>9829.6298249968258</v>
      </c>
      <c r="L685" s="180">
        <f>(L647/L612)*T80</f>
        <v>1727.3388638060746</v>
      </c>
      <c r="M685" s="180">
        <f t="shared" si="21"/>
        <v>24026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2031263.5699999998</v>
      </c>
      <c r="D686" s="180">
        <f>(D615/D612)*U76</f>
        <v>69052.361805399691</v>
      </c>
      <c r="E686" s="180">
        <f>(E623/E612)*SUM(C686:D686)</f>
        <v>360046.2949818878</v>
      </c>
      <c r="F686" s="180">
        <f>(F624/F612)*U64</f>
        <v>0</v>
      </c>
      <c r="G686" s="180">
        <f>(G625/G612)*U77</f>
        <v>0</v>
      </c>
      <c r="H686" s="180">
        <f>(H628/H612)*U60</f>
        <v>11970.241402739626</v>
      </c>
      <c r="I686" s="180">
        <f>(I629/I612)*U78</f>
        <v>28253.239460796045</v>
      </c>
      <c r="J686" s="180">
        <f>(J630/J612)*U79</f>
        <v>0</v>
      </c>
      <c r="K686" s="180">
        <f>(K644/K612)*U75</f>
        <v>282724.7802074097</v>
      </c>
      <c r="L686" s="180">
        <f>(L647/L612)*U80</f>
        <v>0</v>
      </c>
      <c r="M686" s="180">
        <f t="shared" si="21"/>
        <v>752047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586559.12000000011</v>
      </c>
      <c r="D688" s="180">
        <f>(D615/D612)*W76</f>
        <v>30576.691574346729</v>
      </c>
      <c r="E688" s="180">
        <f>(E623/E612)*SUM(C688:D688)</f>
        <v>105792.39965436365</v>
      </c>
      <c r="F688" s="180">
        <f>(F624/F612)*W64</f>
        <v>0</v>
      </c>
      <c r="G688" s="180">
        <f>(G625/G612)*W77</f>
        <v>0</v>
      </c>
      <c r="H688" s="180">
        <f>(H628/H612)*W60</f>
        <v>1998.5838221270424</v>
      </c>
      <c r="I688" s="180">
        <f>(I629/I612)*W78</f>
        <v>12510.483928996695</v>
      </c>
      <c r="J688" s="180">
        <f>(J630/J612)*W79</f>
        <v>0</v>
      </c>
      <c r="K688" s="180">
        <f>(K644/K612)*W75</f>
        <v>66566.059462652702</v>
      </c>
      <c r="L688" s="180">
        <f>(L647/L612)*W80</f>
        <v>0</v>
      </c>
      <c r="M688" s="180">
        <f t="shared" si="21"/>
        <v>217444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790098.48</v>
      </c>
      <c r="D689" s="180">
        <f>(D615/D612)*X76</f>
        <v>24461.353259477382</v>
      </c>
      <c r="E689" s="180">
        <f>(E623/E612)*SUM(C689:D689)</f>
        <v>139635.77839170166</v>
      </c>
      <c r="F689" s="180">
        <f>(F624/F612)*X64</f>
        <v>0</v>
      </c>
      <c r="G689" s="180">
        <f>(G625/G612)*X77</f>
        <v>0</v>
      </c>
      <c r="H689" s="180">
        <f>(H628/H612)*X60</f>
        <v>5230.3363855665157</v>
      </c>
      <c r="I689" s="180">
        <f>(I629/I612)*X78</f>
        <v>10008.581390288871</v>
      </c>
      <c r="J689" s="180">
        <f>(J630/J612)*X79</f>
        <v>0</v>
      </c>
      <c r="K689" s="180">
        <f>(K644/K612)*X75</f>
        <v>274890.54654255515</v>
      </c>
      <c r="L689" s="180">
        <f>(L647/L612)*X80</f>
        <v>0</v>
      </c>
      <c r="M689" s="180">
        <f t="shared" si="21"/>
        <v>454227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1897392.6099999999</v>
      </c>
      <c r="D690" s="180">
        <f>(D615/D612)*Y76</f>
        <v>416055.34354704845</v>
      </c>
      <c r="E690" s="180">
        <f>(E623/E612)*SUM(C690:D690)</f>
        <v>396582.41490938724</v>
      </c>
      <c r="F690" s="180">
        <f>(F624/F612)*Y64</f>
        <v>0</v>
      </c>
      <c r="G690" s="180">
        <f>(G625/G612)*Y77</f>
        <v>0</v>
      </c>
      <c r="H690" s="180">
        <f>(H628/H612)*Y60</f>
        <v>12437.995063237446</v>
      </c>
      <c r="I690" s="180">
        <f>(I629/I612)*Y78</f>
        <v>170231.83797290601</v>
      </c>
      <c r="J690" s="180">
        <f>(J630/J612)*Y79</f>
        <v>0</v>
      </c>
      <c r="K690" s="180">
        <f>(K644/K612)*Y75</f>
        <v>165751.52633002581</v>
      </c>
      <c r="L690" s="180">
        <f>(L647/L612)*Y80</f>
        <v>0</v>
      </c>
      <c r="M690" s="180">
        <f t="shared" si="21"/>
        <v>1161059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288605.42</v>
      </c>
      <c r="D692" s="180">
        <f>(D615/D612)*AA76</f>
        <v>0</v>
      </c>
      <c r="E692" s="180">
        <f>(E623/E612)*SUM(C692:D692)</f>
        <v>49474.134157222259</v>
      </c>
      <c r="F692" s="180">
        <f>(F624/F612)*AA64</f>
        <v>0</v>
      </c>
      <c r="G692" s="180">
        <f>(G625/G612)*AA77</f>
        <v>0</v>
      </c>
      <c r="H692" s="180">
        <f>(H628/H612)*AA60</f>
        <v>1350.1071564368851</v>
      </c>
      <c r="I692" s="180">
        <f>(I629/I612)*AA78</f>
        <v>0</v>
      </c>
      <c r="J692" s="180">
        <f>(J630/J612)*AA79</f>
        <v>0</v>
      </c>
      <c r="K692" s="180">
        <f>(K644/K612)*AA75</f>
        <v>20023.351773857721</v>
      </c>
      <c r="L692" s="180">
        <f>(L647/L612)*AA80</f>
        <v>0</v>
      </c>
      <c r="M692" s="180">
        <f t="shared" si="21"/>
        <v>70848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1990191.68</v>
      </c>
      <c r="D693" s="180">
        <f>(D615/D612)*AB76</f>
        <v>81070.700299205419</v>
      </c>
      <c r="E693" s="180">
        <f>(E623/E612)*SUM(C693:D693)</f>
        <v>355065.79494498199</v>
      </c>
      <c r="F693" s="180">
        <f>(F624/F612)*AB64</f>
        <v>0</v>
      </c>
      <c r="G693" s="180">
        <f>(G625/G612)*AB77</f>
        <v>0</v>
      </c>
      <c r="H693" s="180">
        <f>(H628/H612)*AB60</f>
        <v>5634.3054559964494</v>
      </c>
      <c r="I693" s="180">
        <f>(I629/I612)*AB78</f>
        <v>33170.6045824877</v>
      </c>
      <c r="J693" s="180">
        <f>(J630/J612)*AB79</f>
        <v>0</v>
      </c>
      <c r="K693" s="180">
        <f>(K644/K612)*AB75</f>
        <v>634096.43194379506</v>
      </c>
      <c r="L693" s="180">
        <f>(L647/L612)*AB80</f>
        <v>0</v>
      </c>
      <c r="M693" s="180">
        <f t="shared" si="21"/>
        <v>1109038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691589.66999999993</v>
      </c>
      <c r="D694" s="180">
        <f>(D615/D612)*AC76</f>
        <v>7261.9642489073485</v>
      </c>
      <c r="E694" s="180">
        <f>(E623/E612)*SUM(C694:D694)</f>
        <v>119800.52040888375</v>
      </c>
      <c r="F694" s="180">
        <f>(F624/F612)*AC64</f>
        <v>0</v>
      </c>
      <c r="G694" s="180">
        <f>(G625/G612)*AC77</f>
        <v>0</v>
      </c>
      <c r="H694" s="180">
        <f>(H628/H612)*AC60</f>
        <v>6516.6589519355166</v>
      </c>
      <c r="I694" s="180">
        <f>(I629/I612)*AC78</f>
        <v>2971.4948824443281</v>
      </c>
      <c r="J694" s="180">
        <f>(J630/J612)*AC79</f>
        <v>0</v>
      </c>
      <c r="K694" s="180">
        <f>(K644/K612)*AC75</f>
        <v>104588.39118299205</v>
      </c>
      <c r="L694" s="180">
        <f>(L647/L612)*AC80</f>
        <v>0</v>
      </c>
      <c r="M694" s="180">
        <f t="shared" si="21"/>
        <v>241139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133237.20999999996</v>
      </c>
      <c r="D696" s="180">
        <f>(D615/D612)*AE76</f>
        <v>8153.7844198257944</v>
      </c>
      <c r="E696" s="180">
        <f>(E623/E612)*SUM(C696:D696)</f>
        <v>24237.926739385293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3336.1937967629569</v>
      </c>
      <c r="J696" s="180">
        <f>(J630/J612)*AE79</f>
        <v>0</v>
      </c>
      <c r="K696" s="180">
        <f>(K644/K612)*AE75</f>
        <v>10547.09861698828</v>
      </c>
      <c r="L696" s="180">
        <f>(L647/L612)*AE80</f>
        <v>0</v>
      </c>
      <c r="M696" s="180">
        <f t="shared" si="21"/>
        <v>46275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3609521.5616000001</v>
      </c>
      <c r="D698" s="180">
        <f>(D615/D612)*AG76</f>
        <v>353840.26971869019</v>
      </c>
      <c r="E698" s="180">
        <f>(E623/E612)*SUM(C698:D698)</f>
        <v>679418.61575667909</v>
      </c>
      <c r="F698" s="180">
        <f>(F624/F612)*AG64</f>
        <v>0</v>
      </c>
      <c r="G698" s="180">
        <f>(G625/G612)*AG77</f>
        <v>0</v>
      </c>
      <c r="H698" s="180">
        <f>(H628/H612)*AG60</f>
        <v>24142.467340694224</v>
      </c>
      <c r="I698" s="180">
        <f>(I629/I612)*AG78</f>
        <v>144776.24224764874</v>
      </c>
      <c r="J698" s="180">
        <f>(J630/J612)*AG79</f>
        <v>0</v>
      </c>
      <c r="K698" s="180">
        <f>(K644/K612)*AG75</f>
        <v>1073369.4139497068</v>
      </c>
      <c r="L698" s="180">
        <f>(L647/L612)*AG80</f>
        <v>321716.8633838814</v>
      </c>
      <c r="M698" s="180">
        <f t="shared" si="21"/>
        <v>2597264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18657135.259999998</v>
      </c>
      <c r="D701" s="180">
        <f>(D615/D612)*AJ76</f>
        <v>0</v>
      </c>
      <c r="E701" s="180">
        <f>(E623/E612)*SUM(C701:D701)</f>
        <v>3198296.1818342903</v>
      </c>
      <c r="F701" s="180">
        <f>(F624/F612)*AJ64</f>
        <v>0</v>
      </c>
      <c r="G701" s="180">
        <f>(G625/G612)*AJ77</f>
        <v>0</v>
      </c>
      <c r="H701" s="180">
        <f>(H628/H612)*AJ60</f>
        <v>132448.70127596182</v>
      </c>
      <c r="I701" s="180">
        <f>(I629/I612)*AJ78</f>
        <v>0</v>
      </c>
      <c r="J701" s="180">
        <f>(J630/J612)*AJ79</f>
        <v>0</v>
      </c>
      <c r="K701" s="180">
        <f>(K644/K612)*AJ75</f>
        <v>678653.73007097002</v>
      </c>
      <c r="L701" s="180">
        <f>(L647/L612)*AJ80</f>
        <v>463358.65021597955</v>
      </c>
      <c r="M701" s="180">
        <f t="shared" si="21"/>
        <v>4472757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66540.460000000006</v>
      </c>
      <c r="D702" s="180">
        <f>(D615/D612)*AK76</f>
        <v>0</v>
      </c>
      <c r="E702" s="180">
        <f>(E623/E612)*SUM(C702:D702)</f>
        <v>11406.686835345234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6673.8122233865242</v>
      </c>
      <c r="L702" s="180">
        <f>(L647/L612)*AK80</f>
        <v>0</v>
      </c>
      <c r="M702" s="180">
        <f t="shared" si="21"/>
        <v>18080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21467.82</v>
      </c>
      <c r="D703" s="180">
        <f>(D615/D612)*AL76</f>
        <v>0</v>
      </c>
      <c r="E703" s="180">
        <f>(E623/E612)*SUM(C703:D703)</f>
        <v>3680.1173267747336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1569.9915180239743</v>
      </c>
      <c r="L703" s="180">
        <f>(L647/L612)*AL80</f>
        <v>0</v>
      </c>
      <c r="M703" s="180">
        <f t="shared" si="21"/>
        <v>5250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230421.08142</v>
      </c>
      <c r="D713" s="180">
        <f>(D615/D612)*AV76</f>
        <v>0</v>
      </c>
      <c r="E713" s="180">
        <f>(E623/E612)*SUM(C713:D713)</f>
        <v>39499.893989604607</v>
      </c>
      <c r="F713" s="180">
        <f>(F624/F612)*AV64</f>
        <v>0</v>
      </c>
      <c r="G713" s="180">
        <f>(G625/G612)*AV77</f>
        <v>0</v>
      </c>
      <c r="H713" s="180">
        <f>(H628/H612)*AV60</f>
        <v>21.261530022628111</v>
      </c>
      <c r="I713" s="180">
        <f>(I629/I612)*AV78</f>
        <v>0</v>
      </c>
      <c r="J713" s="180">
        <f>(J630/J612)*AV79</f>
        <v>0</v>
      </c>
      <c r="K713" s="180">
        <f>(K644/K612)*AV75</f>
        <v>-4464.8720774925123</v>
      </c>
      <c r="L713" s="180">
        <f>(L647/L612)*AV80</f>
        <v>0</v>
      </c>
      <c r="M713" s="180">
        <f t="shared" si="21"/>
        <v>35056</v>
      </c>
      <c r="N713" s="199" t="s">
        <v>741</v>
      </c>
    </row>
    <row r="715" spans="1:83" ht="12.6" customHeight="1" x14ac:dyDescent="0.2">
      <c r="C715" s="180">
        <f>SUM(C614:C647)+SUM(C668:C713)</f>
        <v>69745667.395950302</v>
      </c>
      <c r="D715" s="180">
        <f>SUM(D616:D647)+SUM(D668:D713)</f>
        <v>4110144.3619999988</v>
      </c>
      <c r="E715" s="180">
        <f>SUM(E624:E647)+SUM(E668:E713)</f>
        <v>10206492.712148929</v>
      </c>
      <c r="F715" s="180">
        <f>SUM(F625:F648)+SUM(F668:F713)</f>
        <v>0</v>
      </c>
      <c r="G715" s="180">
        <f>SUM(G626:G647)+SUM(G668:G713)</f>
        <v>1434787.6173743638</v>
      </c>
      <c r="H715" s="180">
        <f>SUM(H629:H647)+SUM(H668:H713)</f>
        <v>325524.65541144769</v>
      </c>
      <c r="I715" s="180">
        <f>SUM(I630:I647)+SUM(I668:I713)</f>
        <v>1196697.0854584319</v>
      </c>
      <c r="J715" s="180">
        <f>SUM(J631:J647)+SUM(J668:J713)</f>
        <v>0</v>
      </c>
      <c r="K715" s="180">
        <f>SUM(K668:K713)</f>
        <v>5663125.8356660111</v>
      </c>
      <c r="L715" s="180">
        <f>SUM(L668:L713)</f>
        <v>1900288.6675446583</v>
      </c>
      <c r="M715" s="180">
        <f>SUM(M668:M713)</f>
        <v>21958792</v>
      </c>
      <c r="N715" s="198" t="s">
        <v>742</v>
      </c>
    </row>
    <row r="716" spans="1:83" ht="12.6" customHeight="1" x14ac:dyDescent="0.2">
      <c r="C716" s="180">
        <f>CE71</f>
        <v>69745667.395950302</v>
      </c>
      <c r="D716" s="180">
        <f>D615</f>
        <v>4110144.3619999993</v>
      </c>
      <c r="E716" s="180">
        <f>E623</f>
        <v>10206492.712148929</v>
      </c>
      <c r="F716" s="180">
        <f>F624</f>
        <v>0</v>
      </c>
      <c r="G716" s="180">
        <f>G625</f>
        <v>1434787.6173743638</v>
      </c>
      <c r="H716" s="180">
        <f>H628</f>
        <v>325524.65541144775</v>
      </c>
      <c r="I716" s="180">
        <f>I629</f>
        <v>1196697.0854584319</v>
      </c>
      <c r="J716" s="180">
        <f>J630</f>
        <v>0</v>
      </c>
      <c r="K716" s="180">
        <f>K644</f>
        <v>5663125.8356660092</v>
      </c>
      <c r="L716" s="180">
        <f>L647</f>
        <v>1900288.6675446578</v>
      </c>
      <c r="M716" s="180">
        <f>C648</f>
        <v>21958793.712485049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035*2019*A</v>
      </c>
      <c r="B722" s="276">
        <f>ROUND(C165,0)</f>
        <v>1925687</v>
      </c>
      <c r="C722" s="276">
        <f>ROUND(C166,0)</f>
        <v>-9227</v>
      </c>
      <c r="D722" s="276">
        <f>ROUND(C167,0)</f>
        <v>242599</v>
      </c>
      <c r="E722" s="276">
        <f>ROUND(C168,0)</f>
        <v>2958089</v>
      </c>
      <c r="F722" s="276">
        <f>ROUND(C169,0)</f>
        <v>22526</v>
      </c>
      <c r="G722" s="276">
        <f>ROUND(C170,0)</f>
        <v>1313312</v>
      </c>
      <c r="H722" s="276">
        <f>ROUND(C171+C172,0)</f>
        <v>274163</v>
      </c>
      <c r="I722" s="276">
        <f>ROUND(C175,0)</f>
        <v>1352433</v>
      </c>
      <c r="J722" s="276">
        <f>ROUND(C176,0)</f>
        <v>224908</v>
      </c>
      <c r="K722" s="276">
        <f>ROUND(C179,0)</f>
        <v>513191</v>
      </c>
      <c r="L722" s="276">
        <f>ROUND(C180,0)</f>
        <v>35773</v>
      </c>
      <c r="M722" s="276">
        <f>ROUND(C183,0)</f>
        <v>29758</v>
      </c>
      <c r="N722" s="276">
        <f>ROUND(C184,0)</f>
        <v>774534</v>
      </c>
      <c r="O722" s="276">
        <f>ROUND(C185,0)</f>
        <v>0</v>
      </c>
      <c r="P722" s="276">
        <f>ROUND(C188,0)</f>
        <v>158075</v>
      </c>
      <c r="Q722" s="276">
        <f>ROUND(C189,0)</f>
        <v>10171</v>
      </c>
      <c r="R722" s="276">
        <f>ROUND(B195,0)</f>
        <v>3268423</v>
      </c>
      <c r="S722" s="276">
        <f>ROUND(C195,0)</f>
        <v>0</v>
      </c>
      <c r="T722" s="276">
        <f>ROUND(D195,0)</f>
        <v>0</v>
      </c>
      <c r="U722" s="276">
        <f>ROUND(B196,0)</f>
        <v>577014</v>
      </c>
      <c r="V722" s="276">
        <f>ROUND(C196,0)</f>
        <v>0</v>
      </c>
      <c r="W722" s="276">
        <f>ROUND(D196,0)</f>
        <v>0</v>
      </c>
      <c r="X722" s="276">
        <f>ROUND(B197,0)</f>
        <v>56806667</v>
      </c>
      <c r="Y722" s="276">
        <f>ROUND(C197,0)</f>
        <v>311448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1910235</v>
      </c>
      <c r="AE722" s="276">
        <f>ROUND(C199,0)</f>
        <v>7340</v>
      </c>
      <c r="AF722" s="276">
        <f>ROUND(D199,0)</f>
        <v>0</v>
      </c>
      <c r="AG722" s="276">
        <f>ROUND(B200,0)</f>
        <v>35479862</v>
      </c>
      <c r="AH722" s="276">
        <f>ROUND(C200,0)</f>
        <v>594857</v>
      </c>
      <c r="AI722" s="276">
        <f>ROUND(D200,0)</f>
        <v>45194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2059379</v>
      </c>
      <c r="AN722" s="276">
        <f>ROUND(C202,0)</f>
        <v>266729</v>
      </c>
      <c r="AO722" s="276">
        <f>ROUND(D202,0)</f>
        <v>3295</v>
      </c>
      <c r="AP722" s="276">
        <f>ROUND(B203,0)</f>
        <v>812958</v>
      </c>
      <c r="AQ722" s="276">
        <f>ROUND(C203,0)</f>
        <v>-691502</v>
      </c>
      <c r="AR722" s="276">
        <f>ROUND(D203,0)</f>
        <v>0</v>
      </c>
      <c r="AS722" s="276"/>
      <c r="AT722" s="276"/>
      <c r="AU722" s="276"/>
      <c r="AV722" s="276">
        <f>ROUND(B209,0)</f>
        <v>439276</v>
      </c>
      <c r="AW722" s="276">
        <f>ROUND(C209,0)</f>
        <v>53841</v>
      </c>
      <c r="AX722" s="276">
        <f>ROUND(D209,0)</f>
        <v>0</v>
      </c>
      <c r="AY722" s="276">
        <f>ROUND(B210,0)</f>
        <v>13576593</v>
      </c>
      <c r="AZ722" s="276">
        <f>ROUND(C210,0)</f>
        <v>1511214</v>
      </c>
      <c r="BA722" s="276">
        <f>ROUND(D210,0)</f>
        <v>0</v>
      </c>
      <c r="BB722" s="276">
        <f>ROUND(B211,0)</f>
        <v>1117414</v>
      </c>
      <c r="BC722" s="276">
        <f>ROUND(C211,0)</f>
        <v>104816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27787507</v>
      </c>
      <c r="BI722" s="276">
        <f>ROUND(C213,0)</f>
        <v>2471316</v>
      </c>
      <c r="BJ722" s="276">
        <f>ROUND(D213,0)</f>
        <v>30018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1029218</v>
      </c>
      <c r="BO722" s="276">
        <f>ROUND(C215,0)</f>
        <v>231695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69691077</v>
      </c>
      <c r="BU722" s="276">
        <f>ROUND(C224,0)</f>
        <v>35241042</v>
      </c>
      <c r="BV722" s="276">
        <f>ROUND(C225,0)</f>
        <v>0</v>
      </c>
      <c r="BW722" s="276">
        <f>ROUND(C226,0)</f>
        <v>6109329</v>
      </c>
      <c r="BX722" s="276">
        <f>ROUND(C227,0)</f>
        <v>49878495</v>
      </c>
      <c r="BY722" s="276">
        <f>ROUND(C228,0)</f>
        <v>3244039</v>
      </c>
      <c r="BZ722" s="276">
        <f>ROUND(C231,0)</f>
        <v>1822</v>
      </c>
      <c r="CA722" s="276">
        <f>ROUND(C233,0)</f>
        <v>1147193</v>
      </c>
      <c r="CB722" s="276">
        <f>ROUND(C234,0)</f>
        <v>2113352</v>
      </c>
      <c r="CC722" s="276">
        <f>ROUND(C238+C239,0)</f>
        <v>0</v>
      </c>
      <c r="CD722" s="276">
        <f>D221</f>
        <v>5012509.76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035*2019*A</v>
      </c>
      <c r="B726" s="276">
        <f>ROUND(C111,0)</f>
        <v>1506</v>
      </c>
      <c r="C726" s="276">
        <f>ROUND(C112,0)</f>
        <v>0</v>
      </c>
      <c r="D726" s="276">
        <f>ROUND(C113,0)</f>
        <v>0</v>
      </c>
      <c r="E726" s="276">
        <f>ROUND(C114,0)</f>
        <v>357</v>
      </c>
      <c r="F726" s="276">
        <f>ROUND(D111,0)</f>
        <v>5143</v>
      </c>
      <c r="G726" s="276">
        <f>ROUND(D112,0)</f>
        <v>0</v>
      </c>
      <c r="H726" s="276">
        <f>ROUND(D113,0)</f>
        <v>0</v>
      </c>
      <c r="I726" s="276">
        <f>ROUND(D114,0)</f>
        <v>524</v>
      </c>
      <c r="J726" s="276">
        <f>ROUND(C116,0)</f>
        <v>4</v>
      </c>
      <c r="K726" s="276">
        <f>ROUND(C117,0)</f>
        <v>0</v>
      </c>
      <c r="L726" s="276">
        <f>ROUND(C118,0)</f>
        <v>16</v>
      </c>
      <c r="M726" s="276">
        <f>ROUND(C119,0)</f>
        <v>0</v>
      </c>
      <c r="N726" s="276">
        <f>ROUND(C120,0)</f>
        <v>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8</v>
      </c>
      <c r="X726" s="276">
        <f>ROUND(B138,0)</f>
        <v>709</v>
      </c>
      <c r="Y726" s="276">
        <f>ROUND(B139,0)</f>
        <v>2988</v>
      </c>
      <c r="Z726" s="276">
        <f>ROUND(B140,0)</f>
        <v>0</v>
      </c>
      <c r="AA726" s="276">
        <f>ROUND(B141,0)</f>
        <v>28855193</v>
      </c>
      <c r="AB726" s="276">
        <f>ROUND(B142,0)</f>
        <v>64994803</v>
      </c>
      <c r="AC726" s="276">
        <f>ROUND(C138,0)</f>
        <v>265</v>
      </c>
      <c r="AD726" s="276">
        <f>ROUND(C139,0)</f>
        <v>828</v>
      </c>
      <c r="AE726" s="276">
        <f>ROUND(C140,0)</f>
        <v>0</v>
      </c>
      <c r="AF726" s="276">
        <f>ROUND(C141,0)</f>
        <v>11521011</v>
      </c>
      <c r="AG726" s="276">
        <f>ROUND(C142,0)</f>
        <v>34465735</v>
      </c>
      <c r="AH726" s="276">
        <f>ROUND(D138,0)</f>
        <v>532</v>
      </c>
      <c r="AI726" s="276">
        <f>ROUND(D139,0)</f>
        <v>1327</v>
      </c>
      <c r="AJ726" s="276">
        <f>ROUND(D140,0)</f>
        <v>0</v>
      </c>
      <c r="AK726" s="276">
        <f>ROUND(D141,0)</f>
        <v>22360377</v>
      </c>
      <c r="AL726" s="276">
        <f>ROUND(D142,0)</f>
        <v>86050228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035*2019*A</v>
      </c>
      <c r="B730" s="276">
        <f>ROUND(C250,0)</f>
        <v>6902896</v>
      </c>
      <c r="C730" s="276">
        <f>ROUND(C251,0)</f>
        <v>0</v>
      </c>
      <c r="D730" s="276">
        <f>ROUND(C252,0)</f>
        <v>31150640</v>
      </c>
      <c r="E730" s="276">
        <f>ROUND(C253,0)</f>
        <v>22116209</v>
      </c>
      <c r="F730" s="276">
        <f>ROUND(C254,0)</f>
        <v>0</v>
      </c>
      <c r="G730" s="276">
        <f>ROUND(C255,0)</f>
        <v>123810</v>
      </c>
      <c r="H730" s="276">
        <f>ROUND(C256,0)</f>
        <v>0</v>
      </c>
      <c r="I730" s="276">
        <f>ROUND(C257,0)</f>
        <v>1291602</v>
      </c>
      <c r="J730" s="276">
        <f>ROUND(C258,0)</f>
        <v>67608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3268423</v>
      </c>
      <c r="P730" s="276">
        <f>ROUND(C268,0)</f>
        <v>577014</v>
      </c>
      <c r="Q730" s="276">
        <f>ROUND(C269,0)</f>
        <v>57118115</v>
      </c>
      <c r="R730" s="276">
        <f>ROUND(C270,0)</f>
        <v>0</v>
      </c>
      <c r="S730" s="276">
        <f>ROUND(C271,0)</f>
        <v>1917575</v>
      </c>
      <c r="T730" s="276">
        <f>ROUND(C272,0)</f>
        <v>36029525</v>
      </c>
      <c r="U730" s="276">
        <f>ROUND(C273,0)</f>
        <v>2322813</v>
      </c>
      <c r="V730" s="276">
        <f>ROUND(C274,0)</f>
        <v>121456</v>
      </c>
      <c r="W730" s="276">
        <f>ROUND(C275,0)</f>
        <v>0</v>
      </c>
      <c r="X730" s="276">
        <f>ROUND(C276,0)</f>
        <v>48292871</v>
      </c>
      <c r="Y730" s="276">
        <f>ROUND(C279,0)</f>
        <v>0</v>
      </c>
      <c r="Z730" s="276">
        <f>ROUND(C280,0)</f>
        <v>0</v>
      </c>
      <c r="AA730" s="276">
        <f>ROUND(C281,0)</f>
        <v>58238286</v>
      </c>
      <c r="AB730" s="276">
        <f>ROUND(C282,0)</f>
        <v>0</v>
      </c>
      <c r="AC730" s="276">
        <f>ROUND(C286,0)</f>
        <v>412804</v>
      </c>
      <c r="AD730" s="276">
        <f>ROUND(C287,0)</f>
        <v>0</v>
      </c>
      <c r="AE730" s="276">
        <f>ROUND(C288,0)</f>
        <v>0</v>
      </c>
      <c r="AF730" s="276">
        <f>ROUND(C289,0)</f>
        <v>37811</v>
      </c>
      <c r="AG730" s="276">
        <f>ROUND(C304,0)</f>
        <v>0</v>
      </c>
      <c r="AH730" s="276">
        <f>ROUND(C305,0)</f>
        <v>1224121</v>
      </c>
      <c r="AI730" s="276">
        <f>ROUND(C306,0)</f>
        <v>2587910</v>
      </c>
      <c r="AJ730" s="276">
        <f>ROUND(C307,0)</f>
        <v>-9234965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138564</v>
      </c>
      <c r="AQ730" s="276">
        <f>ROUND(C316,0)</f>
        <v>0</v>
      </c>
      <c r="AR730" s="276">
        <f>ROUND(C317,0)</f>
        <v>0</v>
      </c>
      <c r="AS730" s="276">
        <f>ROUND(C318,0)</f>
        <v>581345</v>
      </c>
      <c r="AT730" s="276">
        <f>ROUND(C321,0)</f>
        <v>0</v>
      </c>
      <c r="AU730" s="276">
        <f>ROUND(C322,0)</f>
        <v>0</v>
      </c>
      <c r="AV730" s="276">
        <f>ROUND(C323,0)</f>
        <v>139988</v>
      </c>
      <c r="AW730" s="276">
        <f>ROUND(C324,0)</f>
        <v>149303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133723596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323.99</v>
      </c>
      <c r="BJ730" s="276">
        <f>ROUND(C359,0)</f>
        <v>62736581</v>
      </c>
      <c r="BK730" s="276">
        <f>ROUND(C360,0)</f>
        <v>185510767</v>
      </c>
      <c r="BL730" s="276">
        <f>ROUND(C364,0)</f>
        <v>164163982</v>
      </c>
      <c r="BM730" s="276">
        <f>ROUND(C365,0)</f>
        <v>3260545</v>
      </c>
      <c r="BN730" s="276">
        <f>ROUND(C366,0)</f>
        <v>0</v>
      </c>
      <c r="BO730" s="276">
        <f>ROUND(C370,0)</f>
        <v>725620</v>
      </c>
      <c r="BP730" s="276">
        <f>ROUND(C371,0)</f>
        <v>0</v>
      </c>
      <c r="BQ730" s="276">
        <f>ROUND(C378,0)</f>
        <v>29986331</v>
      </c>
      <c r="BR730" s="276">
        <f>ROUND(C379,0)</f>
        <v>6727150</v>
      </c>
      <c r="BS730" s="276">
        <f>ROUND(C380,0)</f>
        <v>2540557</v>
      </c>
      <c r="BT730" s="276">
        <f>ROUND(C381,0)</f>
        <v>6312025</v>
      </c>
      <c r="BU730" s="276">
        <f>ROUND(C382,0)</f>
        <v>556384</v>
      </c>
      <c r="BV730" s="276">
        <f>ROUND(C383,0)</f>
        <v>16412215</v>
      </c>
      <c r="BW730" s="276">
        <f>ROUND(C384,0)</f>
        <v>4372881</v>
      </c>
      <c r="BX730" s="276">
        <f>ROUND(C385,0)</f>
        <v>1577341</v>
      </c>
      <c r="BY730" s="276">
        <f>ROUND(C386,0)</f>
        <v>548964</v>
      </c>
      <c r="BZ730" s="276">
        <f>ROUND(C387,0)</f>
        <v>804292</v>
      </c>
      <c r="CA730" s="276">
        <f>ROUND(C388,0)</f>
        <v>168246</v>
      </c>
      <c r="CB730" s="276">
        <f>C363</f>
        <v>5012509.76</v>
      </c>
      <c r="CC730" s="276">
        <f>ROUND(C389,0)</f>
        <v>464897</v>
      </c>
      <c r="CD730" s="276">
        <f>ROUND(C392,0)</f>
        <v>3333547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035*2019*6010*A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035*2019*6030*A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2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035*2019*6070*A</v>
      </c>
      <c r="B736" s="276">
        <f>ROUND(E59,0)</f>
        <v>5143</v>
      </c>
      <c r="C736" s="278">
        <f>ROUND(E60,2)</f>
        <v>40.46</v>
      </c>
      <c r="D736" s="276">
        <f>ROUND(E61,0)</f>
        <v>3564840</v>
      </c>
      <c r="E736" s="276">
        <f>ROUND(E62,0)</f>
        <v>896963</v>
      </c>
      <c r="F736" s="276">
        <f>ROUND(E63,0)</f>
        <v>0</v>
      </c>
      <c r="G736" s="276">
        <f>ROUND(E64,0)</f>
        <v>220952</v>
      </c>
      <c r="H736" s="276">
        <f>ROUND(E65,0)</f>
        <v>888</v>
      </c>
      <c r="I736" s="276">
        <f>ROUND(E66,0)</f>
        <v>149868</v>
      </c>
      <c r="J736" s="276">
        <f>ROUND(E67,0)</f>
        <v>399024</v>
      </c>
      <c r="K736" s="276">
        <f>ROUND(E68,0)</f>
        <v>3509</v>
      </c>
      <c r="L736" s="276">
        <f>ROUND(E69,0)</f>
        <v>14702</v>
      </c>
      <c r="M736" s="276">
        <f>ROUND(E70,0)</f>
        <v>3000</v>
      </c>
      <c r="N736" s="276">
        <f>ROUND(E75,0)</f>
        <v>20430447</v>
      </c>
      <c r="O736" s="276">
        <f>ROUND(E73,0)</f>
        <v>16994767</v>
      </c>
      <c r="P736" s="276">
        <f>IF(E76&gt;0,ROUND(E76,0),0)</f>
        <v>15865</v>
      </c>
      <c r="Q736" s="276">
        <f>IF(E77&gt;0,ROUND(E77,0),0)</f>
        <v>24945</v>
      </c>
      <c r="R736" s="276">
        <f>IF(E78&gt;0,ROUND(E78,0),0)</f>
        <v>5677</v>
      </c>
      <c r="S736" s="276">
        <f>IF(E79&gt;0,ROUND(E79,0),0)</f>
        <v>72592</v>
      </c>
      <c r="T736" s="278">
        <f>IF(E80&gt;0,ROUND(E80,2),0)</f>
        <v>23.09</v>
      </c>
      <c r="U736" s="276"/>
      <c r="V736" s="277"/>
      <c r="W736" s="276"/>
      <c r="X736" s="276"/>
      <c r="Y736" s="276">
        <f t="shared" si="22"/>
        <v>4406930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035*2019*6100*A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2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035*2019*6120*A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11978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2"/>
        <v>2053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035*2019*6140*A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035*2019*6150*A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035*2019*6170*A</v>
      </c>
      <c r="B741" s="276">
        <f>ROUND(J59,0)</f>
        <v>524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035*2019*6200*A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035*2019*6210*A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035*2019*6330*A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035*2019*6400*A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035*2019*7010*A</v>
      </c>
      <c r="B746" s="276">
        <f>ROUND(O59,0)</f>
        <v>1165</v>
      </c>
      <c r="C746" s="278">
        <f>ROUND(O60,2)</f>
        <v>13.06</v>
      </c>
      <c r="D746" s="276">
        <f>ROUND(O61,0)</f>
        <v>1426263</v>
      </c>
      <c r="E746" s="276">
        <f>ROUND(O62,0)</f>
        <v>324045</v>
      </c>
      <c r="F746" s="276">
        <f>ROUND(O63,0)</f>
        <v>0</v>
      </c>
      <c r="G746" s="276">
        <f>ROUND(O64,0)</f>
        <v>75735</v>
      </c>
      <c r="H746" s="276">
        <f>ROUND(O65,0)</f>
        <v>0</v>
      </c>
      <c r="I746" s="276">
        <f>ROUND(O66,0)</f>
        <v>64100</v>
      </c>
      <c r="J746" s="276">
        <f>ROUND(O67,0)</f>
        <v>155252</v>
      </c>
      <c r="K746" s="276">
        <f>ROUND(O68,0)</f>
        <v>1470</v>
      </c>
      <c r="L746" s="276">
        <f>ROUND(O69,0)</f>
        <v>9559</v>
      </c>
      <c r="M746" s="276">
        <f>ROUND(O70,0)</f>
        <v>920</v>
      </c>
      <c r="N746" s="276">
        <f>ROUND(O75,0)</f>
        <v>7756306</v>
      </c>
      <c r="O746" s="276">
        <f>ROUND(O73,0)</f>
        <v>7312352</v>
      </c>
      <c r="P746" s="276">
        <f>IF(O76&gt;0,ROUND(O76,0),0)</f>
        <v>5994</v>
      </c>
      <c r="Q746" s="276">
        <f>IF(O77&gt;0,ROUND(O77,0),0)</f>
        <v>0</v>
      </c>
      <c r="R746" s="276">
        <f>IF(O78&gt;0,ROUND(O78,0),0)</f>
        <v>2145</v>
      </c>
      <c r="S746" s="276">
        <f>IF(O79&gt;0,ROUND(O79,0),0)</f>
        <v>19948</v>
      </c>
      <c r="T746" s="278">
        <f>IF(O80&gt;0,ROUND(O80,2),0)</f>
        <v>10.55</v>
      </c>
      <c r="U746" s="276"/>
      <c r="V746" s="277"/>
      <c r="W746" s="276"/>
      <c r="X746" s="276"/>
      <c r="Y746" s="276">
        <f t="shared" si="22"/>
        <v>1173320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035*2019*7020*A</v>
      </c>
      <c r="B747" s="276">
        <f>ROUND(P59,0)</f>
        <v>156330</v>
      </c>
      <c r="C747" s="278">
        <f>ROUND(P60,2)</f>
        <v>22.79</v>
      </c>
      <c r="D747" s="276">
        <f>ROUND(P61,0)</f>
        <v>2104301</v>
      </c>
      <c r="E747" s="276">
        <f>ROUND(P62,0)</f>
        <v>514982</v>
      </c>
      <c r="F747" s="276">
        <f>ROUND(P63,0)</f>
        <v>58349</v>
      </c>
      <c r="G747" s="276">
        <f>ROUND(P64,0)</f>
        <v>2812442</v>
      </c>
      <c r="H747" s="276">
        <f>ROUND(P65,0)</f>
        <v>1774</v>
      </c>
      <c r="I747" s="276">
        <f>ROUND(P66,0)</f>
        <v>377755</v>
      </c>
      <c r="J747" s="276">
        <f>ROUND(P67,0)</f>
        <v>1254494</v>
      </c>
      <c r="K747" s="276">
        <f>ROUND(P68,0)</f>
        <v>19328</v>
      </c>
      <c r="L747" s="276">
        <f>ROUND(P69,0)</f>
        <v>19381</v>
      </c>
      <c r="M747" s="276">
        <f>ROUND(P70,0)</f>
        <v>0</v>
      </c>
      <c r="N747" s="276">
        <f>ROUND(P75,0)</f>
        <v>62345696</v>
      </c>
      <c r="O747" s="276">
        <f>ROUND(P73,0)</f>
        <v>15708191</v>
      </c>
      <c r="P747" s="276">
        <f>IF(P76&gt;0,ROUND(P76,0),0)</f>
        <v>17054</v>
      </c>
      <c r="Q747" s="276">
        <f>IF(P77&gt;0,ROUND(P77,0),0)</f>
        <v>0</v>
      </c>
      <c r="R747" s="276">
        <f>IF(P78&gt;0,ROUND(P78,0),0)</f>
        <v>6102</v>
      </c>
      <c r="S747" s="276">
        <f>IF(P79&gt;0,ROUND(P79,0),0)</f>
        <v>52876</v>
      </c>
      <c r="T747" s="278">
        <f>IF(P80&gt;0,ROUND(P80,2),0)</f>
        <v>9.58</v>
      </c>
      <c r="U747" s="276"/>
      <c r="V747" s="277"/>
      <c r="W747" s="276"/>
      <c r="X747" s="276"/>
      <c r="Y747" s="276">
        <f t="shared" si="22"/>
        <v>4025941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035*2019*7030*A</v>
      </c>
      <c r="B748" s="276">
        <f>ROUND(Q59,0)</f>
        <v>7002</v>
      </c>
      <c r="C748" s="278">
        <f>ROUND(Q60,2)</f>
        <v>10.42</v>
      </c>
      <c r="D748" s="276">
        <f>ROUND(Q61,0)</f>
        <v>1158402</v>
      </c>
      <c r="E748" s="276">
        <f>ROUND(Q62,0)</f>
        <v>262429</v>
      </c>
      <c r="F748" s="276">
        <f>ROUND(Q63,0)</f>
        <v>0</v>
      </c>
      <c r="G748" s="276">
        <f>ROUND(Q64,0)</f>
        <v>60574</v>
      </c>
      <c r="H748" s="276">
        <f>ROUND(Q65,0)</f>
        <v>0</v>
      </c>
      <c r="I748" s="276">
        <f>ROUND(Q66,0)</f>
        <v>10167</v>
      </c>
      <c r="J748" s="276">
        <f>ROUND(Q67,0)</f>
        <v>36674</v>
      </c>
      <c r="K748" s="276">
        <f>ROUND(Q68,0)</f>
        <v>1734</v>
      </c>
      <c r="L748" s="276">
        <f>ROUND(Q69,0)</f>
        <v>2880</v>
      </c>
      <c r="M748" s="276">
        <f>ROUND(Q70,0)</f>
        <v>0</v>
      </c>
      <c r="N748" s="276">
        <f>ROUND(Q75,0)</f>
        <v>6681565</v>
      </c>
      <c r="O748" s="276">
        <f>ROUND(Q73,0)</f>
        <v>1200513</v>
      </c>
      <c r="P748" s="276">
        <f>IF(Q76&gt;0,ROUND(Q76,0),0)</f>
        <v>1200</v>
      </c>
      <c r="Q748" s="276">
        <f>IF(Q77&gt;0,ROUND(Q77,0),0)</f>
        <v>0</v>
      </c>
      <c r="R748" s="276">
        <f>IF(Q78&gt;0,ROUND(Q78,0),0)</f>
        <v>429</v>
      </c>
      <c r="S748" s="276">
        <f>IF(Q79&gt;0,ROUND(Q79,0),0)</f>
        <v>0</v>
      </c>
      <c r="T748" s="278">
        <f>IF(Q80&gt;0,ROUND(Q80,2),0)</f>
        <v>8.35</v>
      </c>
      <c r="U748" s="276"/>
      <c r="V748" s="277"/>
      <c r="W748" s="276"/>
      <c r="X748" s="276"/>
      <c r="Y748" s="276">
        <f t="shared" si="22"/>
        <v>687109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035*2019*7040*A</v>
      </c>
      <c r="B749" s="276">
        <f>ROUND(R59,0)</f>
        <v>156090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181896</v>
      </c>
      <c r="G749" s="276">
        <f>ROUND(R64,0)</f>
        <v>71346</v>
      </c>
      <c r="H749" s="276">
        <f>ROUND(R65,0)</f>
        <v>0</v>
      </c>
      <c r="I749" s="276">
        <f>ROUND(R66,0)</f>
        <v>18998</v>
      </c>
      <c r="J749" s="276">
        <f>ROUND(R67,0)</f>
        <v>5886</v>
      </c>
      <c r="K749" s="276">
        <f>ROUND(R68,0)</f>
        <v>-96</v>
      </c>
      <c r="L749" s="276">
        <f>ROUND(R69,0)</f>
        <v>0</v>
      </c>
      <c r="M749" s="276">
        <f>ROUND(R70,0)</f>
        <v>0</v>
      </c>
      <c r="N749" s="276">
        <f>ROUND(R75,0)</f>
        <v>5287372</v>
      </c>
      <c r="O749" s="276">
        <f>ROUND(R73,0)</f>
        <v>1475042</v>
      </c>
      <c r="P749" s="276">
        <f>IF(R76&gt;0,ROUND(R76,0),0)</f>
        <v>192</v>
      </c>
      <c r="Q749" s="276">
        <f>IF(R77&gt;0,ROUND(R77,0),0)</f>
        <v>0</v>
      </c>
      <c r="R749" s="276">
        <f>IF(R78&gt;0,ROUND(R78,0),0)</f>
        <v>69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2"/>
        <v>181167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035*2019*7050*A</v>
      </c>
      <c r="B750" s="276"/>
      <c r="C750" s="278">
        <f>ROUND(S60,2)</f>
        <v>5.09</v>
      </c>
      <c r="D750" s="276">
        <f>ROUND(S61,0)</f>
        <v>288873</v>
      </c>
      <c r="E750" s="276">
        <f>ROUND(S62,0)</f>
        <v>95201</v>
      </c>
      <c r="F750" s="276">
        <f>ROUND(S63,0)</f>
        <v>0</v>
      </c>
      <c r="G750" s="276">
        <f>ROUND(S64,0)</f>
        <v>-62726</v>
      </c>
      <c r="H750" s="276">
        <f>ROUND(S65,0)</f>
        <v>0</v>
      </c>
      <c r="I750" s="276">
        <f>ROUND(S66,0)</f>
        <v>49456</v>
      </c>
      <c r="J750" s="276">
        <f>ROUND(S67,0)</f>
        <v>58068</v>
      </c>
      <c r="K750" s="276">
        <f>ROUND(S68,0)</f>
        <v>1621</v>
      </c>
      <c r="L750" s="276">
        <f>ROUND(S69,0)</f>
        <v>1190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2955</v>
      </c>
      <c r="Q750" s="276">
        <f>IF(S77&gt;0,ROUND(S77,0),0)</f>
        <v>0</v>
      </c>
      <c r="R750" s="276">
        <f>IF(S78&gt;0,ROUND(S78,0),0)</f>
        <v>1057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277762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035*2019*7060*A</v>
      </c>
      <c r="B751" s="276"/>
      <c r="C751" s="278">
        <f>ROUND(T60,2)</f>
        <v>0.08</v>
      </c>
      <c r="D751" s="276">
        <f>ROUND(T61,0)</f>
        <v>23073</v>
      </c>
      <c r="E751" s="276">
        <f>ROUND(T62,0)</f>
        <v>3765</v>
      </c>
      <c r="F751" s="276">
        <f>ROUND(T63,0)</f>
        <v>0</v>
      </c>
      <c r="G751" s="276">
        <f>ROUND(T64,0)</f>
        <v>23842</v>
      </c>
      <c r="H751" s="276">
        <f>ROUND(T65,0)</f>
        <v>0</v>
      </c>
      <c r="I751" s="276">
        <f>ROUND(T66,0)</f>
        <v>21562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430889</v>
      </c>
      <c r="O751" s="276">
        <f>ROUND(T73,0)</f>
        <v>396495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0.08</v>
      </c>
      <c r="U751" s="276"/>
      <c r="V751" s="277"/>
      <c r="W751" s="276"/>
      <c r="X751" s="276"/>
      <c r="Y751" s="276">
        <f t="shared" si="22"/>
        <v>24026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035*2019*7070*A</v>
      </c>
      <c r="B752" s="276">
        <f>ROUND(U59,0)</f>
        <v>86125</v>
      </c>
      <c r="C752" s="278">
        <f>ROUND(U60,2)</f>
        <v>11.26</v>
      </c>
      <c r="D752" s="276">
        <f>ROUND(U61,0)</f>
        <v>858415</v>
      </c>
      <c r="E752" s="276">
        <f>ROUND(U62,0)</f>
        <v>230741</v>
      </c>
      <c r="F752" s="276">
        <f>ROUND(U63,0)</f>
        <v>22327</v>
      </c>
      <c r="G752" s="276">
        <f>ROUND(U64,0)</f>
        <v>491972</v>
      </c>
      <c r="H752" s="276">
        <f>ROUND(U65,0)</f>
        <v>195</v>
      </c>
      <c r="I752" s="276">
        <f>ROUND(U66,0)</f>
        <v>295653</v>
      </c>
      <c r="J752" s="276">
        <f>ROUND(U67,0)</f>
        <v>60320</v>
      </c>
      <c r="K752" s="276">
        <f>ROUND(U68,0)</f>
        <v>69002</v>
      </c>
      <c r="L752" s="276">
        <f>ROUND(U69,0)</f>
        <v>46034</v>
      </c>
      <c r="M752" s="276">
        <f>ROUND(U70,0)</f>
        <v>43397</v>
      </c>
      <c r="N752" s="276">
        <f>ROUND(U75,0)</f>
        <v>12393452</v>
      </c>
      <c r="O752" s="276">
        <f>ROUND(U73,0)</f>
        <v>3759650</v>
      </c>
      <c r="P752" s="276">
        <f>IF(U76&gt;0,ROUND(U76,0),0)</f>
        <v>1626</v>
      </c>
      <c r="Q752" s="276">
        <f>IF(U77&gt;0,ROUND(U77,0),0)</f>
        <v>0</v>
      </c>
      <c r="R752" s="276">
        <f>IF(U78&gt;0,ROUND(U78,0),0)</f>
        <v>582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752047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035*2019*7110*A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035*2019*7120*A</v>
      </c>
      <c r="B754" s="276">
        <f>ROUND(W59,0)</f>
        <v>1389</v>
      </c>
      <c r="C754" s="278">
        <f>ROUND(W60,2)</f>
        <v>1.88</v>
      </c>
      <c r="D754" s="276">
        <f>ROUND(W61,0)</f>
        <v>209089</v>
      </c>
      <c r="E754" s="276">
        <f>ROUND(W62,0)</f>
        <v>47068</v>
      </c>
      <c r="F754" s="276">
        <f>ROUND(W63,0)</f>
        <v>2300</v>
      </c>
      <c r="G754" s="276">
        <f>ROUND(W64,0)</f>
        <v>14489</v>
      </c>
      <c r="H754" s="276">
        <f>ROUND(W65,0)</f>
        <v>0</v>
      </c>
      <c r="I754" s="276">
        <f>ROUND(W66,0)</f>
        <v>134669</v>
      </c>
      <c r="J754" s="276">
        <f>ROUND(W67,0)</f>
        <v>178944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2917973</v>
      </c>
      <c r="O754" s="276">
        <f>ROUND(W73,0)</f>
        <v>213266</v>
      </c>
      <c r="P754" s="276">
        <f>IF(W76&gt;0,ROUND(W76,0),0)</f>
        <v>720</v>
      </c>
      <c r="Q754" s="276">
        <f>IF(W77&gt;0,ROUND(W77,0),0)</f>
        <v>0</v>
      </c>
      <c r="R754" s="276">
        <f>IF(W78&gt;0,ROUND(W78,0),0)</f>
        <v>258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217444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035*2019*7130*A</v>
      </c>
      <c r="B755" s="276">
        <f>ROUND(X59,0)</f>
        <v>5244</v>
      </c>
      <c r="C755" s="278">
        <f>ROUND(X60,2)</f>
        <v>4.92</v>
      </c>
      <c r="D755" s="276">
        <f>ROUND(X61,0)</f>
        <v>502678</v>
      </c>
      <c r="E755" s="276">
        <f>ROUND(X62,0)</f>
        <v>119530</v>
      </c>
      <c r="F755" s="276">
        <f>ROUND(X63,0)</f>
        <v>1350</v>
      </c>
      <c r="G755" s="276">
        <f>ROUND(X64,0)</f>
        <v>53595</v>
      </c>
      <c r="H755" s="276">
        <f>ROUND(X65,0)</f>
        <v>0</v>
      </c>
      <c r="I755" s="276">
        <f>ROUND(X66,0)</f>
        <v>101234</v>
      </c>
      <c r="J755" s="276">
        <f>ROUND(X67,0)</f>
        <v>11319</v>
      </c>
      <c r="K755" s="276">
        <f>ROUND(X68,0)</f>
        <v>0</v>
      </c>
      <c r="L755" s="276">
        <f>ROUND(X69,0)</f>
        <v>392</v>
      </c>
      <c r="M755" s="276">
        <f>ROUND(X70,0)</f>
        <v>0</v>
      </c>
      <c r="N755" s="276">
        <f>ROUND(X75,0)</f>
        <v>12050032</v>
      </c>
      <c r="O755" s="276">
        <f>ROUND(X73,0)</f>
        <v>1226180</v>
      </c>
      <c r="P755" s="276">
        <f>IF(X76&gt;0,ROUND(X76,0),0)</f>
        <v>576</v>
      </c>
      <c r="Q755" s="276">
        <f>IF(X77&gt;0,ROUND(X77,0),0)</f>
        <v>0</v>
      </c>
      <c r="R755" s="276">
        <f>IF(X78&gt;0,ROUND(X78,0),0)</f>
        <v>206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454227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035*2019*7140*A</v>
      </c>
      <c r="B756" s="276">
        <f>ROUND(Y59,0)</f>
        <v>17113</v>
      </c>
      <c r="C756" s="278">
        <f>ROUND(Y60,2)</f>
        <v>11.7</v>
      </c>
      <c r="D756" s="276">
        <f>ROUND(Y61,0)</f>
        <v>1045810</v>
      </c>
      <c r="E756" s="276">
        <f>ROUND(Y62,0)</f>
        <v>261704</v>
      </c>
      <c r="F756" s="276">
        <f>ROUND(Y63,0)</f>
        <v>12579</v>
      </c>
      <c r="G756" s="276">
        <f>ROUND(Y64,0)</f>
        <v>20308</v>
      </c>
      <c r="H756" s="276">
        <f>ROUND(Y65,0)</f>
        <v>76</v>
      </c>
      <c r="I756" s="276">
        <f>ROUND(Y66,0)</f>
        <v>158235</v>
      </c>
      <c r="J756" s="276">
        <f>ROUND(Y67,0)</f>
        <v>396770</v>
      </c>
      <c r="K756" s="276">
        <f>ROUND(Y68,0)</f>
        <v>4070</v>
      </c>
      <c r="L756" s="276">
        <f>ROUND(Y69,0)</f>
        <v>2135</v>
      </c>
      <c r="M756" s="276">
        <f>ROUND(Y70,0)</f>
        <v>4295</v>
      </c>
      <c r="N756" s="276">
        <f>ROUND(Y75,0)</f>
        <v>7265842</v>
      </c>
      <c r="O756" s="276">
        <f>ROUND(Y73,0)</f>
        <v>656273</v>
      </c>
      <c r="P756" s="276">
        <f>IF(Y76&gt;0,ROUND(Y76,0),0)</f>
        <v>9797</v>
      </c>
      <c r="Q756" s="276">
        <f>IF(Y77&gt;0,ROUND(Y77,0),0)</f>
        <v>0</v>
      </c>
      <c r="R756" s="276">
        <f>IF(Y78&gt;0,ROUND(Y78,0),0)</f>
        <v>3505</v>
      </c>
      <c r="S756" s="276">
        <f>IF(Y79&gt;0,ROUND(Y79,0),0)</f>
        <v>27417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2"/>
        <v>1161059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035*2019*7150*A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2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035*2019*7160*A</v>
      </c>
      <c r="B758" s="276">
        <f>ROUND(AA59,0)</f>
        <v>347</v>
      </c>
      <c r="C758" s="278">
        <f>ROUND(AA60,2)</f>
        <v>1.27</v>
      </c>
      <c r="D758" s="276">
        <f>ROUND(AA61,0)</f>
        <v>149186</v>
      </c>
      <c r="E758" s="276">
        <f>ROUND(AA62,0)</f>
        <v>32977</v>
      </c>
      <c r="F758" s="276">
        <f>ROUND(AA63,0)</f>
        <v>4375</v>
      </c>
      <c r="G758" s="276">
        <f>ROUND(AA64,0)</f>
        <v>69407</v>
      </c>
      <c r="H758" s="276">
        <f>ROUND(AA65,0)</f>
        <v>0</v>
      </c>
      <c r="I758" s="276">
        <f>ROUND(AA66,0)</f>
        <v>21443</v>
      </c>
      <c r="J758" s="276">
        <f>ROUND(AA67,0)</f>
        <v>10963</v>
      </c>
      <c r="K758" s="276">
        <f>ROUND(AA68,0)</f>
        <v>0</v>
      </c>
      <c r="L758" s="276">
        <f>ROUND(AA69,0)</f>
        <v>254</v>
      </c>
      <c r="M758" s="276">
        <f>ROUND(AA70,0)</f>
        <v>0</v>
      </c>
      <c r="N758" s="276">
        <f>ROUND(AA75,0)</f>
        <v>877739</v>
      </c>
      <c r="O758" s="276">
        <f>ROUND(AA73,0)</f>
        <v>56821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70848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035*2019*7170*A</v>
      </c>
      <c r="B759" s="276"/>
      <c r="C759" s="278">
        <f>ROUND(AB60,2)</f>
        <v>5.3</v>
      </c>
      <c r="D759" s="276">
        <f>ROUND(AB61,0)</f>
        <v>648606</v>
      </c>
      <c r="E759" s="276">
        <f>ROUND(AB62,0)</f>
        <v>138024</v>
      </c>
      <c r="F759" s="276">
        <f>ROUND(AB63,0)</f>
        <v>0</v>
      </c>
      <c r="G759" s="276">
        <f>ROUND(AB64,0)</f>
        <v>1016175</v>
      </c>
      <c r="H759" s="276">
        <f>ROUND(AB65,0)</f>
        <v>165</v>
      </c>
      <c r="I759" s="276">
        <f>ROUND(AB66,0)</f>
        <v>91189</v>
      </c>
      <c r="J759" s="276">
        <f>ROUND(AB67,0)</f>
        <v>84117</v>
      </c>
      <c r="K759" s="276">
        <f>ROUND(AB68,0)</f>
        <v>9168</v>
      </c>
      <c r="L759" s="276">
        <f>ROUND(AB69,0)</f>
        <v>2746</v>
      </c>
      <c r="M759" s="276">
        <f>ROUND(AB70,0)</f>
        <v>0</v>
      </c>
      <c r="N759" s="276">
        <f>ROUND(AB75,0)</f>
        <v>27796090</v>
      </c>
      <c r="O759" s="276">
        <f>ROUND(AB73,0)</f>
        <v>8885594</v>
      </c>
      <c r="P759" s="276">
        <f>IF(AB76&gt;0,ROUND(AB76,0),0)</f>
        <v>1909</v>
      </c>
      <c r="Q759" s="276">
        <f>IF(AB77&gt;0,ROUND(AB77,0),0)</f>
        <v>0</v>
      </c>
      <c r="R759" s="276">
        <f>IF(AB78&gt;0,ROUND(AB78,0),0)</f>
        <v>683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1109038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035*2019*7180*A</v>
      </c>
      <c r="B760" s="276">
        <f>ROUND(AC59,0)</f>
        <v>11609</v>
      </c>
      <c r="C760" s="278">
        <f>ROUND(AC60,2)</f>
        <v>6.13</v>
      </c>
      <c r="D760" s="276">
        <f>ROUND(AC61,0)</f>
        <v>515745</v>
      </c>
      <c r="E760" s="276">
        <f>ROUND(AC62,0)</f>
        <v>137052</v>
      </c>
      <c r="F760" s="276">
        <f>ROUND(AC63,0)</f>
        <v>0</v>
      </c>
      <c r="G760" s="276">
        <f>ROUND(AC64,0)</f>
        <v>21728</v>
      </c>
      <c r="H760" s="276">
        <f>ROUND(AC65,0)</f>
        <v>16</v>
      </c>
      <c r="I760" s="276">
        <f>ROUND(AC66,0)</f>
        <v>459</v>
      </c>
      <c r="J760" s="276">
        <f>ROUND(AC67,0)</f>
        <v>13087</v>
      </c>
      <c r="K760" s="276">
        <f>ROUND(AC68,0)</f>
        <v>42</v>
      </c>
      <c r="L760" s="276">
        <f>ROUND(AC69,0)</f>
        <v>3461</v>
      </c>
      <c r="M760" s="276">
        <f>ROUND(AC70,0)</f>
        <v>0</v>
      </c>
      <c r="N760" s="276">
        <f>ROUND(AC75,0)</f>
        <v>4584710</v>
      </c>
      <c r="O760" s="276">
        <f>ROUND(AC73,0)</f>
        <v>2241838</v>
      </c>
      <c r="P760" s="276">
        <f>IF(AC76&gt;0,ROUND(AC76,0),0)</f>
        <v>171</v>
      </c>
      <c r="Q760" s="276">
        <f>IF(AC77&gt;0,ROUND(AC77,0),0)</f>
        <v>0</v>
      </c>
      <c r="R760" s="276">
        <f>IF(AC78&gt;0,ROUND(AC78,0),0)</f>
        <v>61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241139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035*2019*7190*A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035*2019*7200*A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129464</v>
      </c>
      <c r="J762" s="276">
        <f>ROUND(AE67,0)</f>
        <v>3773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462340</v>
      </c>
      <c r="O762" s="276">
        <f>ROUND(AE73,0)</f>
        <v>369191</v>
      </c>
      <c r="P762" s="276">
        <f>IF(AE76&gt;0,ROUND(AE76,0),0)</f>
        <v>192</v>
      </c>
      <c r="Q762" s="276">
        <f>IF(AE77&gt;0,ROUND(AE77,0),0)</f>
        <v>0</v>
      </c>
      <c r="R762" s="276">
        <f>IF(AE78&gt;0,ROUND(AE78,0),0)</f>
        <v>69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46275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035*2019*7220*A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035*2019*7230*A</v>
      </c>
      <c r="B764" s="276">
        <f>ROUND(AG59,0)</f>
        <v>14985</v>
      </c>
      <c r="C764" s="278">
        <f>ROUND(AG60,2)</f>
        <v>22.71</v>
      </c>
      <c r="D764" s="276">
        <f>ROUND(AG61,0)</f>
        <v>2213607</v>
      </c>
      <c r="E764" s="276">
        <f>ROUND(AG62,0)</f>
        <v>533007</v>
      </c>
      <c r="F764" s="276">
        <f>ROUND(AG63,0)</f>
        <v>281007</v>
      </c>
      <c r="G764" s="276">
        <f>ROUND(AG64,0)</f>
        <v>226409</v>
      </c>
      <c r="H764" s="276">
        <f>ROUND(AG65,0)</f>
        <v>650</v>
      </c>
      <c r="I764" s="276">
        <f>ROUND(AG66,0)</f>
        <v>138004</v>
      </c>
      <c r="J764" s="276">
        <f>ROUND(AG67,0)</f>
        <v>208147</v>
      </c>
      <c r="K764" s="276">
        <f>ROUND(AG68,0)</f>
        <v>1171</v>
      </c>
      <c r="L764" s="276">
        <f>ROUND(AG69,0)</f>
        <v>7520</v>
      </c>
      <c r="M764" s="276">
        <f>ROUND(AG70,0)</f>
        <v>0</v>
      </c>
      <c r="N764" s="276">
        <f>ROUND(AG75,0)</f>
        <v>47051949</v>
      </c>
      <c r="O764" s="276">
        <f>ROUND(AG73,0)</f>
        <v>1976398</v>
      </c>
      <c r="P764" s="276">
        <f>IF(AG76&gt;0,ROUND(AG76,0),0)</f>
        <v>8332</v>
      </c>
      <c r="Q764" s="276">
        <f>IF(AG77&gt;0,ROUND(AG77,0),0)</f>
        <v>0</v>
      </c>
      <c r="R764" s="276">
        <f>IF(AG78&gt;0,ROUND(AG78,0),0)</f>
        <v>2981</v>
      </c>
      <c r="S764" s="276">
        <f>IF(AG79&gt;0,ROUND(AG79,0),0)</f>
        <v>67279</v>
      </c>
      <c r="T764" s="278">
        <f>IF(AG80&gt;0,ROUND(AG80,2),0)</f>
        <v>14.9</v>
      </c>
      <c r="U764" s="276"/>
      <c r="V764" s="277"/>
      <c r="W764" s="276"/>
      <c r="X764" s="276"/>
      <c r="Y764" s="276">
        <f t="shared" si="22"/>
        <v>2597264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035*2019*7240*A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035*2019*7250*A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035*2019*7260*A</v>
      </c>
      <c r="B767" s="276">
        <f>ROUND(AJ59,0)</f>
        <v>101240</v>
      </c>
      <c r="C767" s="278">
        <f>ROUND(AJ60,2)</f>
        <v>124.59</v>
      </c>
      <c r="D767" s="276">
        <f>ROUND(AJ61,0)</f>
        <v>12281694</v>
      </c>
      <c r="E767" s="276">
        <f>ROUND(AJ62,0)</f>
        <v>2287696</v>
      </c>
      <c r="F767" s="276">
        <f>ROUND(AJ63,0)</f>
        <v>0</v>
      </c>
      <c r="G767" s="276">
        <f>ROUND(AJ64,0)</f>
        <v>780648</v>
      </c>
      <c r="H767" s="276">
        <f>ROUND(AJ65,0)</f>
        <v>108784</v>
      </c>
      <c r="I767" s="276">
        <f>ROUND(AJ66,0)</f>
        <v>908390</v>
      </c>
      <c r="J767" s="276">
        <f>ROUND(AJ67,0)</f>
        <v>669015</v>
      </c>
      <c r="K767" s="276">
        <f>ROUND(AJ68,0)</f>
        <v>1379973</v>
      </c>
      <c r="L767" s="276">
        <f>ROUND(AJ69,0)</f>
        <v>539749</v>
      </c>
      <c r="M767" s="276">
        <f>ROUND(AJ70,0)</f>
        <v>298815</v>
      </c>
      <c r="N767" s="276">
        <f>ROUND(AJ75,0)</f>
        <v>29749293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21.46</v>
      </c>
      <c r="U767" s="276"/>
      <c r="V767" s="277"/>
      <c r="W767" s="276"/>
      <c r="X767" s="276"/>
      <c r="Y767" s="276">
        <f t="shared" si="22"/>
        <v>4472757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035*2019*7310*A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66540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292552</v>
      </c>
      <c r="O768" s="276">
        <f>ROUND(AK73,0)</f>
        <v>250755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18080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035*2019*7320*A</v>
      </c>
      <c r="B769" s="276">
        <f>ROUND(AL59,0)</f>
        <v>0</v>
      </c>
      <c r="C769" s="278">
        <f>ROUND(AL60,2)</f>
        <v>0</v>
      </c>
      <c r="D769" s="276">
        <f>ROUND(AL61,0)</f>
        <v>192</v>
      </c>
      <c r="E769" s="276">
        <f>ROUND(AL62,0)</f>
        <v>23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21219</v>
      </c>
      <c r="J769" s="276">
        <f>ROUND(AL67,0)</f>
        <v>0</v>
      </c>
      <c r="K769" s="276">
        <f>ROUND(AL68,0)</f>
        <v>0</v>
      </c>
      <c r="L769" s="276">
        <f>ROUND(AL69,0)</f>
        <v>34</v>
      </c>
      <c r="M769" s="276">
        <f>ROUND(AL70,0)</f>
        <v>0</v>
      </c>
      <c r="N769" s="276">
        <f>ROUND(AL75,0)</f>
        <v>68822</v>
      </c>
      <c r="O769" s="276">
        <f>ROUND(AL73,0)</f>
        <v>59859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5250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035*2019*7330*A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035*2019*7340*A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035*2019*7350*A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035*2019*7380*A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2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035*2019*7390*A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035*2019*7400*A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035*2019*7410*A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035*2019*7420*A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035*2019*7430*A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035*2019*7490*A</v>
      </c>
      <c r="B779" s="276"/>
      <c r="C779" s="278">
        <f>ROUND(AV60,2)</f>
        <v>0.02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230421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-195721</v>
      </c>
      <c r="O779" s="276">
        <f>ROUND(AV73,0)</f>
        <v>-46604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2"/>
        <v>35056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035*2019*8200*A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035*2019*8310*A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19488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035*2019*8320*A</v>
      </c>
      <c r="B782" s="276">
        <f>ROUND(AY59,0)</f>
        <v>24945</v>
      </c>
      <c r="C782" s="278">
        <f>ROUND(AY60,2)</f>
        <v>11.81</v>
      </c>
      <c r="D782" s="276">
        <f>ROUND(AY61,0)</f>
        <v>476831</v>
      </c>
      <c r="E782" s="276">
        <f>ROUND(AY62,0)</f>
        <v>197116</v>
      </c>
      <c r="F782" s="276">
        <f>ROUND(AY63,0)</f>
        <v>0</v>
      </c>
      <c r="G782" s="276">
        <f>ROUND(AY64,0)</f>
        <v>279541</v>
      </c>
      <c r="H782" s="276">
        <f>ROUND(AY65,0)</f>
        <v>361</v>
      </c>
      <c r="I782" s="276">
        <f>ROUND(AY66,0)</f>
        <v>314824</v>
      </c>
      <c r="J782" s="276">
        <f>ROUND(AY67,0)</f>
        <v>122274</v>
      </c>
      <c r="K782" s="276">
        <f>ROUND(AY68,0)</f>
        <v>3497</v>
      </c>
      <c r="L782" s="276">
        <f>ROUND(AY69,0)</f>
        <v>21381</v>
      </c>
      <c r="M782" s="276">
        <f>ROUND(AY70,0)</f>
        <v>368136</v>
      </c>
      <c r="N782" s="276"/>
      <c r="O782" s="276"/>
      <c r="P782" s="276">
        <f>IF(AY76&gt;0,ROUND(AY76,0),0)</f>
        <v>4171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035*2019*8330*A</v>
      </c>
      <c r="B783" s="276">
        <f>ROUND(AZ59,0)</f>
        <v>101157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035*2019*8350*A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035*2019*8360*A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035*2019*8370*A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035*2019*8420*A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035*2019*8430*A</v>
      </c>
      <c r="B788" s="276">
        <f>ROUND(BE59,0)</f>
        <v>100342</v>
      </c>
      <c r="C788" s="278">
        <f>ROUND(BE60,2)</f>
        <v>3.73</v>
      </c>
      <c r="D788" s="276">
        <f>ROUND(BE61,0)</f>
        <v>265282</v>
      </c>
      <c r="E788" s="276">
        <f>ROUND(BE62,0)</f>
        <v>78261</v>
      </c>
      <c r="F788" s="276">
        <f>ROUND(BE63,0)</f>
        <v>0</v>
      </c>
      <c r="G788" s="276">
        <f>ROUND(BE64,0)</f>
        <v>16199</v>
      </c>
      <c r="H788" s="276">
        <f>ROUND(BE65,0)</f>
        <v>408804</v>
      </c>
      <c r="I788" s="276">
        <f>ROUND(BE66,0)</f>
        <v>1715730</v>
      </c>
      <c r="J788" s="276">
        <f>ROUND(BE67,0)</f>
        <v>92235</v>
      </c>
      <c r="K788" s="276">
        <f>ROUND(BE68,0)</f>
        <v>10258</v>
      </c>
      <c r="L788" s="276">
        <f>ROUND(BE69,0)</f>
        <v>1883</v>
      </c>
      <c r="M788" s="276">
        <f>ROUND(BE70,0)</f>
        <v>11</v>
      </c>
      <c r="N788" s="276"/>
      <c r="O788" s="276"/>
      <c r="P788" s="276">
        <f>IF(BE76&gt;0,ROUND(BE76,0),0)</f>
        <v>3559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035*2019*8460*A</v>
      </c>
      <c r="B789" s="276"/>
      <c r="C789" s="278">
        <f>ROUND(BF60,2)</f>
        <v>11.85</v>
      </c>
      <c r="D789" s="276">
        <f>ROUND(BF61,0)</f>
        <v>554416</v>
      </c>
      <c r="E789" s="276">
        <f>ROUND(BF62,0)</f>
        <v>200782</v>
      </c>
      <c r="F789" s="276">
        <f>ROUND(BF63,0)</f>
        <v>0</v>
      </c>
      <c r="G789" s="276">
        <f>ROUND(BF64,0)</f>
        <v>58106</v>
      </c>
      <c r="H789" s="276">
        <f>ROUND(BF65,0)</f>
        <v>368</v>
      </c>
      <c r="I789" s="276">
        <f>ROUND(BF66,0)</f>
        <v>94333</v>
      </c>
      <c r="J789" s="276">
        <f>ROUND(BF67,0)</f>
        <v>38558</v>
      </c>
      <c r="K789" s="276">
        <f>ROUND(BF68,0)</f>
        <v>2011</v>
      </c>
      <c r="L789" s="276">
        <f>ROUND(BF69,0)</f>
        <v>455</v>
      </c>
      <c r="M789" s="276">
        <f>ROUND(BF70,0)</f>
        <v>0</v>
      </c>
      <c r="N789" s="276"/>
      <c r="O789" s="276"/>
      <c r="P789" s="276">
        <f>IF(BF76&gt;0,ROUND(BF76,0),0)</f>
        <v>1455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035*2019*8470*A</v>
      </c>
      <c r="B790" s="276"/>
      <c r="C790" s="278">
        <f>ROUND(BG60,2)</f>
        <v>0</v>
      </c>
      <c r="D790" s="276">
        <f>ROUND(BG61,0)</f>
        <v>-1561</v>
      </c>
      <c r="E790" s="276">
        <f>ROUND(BG62,0)</f>
        <v>-426</v>
      </c>
      <c r="F790" s="276">
        <f>ROUND(BG63,0)</f>
        <v>0</v>
      </c>
      <c r="G790" s="276">
        <f>ROUND(BG64,0)</f>
        <v>0</v>
      </c>
      <c r="H790" s="276">
        <f>ROUND(BG65,0)</f>
        <v>33153</v>
      </c>
      <c r="I790" s="276">
        <f>ROUND(BG66,0)</f>
        <v>83896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035*2019*8480*A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123</v>
      </c>
      <c r="H791" s="276">
        <f>ROUND(BH65,0)</f>
        <v>0</v>
      </c>
      <c r="I791" s="276">
        <f>ROUND(BH66,0)</f>
        <v>614012</v>
      </c>
      <c r="J791" s="276">
        <f>ROUND(BH67,0)</f>
        <v>84114</v>
      </c>
      <c r="K791" s="276">
        <f>ROUND(BH68,0)</f>
        <v>2824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035*2019*8490*A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035*2019*8510*A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87264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035*2019*8530*A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557814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035*2019*8560*A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9291</v>
      </c>
      <c r="H795" s="276">
        <f>ROUND(BL65,0)</f>
        <v>0</v>
      </c>
      <c r="I795" s="276">
        <f>ROUND(BL66,0)</f>
        <v>1505436</v>
      </c>
      <c r="J795" s="276">
        <f>ROUND(BL67,0)</f>
        <v>142</v>
      </c>
      <c r="K795" s="276">
        <f>ROUND(BL68,0)</f>
        <v>9237</v>
      </c>
      <c r="L795" s="276">
        <f>ROUND(BL69,0)</f>
        <v>8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035*2019*8590*A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035*2019*8610*A</v>
      </c>
      <c r="B797" s="276"/>
      <c r="C797" s="278">
        <f>ROUND(BN60,2)</f>
        <v>2.2400000000000002</v>
      </c>
      <c r="D797" s="276">
        <f>ROUND(BN61,0)</f>
        <v>309278</v>
      </c>
      <c r="E797" s="276">
        <f>ROUND(BN62,0)</f>
        <v>60604</v>
      </c>
      <c r="F797" s="276">
        <f>ROUND(BN63,0)</f>
        <v>0</v>
      </c>
      <c r="G797" s="276">
        <f>ROUND(BN64,0)</f>
        <v>22510</v>
      </c>
      <c r="H797" s="276">
        <f>ROUND(BN65,0)</f>
        <v>442</v>
      </c>
      <c r="I797" s="276">
        <f>ROUND(BN66,0)</f>
        <v>635143</v>
      </c>
      <c r="J797" s="276">
        <f>ROUND(BN67,0)</f>
        <v>444746</v>
      </c>
      <c r="K797" s="276">
        <f>ROUND(BN68,0)</f>
        <v>12099</v>
      </c>
      <c r="L797" s="276">
        <f>ROUND(BN69,0)</f>
        <v>39301</v>
      </c>
      <c r="M797" s="276">
        <f>ROUND(BN70,0)</f>
        <v>6716</v>
      </c>
      <c r="N797" s="276"/>
      <c r="O797" s="276"/>
      <c r="P797" s="276">
        <f>IF(BN76&gt;0,ROUND(BN76,0),0)</f>
        <v>22286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035*2019*8620*A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63608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035*2019*8630*A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335208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035*2019*8640*A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035*2019*8650*A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47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214014</v>
      </c>
      <c r="J801" s="276">
        <f>ROUND(BR67,0)</f>
        <v>0</v>
      </c>
      <c r="K801" s="276">
        <f>ROUND(BR68,0)</f>
        <v>0</v>
      </c>
      <c r="L801" s="276">
        <f>ROUND(BR69,0)</f>
        <v>219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035*2019*8660*A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17576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035*2019*8670*A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30092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035*2019*8680*A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10483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035*2019*8690*A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767036</v>
      </c>
      <c r="J805" s="276">
        <f>ROUND(BV67,0)</f>
        <v>41502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2112</v>
      </c>
      <c r="Q805" s="276">
        <f>IF(BV77&gt;0,ROUND(BV77,0),0)</f>
        <v>0</v>
      </c>
      <c r="R805" s="276">
        <f>IF(BV78&gt;0,ROUND(BV78,0),0)</f>
        <v>756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035*2019*8700*A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154453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035*2019*8710*A</v>
      </c>
      <c r="B807" s="276"/>
      <c r="C807" s="278">
        <f>ROUND(BX60,2)</f>
        <v>1</v>
      </c>
      <c r="D807" s="276">
        <f>ROUND(BX61,0)</f>
        <v>86798</v>
      </c>
      <c r="E807" s="276">
        <f>ROUND(BX62,0)</f>
        <v>22439</v>
      </c>
      <c r="F807" s="276">
        <f>ROUND(BX63,0)</f>
        <v>0</v>
      </c>
      <c r="G807" s="276">
        <f>ROUND(BX64,0)</f>
        <v>41</v>
      </c>
      <c r="H807" s="276">
        <f>ROUND(BX65,0)</f>
        <v>0</v>
      </c>
      <c r="I807" s="276">
        <f>ROUND(BX66,0)</f>
        <v>798464</v>
      </c>
      <c r="J807" s="276">
        <f>ROUND(BX67,0)</f>
        <v>0</v>
      </c>
      <c r="K807" s="276">
        <f>ROUND(BX68,0)</f>
        <v>83</v>
      </c>
      <c r="L807" s="276">
        <f>ROUND(BX69,0)</f>
        <v>499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035*2019*8720*A</v>
      </c>
      <c r="B808" s="276"/>
      <c r="C808" s="278">
        <f>ROUND(BY60,2)</f>
        <v>11.68</v>
      </c>
      <c r="D808" s="276">
        <f>ROUND(BY61,0)</f>
        <v>1178552</v>
      </c>
      <c r="E808" s="276">
        <f>ROUND(BY62,0)</f>
        <v>283034</v>
      </c>
      <c r="F808" s="276">
        <f>ROUND(BY63,0)</f>
        <v>0</v>
      </c>
      <c r="G808" s="276">
        <f>ROUND(BY64,0)</f>
        <v>3275</v>
      </c>
      <c r="H808" s="276">
        <f>ROUND(BY65,0)</f>
        <v>707</v>
      </c>
      <c r="I808" s="276">
        <f>ROUND(BY66,0)</f>
        <v>28829</v>
      </c>
      <c r="J808" s="276">
        <f>ROUND(BY67,0)</f>
        <v>3459</v>
      </c>
      <c r="K808" s="276">
        <f>ROUND(BY68,0)</f>
        <v>4559</v>
      </c>
      <c r="L808" s="276">
        <f>ROUND(BY69,0)</f>
        <v>6401</v>
      </c>
      <c r="M808" s="276">
        <f>ROUND(BY70,0)</f>
        <v>332</v>
      </c>
      <c r="N808" s="276"/>
      <c r="O808" s="276"/>
      <c r="P808" s="276">
        <f>IF(BY76&gt;0,ROUND(BY76,0),0)</f>
        <v>176</v>
      </c>
      <c r="Q808" s="276">
        <f>IF(BY77&gt;0,ROUND(BY77,0),0)</f>
        <v>0</v>
      </c>
      <c r="R808" s="276">
        <f>IF(BY78&gt;0,ROUND(BY78,0),0)</f>
        <v>63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035*2019*8730*A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035*2019*8740*A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93034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035*2019*8770*A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11254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035*2019*8790*A</v>
      </c>
      <c r="B812" s="276"/>
      <c r="C812" s="278">
        <f>ROUND(CC60,2)</f>
        <v>0</v>
      </c>
      <c r="D812" s="276">
        <f>ROUND(CC61,0)</f>
        <v>125959</v>
      </c>
      <c r="E812" s="276">
        <f>ROUND(CC62,0)</f>
        <v>86</v>
      </c>
      <c r="F812" s="276">
        <f>ROUND(CC63,0)</f>
        <v>1976375</v>
      </c>
      <c r="G812" s="276">
        <f>ROUND(CC64,0)</f>
        <v>26043</v>
      </c>
      <c r="H812" s="276">
        <f>ROUND(CC65,0)</f>
        <v>0</v>
      </c>
      <c r="I812" s="276">
        <f>ROUND(CC66,0)</f>
        <v>5259419</v>
      </c>
      <c r="J812" s="276">
        <f>ROUND(CC67,0)</f>
        <v>0</v>
      </c>
      <c r="K812" s="276">
        <f>ROUND(CC68,0)</f>
        <v>41780</v>
      </c>
      <c r="L812" s="276">
        <f>ROUND(CC69,0)</f>
        <v>-255288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035*2019*9000*A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1521503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3">SUM(C734:C813)</f>
        <v>323.99000000000007</v>
      </c>
      <c r="D815" s="277">
        <f t="shared" si="23"/>
        <v>29986329</v>
      </c>
      <c r="E815" s="277">
        <f t="shared" si="23"/>
        <v>6727150</v>
      </c>
      <c r="F815" s="277">
        <f t="shared" si="23"/>
        <v>2540558</v>
      </c>
      <c r="G815" s="277">
        <f t="shared" si="23"/>
        <v>6312025</v>
      </c>
      <c r="H815" s="277">
        <f t="shared" si="23"/>
        <v>556383</v>
      </c>
      <c r="I815" s="277">
        <f t="shared" si="23"/>
        <v>16412214</v>
      </c>
      <c r="J815" s="277">
        <f t="shared" si="23"/>
        <v>4372883</v>
      </c>
      <c r="K815" s="277">
        <f t="shared" si="23"/>
        <v>1577340</v>
      </c>
      <c r="L815" s="277">
        <f>SUM(L734:L813)+SUM(U734:U813)</f>
        <v>1986399</v>
      </c>
      <c r="M815" s="277">
        <f>SUM(M734:M813)+SUM(V734:V813)</f>
        <v>725622</v>
      </c>
      <c r="N815" s="277">
        <f t="shared" ref="N815:Y815" si="24">SUM(N734:N813)</f>
        <v>248247348</v>
      </c>
      <c r="O815" s="277">
        <f t="shared" si="24"/>
        <v>62736581</v>
      </c>
      <c r="P815" s="277">
        <f t="shared" si="24"/>
        <v>100342</v>
      </c>
      <c r="Q815" s="277">
        <f t="shared" si="24"/>
        <v>24945</v>
      </c>
      <c r="R815" s="277">
        <f t="shared" si="24"/>
        <v>24643</v>
      </c>
      <c r="S815" s="277">
        <f t="shared" si="24"/>
        <v>240112</v>
      </c>
      <c r="T815" s="281">
        <f t="shared" si="24"/>
        <v>88.009999999999991</v>
      </c>
      <c r="U815" s="277">
        <f t="shared" si="24"/>
        <v>1521503</v>
      </c>
      <c r="V815" s="277">
        <f t="shared" si="24"/>
        <v>0</v>
      </c>
      <c r="W815" s="277">
        <f t="shared" si="24"/>
        <v>0</v>
      </c>
      <c r="X815" s="277">
        <f t="shared" si="24"/>
        <v>0</v>
      </c>
      <c r="Y815" s="277">
        <f t="shared" si="24"/>
        <v>21958792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323.99000000000007</v>
      </c>
      <c r="D816" s="277">
        <f>CE61</f>
        <v>29986331.309999995</v>
      </c>
      <c r="E816" s="277">
        <f>CE62</f>
        <v>6727150</v>
      </c>
      <c r="F816" s="277">
        <f>CE63</f>
        <v>2540556.9299999997</v>
      </c>
      <c r="G816" s="277">
        <f>CE64</f>
        <v>6312025</v>
      </c>
      <c r="H816" s="280">
        <f>CE65</f>
        <v>556384.34</v>
      </c>
      <c r="I816" s="280">
        <f>CE66</f>
        <v>16412216.085950296</v>
      </c>
      <c r="J816" s="280">
        <f>CE67</f>
        <v>4372883</v>
      </c>
      <c r="K816" s="280">
        <f>CE68</f>
        <v>1577340.9</v>
      </c>
      <c r="L816" s="280">
        <f>CE69</f>
        <v>1986399.89</v>
      </c>
      <c r="M816" s="280">
        <f>CE70</f>
        <v>725620.06000000017</v>
      </c>
      <c r="N816" s="277">
        <f>CE75</f>
        <v>248247347.83999997</v>
      </c>
      <c r="O816" s="277">
        <f>CE73</f>
        <v>62736581.159999989</v>
      </c>
      <c r="P816" s="277">
        <f>CE76</f>
        <v>100342</v>
      </c>
      <c r="Q816" s="277">
        <f>CE77</f>
        <v>24945</v>
      </c>
      <c r="R816" s="277">
        <f>CE78</f>
        <v>24642.780000000002</v>
      </c>
      <c r="S816" s="277">
        <f>CE79</f>
        <v>240113.11000000002</v>
      </c>
      <c r="T816" s="281">
        <f>CE80</f>
        <v>88.009999999999991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21958793.712485049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29986331.080000002</v>
      </c>
      <c r="E817" s="180">
        <f>C379</f>
        <v>6727149.8600000003</v>
      </c>
      <c r="F817" s="180">
        <f>C380</f>
        <v>2540556.7799999998</v>
      </c>
      <c r="G817" s="240">
        <f>C381</f>
        <v>6312024.7300000004</v>
      </c>
      <c r="H817" s="240">
        <f>C382</f>
        <v>556384.34</v>
      </c>
      <c r="I817" s="240">
        <f>C383</f>
        <v>16412215.369999999</v>
      </c>
      <c r="J817" s="240">
        <f>C384</f>
        <v>4372880.93</v>
      </c>
      <c r="K817" s="240">
        <f>C385</f>
        <v>1577340.96</v>
      </c>
      <c r="L817" s="240">
        <f>C386+C387+C388+C389</f>
        <v>1986399.89</v>
      </c>
      <c r="M817" s="240">
        <f>C370</f>
        <v>725620.05999999994</v>
      </c>
      <c r="N817" s="180">
        <f>D361</f>
        <v>248247347.45999998</v>
      </c>
      <c r="O817" s="180">
        <f>C359</f>
        <v>62736580.859999999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St. Elizabeth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H-035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1450 Batersby Ave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PO Box 218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Enumclaw, WA 98022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H-35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St. Elizabeth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Mike Fitzerald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Uli Chi, PhD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360-825-2505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360-825-9046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1327</v>
      </c>
      <c r="G23" s="21">
        <f>data!D111</f>
        <v>4824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305</v>
      </c>
      <c r="G26" s="13">
        <f>data!D114</f>
        <v>424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5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St. Elizabeth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619</v>
      </c>
      <c r="C7" s="48">
        <f>data!B139</f>
        <v>2725</v>
      </c>
      <c r="D7" s="48">
        <f>data!B140</f>
        <v>0</v>
      </c>
      <c r="E7" s="48">
        <f>data!B141</f>
        <v>26521192.82</v>
      </c>
      <c r="F7" s="48">
        <f>data!B142</f>
        <v>62036639.340000004</v>
      </c>
      <c r="G7" s="48">
        <f>data!B141+data!B142</f>
        <v>88557832.159999996</v>
      </c>
    </row>
    <row r="8" spans="1:13" ht="20.100000000000001" customHeight="1" x14ac:dyDescent="0.2">
      <c r="A8" s="23" t="s">
        <v>297</v>
      </c>
      <c r="B8" s="48">
        <f>data!C138</f>
        <v>271</v>
      </c>
      <c r="C8" s="48">
        <f>data!C139</f>
        <v>902</v>
      </c>
      <c r="D8" s="48">
        <f>data!C140</f>
        <v>0</v>
      </c>
      <c r="E8" s="48">
        <f>data!C141</f>
        <v>11793619.26</v>
      </c>
      <c r="F8" s="48">
        <f>data!C142</f>
        <v>30491813.920000002</v>
      </c>
      <c r="G8" s="48">
        <f>data!C141+data!C142</f>
        <v>42285433.18</v>
      </c>
    </row>
    <row r="9" spans="1:13" ht="20.100000000000001" customHeight="1" x14ac:dyDescent="0.2">
      <c r="A9" s="23" t="s">
        <v>1058</v>
      </c>
      <c r="B9" s="48">
        <f>data!D138</f>
        <v>437</v>
      </c>
      <c r="C9" s="48">
        <f>data!D139</f>
        <v>1197</v>
      </c>
      <c r="D9" s="48">
        <f>data!D140</f>
        <v>0</v>
      </c>
      <c r="E9" s="48">
        <f>data!D141</f>
        <v>22424666.02</v>
      </c>
      <c r="F9" s="48">
        <f>data!D142</f>
        <v>89912529.919999987</v>
      </c>
      <c r="G9" s="48">
        <f>data!D141+data!D142</f>
        <v>112337195.93999998</v>
      </c>
    </row>
    <row r="10" spans="1:13" ht="20.100000000000001" customHeight="1" x14ac:dyDescent="0.2">
      <c r="A10" s="111" t="s">
        <v>203</v>
      </c>
      <c r="B10" s="48">
        <f>data!E138</f>
        <v>1327</v>
      </c>
      <c r="C10" s="48">
        <f>data!E139</f>
        <v>4824</v>
      </c>
      <c r="D10" s="48">
        <f>data!E140</f>
        <v>0</v>
      </c>
      <c r="E10" s="48">
        <f>data!E141</f>
        <v>60739478.099999994</v>
      </c>
      <c r="F10" s="48">
        <f>data!E142</f>
        <v>182440983.18000001</v>
      </c>
      <c r="G10" s="48">
        <f>data!E141+data!E142</f>
        <v>243180461.28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St. Elizabeth Hospital</v>
      </c>
      <c r="B3" s="30"/>
      <c r="C3" s="31" t="str">
        <f>"FYE: "&amp;data!C82</f>
        <v>FYE: 06/30/2020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2031347.57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147907.4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220173.59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2961380.88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70439.05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1396043.72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404285.77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7231577.9799999986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1287158.98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326138.19999999995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1613297.18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565249.73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8424.4300000000076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573674.16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43720.42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894899.09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938619.51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5427.05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5427.05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St. Elizabeth Hospital</v>
      </c>
      <c r="B3" s="8"/>
      <c r="C3" s="8"/>
      <c r="E3" s="11"/>
      <c r="F3" s="12" t="str">
        <f>" FYE: "&amp;data!C82</f>
        <v xml:space="preserve"> FYE: 06/30/2020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3268423</v>
      </c>
      <c r="D7" s="21">
        <f>data!C195</f>
        <v>0</v>
      </c>
      <c r="E7" s="21">
        <f>data!D195</f>
        <v>0</v>
      </c>
      <c r="F7" s="21">
        <f>data!E195</f>
        <v>3268423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577014</v>
      </c>
      <c r="D8" s="21">
        <f>data!C196</f>
        <v>0</v>
      </c>
      <c r="E8" s="21">
        <f>data!D196</f>
        <v>0</v>
      </c>
      <c r="F8" s="21">
        <f>data!E196</f>
        <v>577014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57132869.700000003</v>
      </c>
      <c r="D9" s="21">
        <f>data!C197</f>
        <v>374195.85000000003</v>
      </c>
      <c r="E9" s="21">
        <f>data!D197</f>
        <v>0</v>
      </c>
      <c r="F9" s="21">
        <f>data!E197</f>
        <v>57507065.550000004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1902821.03</v>
      </c>
      <c r="D11" s="21">
        <f>data!C199</f>
        <v>303755.72000000003</v>
      </c>
      <c r="E11" s="21">
        <f>data!D199</f>
        <v>0</v>
      </c>
      <c r="F11" s="21">
        <f>data!E199</f>
        <v>2206576.75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36029525</v>
      </c>
      <c r="D12" s="21">
        <f>data!C200</f>
        <v>929959.26</v>
      </c>
      <c r="E12" s="21">
        <f>data!D200</f>
        <v>360513.41</v>
      </c>
      <c r="F12" s="21">
        <f>data!E200</f>
        <v>36598970.850000001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2322813</v>
      </c>
      <c r="D14" s="21">
        <f>data!C202</f>
        <v>506744.29</v>
      </c>
      <c r="E14" s="21">
        <f>data!D202</f>
        <v>144614.41</v>
      </c>
      <c r="F14" s="21">
        <f>data!E202</f>
        <v>2684942.88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121456</v>
      </c>
      <c r="D15" s="21">
        <f>data!C203</f>
        <v>744356.89000000013</v>
      </c>
      <c r="E15" s="21">
        <f>data!D203</f>
        <v>361715.38</v>
      </c>
      <c r="F15" s="21">
        <f>data!E203</f>
        <v>504097.51000000013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101354921.73</v>
      </c>
      <c r="D16" s="21">
        <f>data!C204</f>
        <v>2859012.0100000002</v>
      </c>
      <c r="E16" s="21">
        <f>data!D204</f>
        <v>866843.2</v>
      </c>
      <c r="F16" s="21">
        <f>data!E204</f>
        <v>103347090.54000001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493117</v>
      </c>
      <c r="D24" s="21">
        <f>data!C209</f>
        <v>48842.61</v>
      </c>
      <c r="E24" s="21">
        <f>data!D209</f>
        <v>0</v>
      </c>
      <c r="F24" s="21">
        <f>data!E209</f>
        <v>541959.61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15087807</v>
      </c>
      <c r="D25" s="21">
        <f>data!C210</f>
        <v>1548788.6199999999</v>
      </c>
      <c r="E25" s="21">
        <f>data!D210</f>
        <v>-315412.99</v>
      </c>
      <c r="F25" s="21">
        <f>data!E210</f>
        <v>16952008.609999999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1222230</v>
      </c>
      <c r="D26" s="21">
        <f>data!C211</f>
        <v>122509.13</v>
      </c>
      <c r="E26" s="21">
        <f>data!D211</f>
        <v>-224363.54</v>
      </c>
      <c r="F26" s="21">
        <f>data!E211</f>
        <v>1569102.67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30228805</v>
      </c>
      <c r="D28" s="21">
        <f>data!C213</f>
        <v>1945620.4899999998</v>
      </c>
      <c r="E28" s="21">
        <f>data!D213</f>
        <v>237445.98999999996</v>
      </c>
      <c r="F28" s="21">
        <f>data!E213</f>
        <v>31936979.5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1260913</v>
      </c>
      <c r="D30" s="21">
        <f>data!C215</f>
        <v>255152.11</v>
      </c>
      <c r="E30" s="21">
        <f>data!D215</f>
        <v>-14927.369999999995</v>
      </c>
      <c r="F30" s="21">
        <f>data!E215</f>
        <v>1530992.48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48292872</v>
      </c>
      <c r="D32" s="21">
        <f>data!C217</f>
        <v>3920912.9599999995</v>
      </c>
      <c r="E32" s="21">
        <f>data!D217</f>
        <v>-317257.91000000003</v>
      </c>
      <c r="F32" s="21">
        <f>data!E217</f>
        <v>52531042.869999997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St. Elizabeth Hospital</v>
      </c>
      <c r="B2" s="30"/>
      <c r="C2" s="30"/>
      <c r="D2" s="31" t="str">
        <f>"FYE: "&amp;data!C82</f>
        <v>FYE: 06/30/2020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1532609.28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66117618.5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33878328.520000003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5810887.04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55956008.890000001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3506882.71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165269725.66000003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2396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2042533.97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2258699.8200000003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4301233.79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171103568.73000002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St. Elizabeth Hospital</v>
      </c>
      <c r="B3" s="30"/>
      <c r="C3" s="31" t="str">
        <f>" FYE: "&amp;data!C82</f>
        <v xml:space="preserve"> FYE: 06/30/2020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-774064.95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29675450.079999998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21255061.25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216667.5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1454711.53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72744.91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9390447.8199999984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3268423.02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577013.78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57507065.549999997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2206576.75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36598971.149999999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2684942.95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504097.15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103347090.35000001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52531043.090000004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50816047.260000005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60000597.350000001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8275309.5099999998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68275906.859999999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427530.8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27487.63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455018.43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128937420.37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St. Elizabeth Hospital</v>
      </c>
      <c r="B55" s="30"/>
      <c r="C55" s="31" t="str">
        <f>"FYE: "&amp;data!C82</f>
        <v>FYE: 06/30/2020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688676.79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3153732.71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3970120.68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4312222.45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196625.7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12321378.329999998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8526956.1799999997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8526956.1799999997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96654.82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420441.44999999995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517096.26999999996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196625.7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320470.56999999995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107768614.69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107768614.69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128937419.77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St. Elizabeth Hospital</v>
      </c>
      <c r="B107" s="30"/>
      <c r="C107" s="31" t="str">
        <f>" FYE: "&amp;data!C82</f>
        <v xml:space="preserve"> FYE: 06/30/2020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60739478.100000001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182440983.17999998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243180461.27999997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1532609.28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165269725.66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4301233.79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171103568.72999999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72076892.549999982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6162008.8999999994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6162008.8999999994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78238901.449999988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30971825.990000002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7231577.9900000002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2661505.7200000002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6013390.4900000002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608905.11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20562415.939999998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3920912.84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1613297.18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573674.16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938619.51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5427.05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272665.12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75374217.100000024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2864684.3499999642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1768805.83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4633490.1799999643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4633490.1799999643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St. Elizabeth Hospital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4824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40.799999999999997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3777586.8800000004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983347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210878.44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964.03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38538.47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383406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3669.81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12839.24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-1250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5409979.870000001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3761837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17671076.440000001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4575619.3099999996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22246695.75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15865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22735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5662.19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53343.26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24.51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St. Elizabeth Hospital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1137</v>
      </c>
      <c r="I41" s="14">
        <f>data!P59</f>
        <v>124335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13.04</v>
      </c>
      <c r="I42" s="26">
        <f>data!P60</f>
        <v>21.19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1506528.71</v>
      </c>
      <c r="I43" s="14">
        <f>data!P61</f>
        <v>1978455.89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351580</v>
      </c>
      <c r="I44" s="14">
        <f>data!P62</f>
        <v>516971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104066.26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84052.03</v>
      </c>
      <c r="I46" s="14">
        <f>data!P64</f>
        <v>2361151.17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462.81</v>
      </c>
      <c r="I47" s="14">
        <f>data!P65</f>
        <v>2146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67992.539999999994</v>
      </c>
      <c r="I48" s="14">
        <f>data!P66</f>
        <v>361820.58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151788</v>
      </c>
      <c r="I49" s="14">
        <f>data!P67</f>
        <v>970639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1241.1199999999999</v>
      </c>
      <c r="I50" s="14">
        <f>data!P68</f>
        <v>16313.44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4771.04</v>
      </c>
      <c r="I51" s="14">
        <f>data!P69</f>
        <v>44804.26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-2037.87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2166378.38</v>
      </c>
      <c r="I53" s="14">
        <f>data!P71</f>
        <v>6356367.5999999996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983657</v>
      </c>
      <c r="I55" s="48">
        <f>+data!M681</f>
        <v>3069563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7622490.2400000002</v>
      </c>
      <c r="I56" s="14">
        <f>data!P73</f>
        <v>12288562.529999999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611501.34</v>
      </c>
      <c r="I57" s="14">
        <f>data!P74</f>
        <v>46829582.549999997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8233991.5800000001</v>
      </c>
      <c r="I58" s="14">
        <f>data!P75</f>
        <v>59118145.079999998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5994</v>
      </c>
      <c r="I60" s="14">
        <f>data!P76</f>
        <v>17054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2139.25</v>
      </c>
      <c r="I62" s="14">
        <f>data!P78</f>
        <v>6086.54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16628.97</v>
      </c>
      <c r="I63" s="14">
        <f>data!P79</f>
        <v>43958.59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10.72</v>
      </c>
      <c r="I64" s="26">
        <f>data!P80</f>
        <v>8.91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St. Elizabeth Hospital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5315</v>
      </c>
      <c r="D73" s="48">
        <f>data!R59</f>
        <v>124170</v>
      </c>
      <c r="E73" s="212"/>
      <c r="F73" s="212"/>
      <c r="G73" s="14">
        <f>data!U59</f>
        <v>78899</v>
      </c>
      <c r="H73" s="14">
        <f>data!V59</f>
        <v>0</v>
      </c>
      <c r="I73" s="14">
        <f>data!W59</f>
        <v>1059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9.59</v>
      </c>
      <c r="D74" s="26">
        <f>data!R60</f>
        <v>0</v>
      </c>
      <c r="E74" s="26">
        <f>data!S60</f>
        <v>5.28</v>
      </c>
      <c r="F74" s="26">
        <f>data!T60</f>
        <v>0.18</v>
      </c>
      <c r="G74" s="26">
        <f>data!U60</f>
        <v>11.82</v>
      </c>
      <c r="H74" s="26">
        <f>data!V60</f>
        <v>0</v>
      </c>
      <c r="I74" s="26">
        <f>data!W60</f>
        <v>1.88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1161675.5900000001</v>
      </c>
      <c r="D75" s="14">
        <f>data!R61</f>
        <v>0</v>
      </c>
      <c r="E75" s="14">
        <f>data!S61</f>
        <v>308641.36</v>
      </c>
      <c r="F75" s="14">
        <f>data!T61</f>
        <v>37394.199999999997</v>
      </c>
      <c r="G75" s="14">
        <f>data!U61</f>
        <v>908645.87</v>
      </c>
      <c r="H75" s="14">
        <f>data!V61</f>
        <v>0</v>
      </c>
      <c r="I75" s="14">
        <f>data!W61</f>
        <v>210012.17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266014</v>
      </c>
      <c r="D76" s="14">
        <f>data!R62</f>
        <v>0</v>
      </c>
      <c r="E76" s="14">
        <f>data!S62</f>
        <v>106384</v>
      </c>
      <c r="F76" s="14">
        <f>data!T62</f>
        <v>6903</v>
      </c>
      <c r="G76" s="14">
        <f>data!U62</f>
        <v>262515</v>
      </c>
      <c r="H76" s="14">
        <f>data!V62</f>
        <v>0</v>
      </c>
      <c r="I76" s="14">
        <f>data!W62</f>
        <v>50069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33192.18</v>
      </c>
      <c r="E77" s="14">
        <f>data!S63</f>
        <v>0</v>
      </c>
      <c r="F77" s="14">
        <f>data!T63</f>
        <v>0</v>
      </c>
      <c r="G77" s="14">
        <f>data!U63</f>
        <v>18089.900000000001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61474.38</v>
      </c>
      <c r="D78" s="14">
        <f>data!R64</f>
        <v>91880.35</v>
      </c>
      <c r="E78" s="14">
        <f>data!S64</f>
        <v>-11688.37</v>
      </c>
      <c r="F78" s="14">
        <f>data!T64</f>
        <v>31957.08</v>
      </c>
      <c r="G78" s="14">
        <f>data!U64</f>
        <v>438713.77</v>
      </c>
      <c r="H78" s="14">
        <f>data!V64</f>
        <v>4.59</v>
      </c>
      <c r="I78" s="14">
        <f>data!W64</f>
        <v>12041.41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223.09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10023.799999999999</v>
      </c>
      <c r="D80" s="14">
        <f>data!R66</f>
        <v>-7435.09</v>
      </c>
      <c r="E80" s="14">
        <f>data!S66</f>
        <v>13210.87</v>
      </c>
      <c r="F80" s="14">
        <f>data!T66</f>
        <v>750</v>
      </c>
      <c r="G80" s="14">
        <f>data!U66</f>
        <v>397931</v>
      </c>
      <c r="H80" s="14">
        <f>data!V66</f>
        <v>0</v>
      </c>
      <c r="I80" s="14">
        <f>data!W66</f>
        <v>131909.16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25891</v>
      </c>
      <c r="D81" s="14">
        <f>data!R67</f>
        <v>5505</v>
      </c>
      <c r="E81" s="14">
        <f>data!S67</f>
        <v>59570</v>
      </c>
      <c r="F81" s="14">
        <f>data!T67</f>
        <v>0</v>
      </c>
      <c r="G81" s="14">
        <f>data!U67</f>
        <v>51358</v>
      </c>
      <c r="H81" s="14">
        <f>data!V67</f>
        <v>25046</v>
      </c>
      <c r="I81" s="14">
        <f>data!W67</f>
        <v>26282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2146.3000000000002</v>
      </c>
      <c r="D82" s="14">
        <f>data!R68</f>
        <v>0</v>
      </c>
      <c r="E82" s="14">
        <f>data!S68</f>
        <v>1907.36</v>
      </c>
      <c r="F82" s="14">
        <f>data!T68</f>
        <v>0</v>
      </c>
      <c r="G82" s="14">
        <f>data!U68</f>
        <v>49877.73</v>
      </c>
      <c r="H82" s="14">
        <f>data!V68</f>
        <v>0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3231.37</v>
      </c>
      <c r="D83" s="14">
        <f>data!R69</f>
        <v>0</v>
      </c>
      <c r="E83" s="14">
        <f>data!S69</f>
        <v>791.73</v>
      </c>
      <c r="F83" s="14">
        <f>data!T69</f>
        <v>392.89</v>
      </c>
      <c r="G83" s="14">
        <f>data!U69</f>
        <v>25939.22</v>
      </c>
      <c r="H83" s="14">
        <f>data!V69</f>
        <v>0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-38344.160000000003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1530456.4400000002</v>
      </c>
      <c r="D85" s="14">
        <f>data!R71</f>
        <v>123142.44</v>
      </c>
      <c r="E85" s="14">
        <f>data!S71</f>
        <v>478816.94999999995</v>
      </c>
      <c r="F85" s="14">
        <f>data!T71</f>
        <v>77397.17</v>
      </c>
      <c r="G85" s="14">
        <f>data!U71</f>
        <v>2114949.4200000004</v>
      </c>
      <c r="H85" s="14">
        <f>data!V71</f>
        <v>25050.59</v>
      </c>
      <c r="I85" s="14">
        <f>data!W71</f>
        <v>430313.74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716156</v>
      </c>
      <c r="D87" s="48">
        <f>+data!M683</f>
        <v>124064</v>
      </c>
      <c r="E87" s="48">
        <f>+data!M684</f>
        <v>130289</v>
      </c>
      <c r="F87" s="48">
        <f>+data!M685</f>
        <v>36165</v>
      </c>
      <c r="G87" s="48">
        <f>+data!M686</f>
        <v>853922</v>
      </c>
      <c r="H87" s="48">
        <f>+data!M687</f>
        <v>7504</v>
      </c>
      <c r="I87" s="48">
        <f>+data!M688</f>
        <v>170808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968914.07</v>
      </c>
      <c r="D88" s="14">
        <f>data!R73</f>
        <v>1233834.3799999999</v>
      </c>
      <c r="E88" s="14">
        <f>data!S73</f>
        <v>0</v>
      </c>
      <c r="F88" s="14">
        <f>data!T73</f>
        <v>461446.48</v>
      </c>
      <c r="G88" s="14">
        <f>data!U73</f>
        <v>4250114.47</v>
      </c>
      <c r="H88" s="14">
        <f>data!V73</f>
        <v>0</v>
      </c>
      <c r="I88" s="14">
        <f>data!W73</f>
        <v>255382.24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5344834.18</v>
      </c>
      <c r="D89" s="14">
        <f>data!R74</f>
        <v>3676202.34</v>
      </c>
      <c r="E89" s="14">
        <f>data!S74</f>
        <v>0</v>
      </c>
      <c r="F89" s="14">
        <f>data!T74</f>
        <v>63475.49</v>
      </c>
      <c r="G89" s="14">
        <f>data!U74</f>
        <v>8693892.9299999997</v>
      </c>
      <c r="H89" s="14">
        <f>data!V74</f>
        <v>5157.51</v>
      </c>
      <c r="I89" s="14">
        <f>data!W74</f>
        <v>2328424.71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6313748.25</v>
      </c>
      <c r="D90" s="14">
        <f>data!R75</f>
        <v>4910036.72</v>
      </c>
      <c r="E90" s="14">
        <f>data!S75</f>
        <v>0</v>
      </c>
      <c r="F90" s="14">
        <f>data!T75</f>
        <v>524921.97</v>
      </c>
      <c r="G90" s="14">
        <f>data!U75</f>
        <v>12944007.399999999</v>
      </c>
      <c r="H90" s="14">
        <f>data!V75</f>
        <v>5157.51</v>
      </c>
      <c r="I90" s="14">
        <f>data!W75</f>
        <v>2583806.9500000002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1200</v>
      </c>
      <c r="D92" s="14">
        <f>data!R76</f>
        <v>192</v>
      </c>
      <c r="E92" s="14">
        <f>data!S76</f>
        <v>2955</v>
      </c>
      <c r="F92" s="14">
        <f>data!T76</f>
        <v>0</v>
      </c>
      <c r="G92" s="14">
        <f>data!U76</f>
        <v>1626</v>
      </c>
      <c r="H92" s="14">
        <f>data!V76</f>
        <v>0</v>
      </c>
      <c r="I92" s="14">
        <f>data!W76</f>
        <v>720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428.28</v>
      </c>
      <c r="D94" s="14">
        <f>data!R78</f>
        <v>68.52</v>
      </c>
      <c r="E94" s="14">
        <f>data!S78</f>
        <v>1054.6300000000001</v>
      </c>
      <c r="F94" s="14">
        <f>data!T78</f>
        <v>0</v>
      </c>
      <c r="G94" s="14">
        <f>data!U78</f>
        <v>580.32000000000005</v>
      </c>
      <c r="H94" s="14">
        <f>data!V78</f>
        <v>0</v>
      </c>
      <c r="I94" s="14">
        <f>data!W78</f>
        <v>256.97000000000003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7.61</v>
      </c>
      <c r="D96" s="84">
        <f>data!R80</f>
        <v>0</v>
      </c>
      <c r="E96" s="84">
        <f>data!S80</f>
        <v>0</v>
      </c>
      <c r="F96" s="84">
        <f>data!T80</f>
        <v>0.18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St. Elizabeth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4496</v>
      </c>
      <c r="D105" s="14">
        <f>data!Y59</f>
        <v>13674</v>
      </c>
      <c r="E105" s="14">
        <f>data!Z59</f>
        <v>0</v>
      </c>
      <c r="F105" s="14">
        <f>data!AA59</f>
        <v>0</v>
      </c>
      <c r="G105" s="212"/>
      <c r="H105" s="14">
        <f>data!AC59</f>
        <v>10221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4.5599999999999996</v>
      </c>
      <c r="D106" s="26">
        <f>data!Y60</f>
        <v>11.87</v>
      </c>
      <c r="E106" s="26">
        <f>data!Z60</f>
        <v>0</v>
      </c>
      <c r="F106" s="26">
        <f>data!AA60</f>
        <v>0.98</v>
      </c>
      <c r="G106" s="26">
        <f>data!AB60</f>
        <v>3.98</v>
      </c>
      <c r="H106" s="26">
        <f>data!AC60</f>
        <v>5.82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527157.21</v>
      </c>
      <c r="D107" s="14">
        <f>data!Y61</f>
        <v>1161985.43</v>
      </c>
      <c r="E107" s="14">
        <f>data!Z61</f>
        <v>0</v>
      </c>
      <c r="F107" s="14">
        <f>data!AA61</f>
        <v>115887.46</v>
      </c>
      <c r="G107" s="14">
        <f>data!AB61</f>
        <v>505716.82</v>
      </c>
      <c r="H107" s="14">
        <f>data!AC61</f>
        <v>523403.16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118553</v>
      </c>
      <c r="D108" s="14">
        <f>data!Y62</f>
        <v>289240</v>
      </c>
      <c r="E108" s="14">
        <f>data!Z62</f>
        <v>0</v>
      </c>
      <c r="F108" s="14">
        <f>data!AA62</f>
        <v>27397</v>
      </c>
      <c r="G108" s="14">
        <f>data!AB62</f>
        <v>111607</v>
      </c>
      <c r="H108" s="14">
        <f>data!AC62</f>
        <v>140280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9390.7000000000007</v>
      </c>
      <c r="E109" s="14">
        <f>data!Z63</f>
        <v>0</v>
      </c>
      <c r="F109" s="14">
        <f>data!AA63</f>
        <v>3430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57881.51</v>
      </c>
      <c r="D110" s="14">
        <f>data!Y64</f>
        <v>44359.87</v>
      </c>
      <c r="E110" s="14">
        <f>data!Z64</f>
        <v>0</v>
      </c>
      <c r="F110" s="14">
        <f>data!AA64</f>
        <v>40416.99</v>
      </c>
      <c r="G110" s="14">
        <f>data!AB64</f>
        <v>954667.67</v>
      </c>
      <c r="H110" s="14">
        <f>data!AC64</f>
        <v>20264.009999999998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97.77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96475.02</v>
      </c>
      <c r="D112" s="14">
        <f>data!Y66</f>
        <v>166107.68</v>
      </c>
      <c r="E112" s="14">
        <f>data!Z66</f>
        <v>0</v>
      </c>
      <c r="F112" s="14">
        <f>data!AA66</f>
        <v>2405</v>
      </c>
      <c r="G112" s="14">
        <f>data!AB66</f>
        <v>65612.89</v>
      </c>
      <c r="H112" s="14">
        <f>data!AC66</f>
        <v>6013.74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11968</v>
      </c>
      <c r="D113" s="14">
        <f>data!Y67</f>
        <v>328451</v>
      </c>
      <c r="E113" s="14">
        <f>data!Z67</f>
        <v>0</v>
      </c>
      <c r="F113" s="14">
        <f>data!AA67</f>
        <v>6026</v>
      </c>
      <c r="G113" s="14">
        <f>data!AB67</f>
        <v>85088</v>
      </c>
      <c r="H113" s="14">
        <f>data!AC67</f>
        <v>18452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3838.8</v>
      </c>
      <c r="E114" s="14">
        <f>data!Z68</f>
        <v>0</v>
      </c>
      <c r="F114" s="14">
        <f>data!AA68</f>
        <v>0</v>
      </c>
      <c r="G114" s="14">
        <f>data!AB68</f>
        <v>1778.52</v>
      </c>
      <c r="H114" s="14">
        <f>data!AC68</f>
        <v>1219.17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1167.95</v>
      </c>
      <c r="E115" s="14">
        <f>data!Z69</f>
        <v>0</v>
      </c>
      <c r="F115" s="14">
        <f>data!AA69</f>
        <v>385.92</v>
      </c>
      <c r="G115" s="14">
        <f>data!AB69</f>
        <v>4738.3999999999996</v>
      </c>
      <c r="H115" s="14">
        <f>data!AC69</f>
        <v>4585.41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-1140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812034.74</v>
      </c>
      <c r="D117" s="14">
        <f>data!Y71</f>
        <v>2003401.43</v>
      </c>
      <c r="E117" s="14">
        <f>data!Z71</f>
        <v>0</v>
      </c>
      <c r="F117" s="14">
        <f>data!AA71</f>
        <v>195948.37000000002</v>
      </c>
      <c r="G117" s="14">
        <f>data!AB71</f>
        <v>1729307.07</v>
      </c>
      <c r="H117" s="14">
        <f>data!AC71</f>
        <v>714217.49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456128</v>
      </c>
      <c r="D119" s="48">
        <f>+data!M690</f>
        <v>679294</v>
      </c>
      <c r="E119" s="48">
        <f>+data!M691</f>
        <v>0</v>
      </c>
      <c r="F119" s="48">
        <f>+data!M692</f>
        <v>68353</v>
      </c>
      <c r="G119" s="48">
        <f>+data!M693</f>
        <v>1011578</v>
      </c>
      <c r="H119" s="48">
        <f>+data!M694</f>
        <v>291197</v>
      </c>
      <c r="I119" s="48">
        <f>+data!M695</f>
        <v>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1209893.1399999999</v>
      </c>
      <c r="D120" s="14">
        <f>data!Y73</f>
        <v>726139.22</v>
      </c>
      <c r="E120" s="14">
        <f>data!Z73</f>
        <v>0</v>
      </c>
      <c r="F120" s="14">
        <f>data!AA73</f>
        <v>32856.69</v>
      </c>
      <c r="G120" s="14">
        <f>data!AB73</f>
        <v>8940730.9000000004</v>
      </c>
      <c r="H120" s="14">
        <f>data!AC73</f>
        <v>2260333.1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10975029.73</v>
      </c>
      <c r="D121" s="14">
        <f>data!Y74</f>
        <v>6197419.0700000003</v>
      </c>
      <c r="E121" s="14">
        <f>data!Z74</f>
        <v>0</v>
      </c>
      <c r="F121" s="14">
        <f>data!AA74</f>
        <v>531706.17000000004</v>
      </c>
      <c r="G121" s="14">
        <f>data!AB74</f>
        <v>19071204.050000001</v>
      </c>
      <c r="H121" s="14">
        <f>data!AC74</f>
        <v>2239623.08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12184922.870000001</v>
      </c>
      <c r="D122" s="14">
        <f>data!Y75</f>
        <v>6923558.29</v>
      </c>
      <c r="E122" s="14">
        <f>data!Z75</f>
        <v>0</v>
      </c>
      <c r="F122" s="14">
        <f>data!AA75</f>
        <v>564562.8600000001</v>
      </c>
      <c r="G122" s="14">
        <f>data!AB75</f>
        <v>28011934.950000003</v>
      </c>
      <c r="H122" s="14">
        <f>data!AC75</f>
        <v>4499956.18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576</v>
      </c>
      <c r="D124" s="14">
        <f>data!Y76</f>
        <v>9797</v>
      </c>
      <c r="E124" s="14">
        <f>data!Z76</f>
        <v>0</v>
      </c>
      <c r="F124" s="14">
        <f>data!AA76</f>
        <v>0</v>
      </c>
      <c r="G124" s="14">
        <f>data!AB76</f>
        <v>1909</v>
      </c>
      <c r="H124" s="14">
        <f>data!AC76</f>
        <v>171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205.57</v>
      </c>
      <c r="D126" s="14">
        <f>data!Y78</f>
        <v>3496.53</v>
      </c>
      <c r="E126" s="14">
        <f>data!Z78</f>
        <v>0</v>
      </c>
      <c r="F126" s="14">
        <f>data!AA78</f>
        <v>0</v>
      </c>
      <c r="G126" s="14">
        <f>data!AB78</f>
        <v>681.32</v>
      </c>
      <c r="H126" s="14">
        <f>data!AC78</f>
        <v>61.03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17179.95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St. Elizabeth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11774</v>
      </c>
      <c r="F137" s="14">
        <f>data!AH59</f>
        <v>0</v>
      </c>
      <c r="G137" s="14">
        <f>data!AI59</f>
        <v>0</v>
      </c>
      <c r="H137" s="14">
        <f>data!AJ59</f>
        <v>94799.29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22.15</v>
      </c>
      <c r="F138" s="26">
        <f>data!AH60</f>
        <v>0</v>
      </c>
      <c r="G138" s="26">
        <f>data!AI60</f>
        <v>0</v>
      </c>
      <c r="H138" s="26">
        <f>data!AJ60</f>
        <v>132.21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2286750.64</v>
      </c>
      <c r="F139" s="14">
        <f>data!AH61</f>
        <v>0</v>
      </c>
      <c r="G139" s="14">
        <f>data!AI61</f>
        <v>0</v>
      </c>
      <c r="H139" s="14">
        <f>data!AJ61</f>
        <v>12787590.609999999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559257</v>
      </c>
      <c r="F140" s="14">
        <f>data!AH62</f>
        <v>0</v>
      </c>
      <c r="G140" s="14">
        <f>data!AI62</f>
        <v>0</v>
      </c>
      <c r="H140" s="14">
        <f>data!AJ62</f>
        <v>2527331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445676.26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260.39</v>
      </c>
      <c r="D142" s="14">
        <f>data!AF64</f>
        <v>0</v>
      </c>
      <c r="E142" s="14">
        <f>data!AG64</f>
        <v>237675.92</v>
      </c>
      <c r="F142" s="14">
        <f>data!AH64</f>
        <v>0</v>
      </c>
      <c r="G142" s="14">
        <f>data!AI64</f>
        <v>0</v>
      </c>
      <c r="H142" s="14">
        <f>data!AJ64</f>
        <v>878664.25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884.3</v>
      </c>
      <c r="F143" s="14">
        <f>data!AH65</f>
        <v>0</v>
      </c>
      <c r="G143" s="14">
        <f>data!AI65</f>
        <v>0</v>
      </c>
      <c r="H143" s="14">
        <f>data!AJ65</f>
        <v>102159.28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118966.01</v>
      </c>
      <c r="D144" s="14">
        <f>data!AF66</f>
        <v>0</v>
      </c>
      <c r="E144" s="14">
        <f>data!AG66</f>
        <v>253227.32</v>
      </c>
      <c r="F144" s="14">
        <f>data!AH66</f>
        <v>0</v>
      </c>
      <c r="G144" s="14">
        <f>data!AI66</f>
        <v>0</v>
      </c>
      <c r="H144" s="14">
        <f>data!AJ66</f>
        <v>1037171.38</v>
      </c>
      <c r="I144" s="14">
        <f>data!AK66</f>
        <v>55084.24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3871</v>
      </c>
      <c r="D145" s="14">
        <f>data!AF67</f>
        <v>0</v>
      </c>
      <c r="E145" s="14">
        <f>data!AG67</f>
        <v>195884</v>
      </c>
      <c r="F145" s="14">
        <f>data!AH67</f>
        <v>0</v>
      </c>
      <c r="G145" s="14">
        <f>data!AI67</f>
        <v>0</v>
      </c>
      <c r="H145" s="14">
        <f>data!AJ67</f>
        <v>697797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1201.8800000000001</v>
      </c>
      <c r="F146" s="14">
        <f>data!AH68</f>
        <v>0</v>
      </c>
      <c r="G146" s="14">
        <f>data!AI68</f>
        <v>0</v>
      </c>
      <c r="H146" s="14">
        <f>data!AJ68</f>
        <v>1377415.41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15725.88</v>
      </c>
      <c r="F147" s="14">
        <f>data!AH69</f>
        <v>0</v>
      </c>
      <c r="G147" s="14">
        <f>data!AI69</f>
        <v>0</v>
      </c>
      <c r="H147" s="14">
        <f>data!AJ69</f>
        <v>524234.48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-4469</v>
      </c>
      <c r="F148" s="14">
        <f>-data!AH70</f>
        <v>0</v>
      </c>
      <c r="G148" s="14">
        <f>-data!AI70</f>
        <v>0</v>
      </c>
      <c r="H148" s="14">
        <f>-data!AJ70</f>
        <v>-423909.82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123097.4</v>
      </c>
      <c r="D149" s="14">
        <f>data!AF71</f>
        <v>0</v>
      </c>
      <c r="E149" s="14">
        <f>data!AG71</f>
        <v>3991814.1999999997</v>
      </c>
      <c r="F149" s="14">
        <f>data!AH71</f>
        <v>0</v>
      </c>
      <c r="G149" s="14">
        <f>data!AI71</f>
        <v>0</v>
      </c>
      <c r="H149" s="14">
        <f>data!AJ71</f>
        <v>19508453.59</v>
      </c>
      <c r="I149" s="14">
        <f>data!AK71</f>
        <v>55084.24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45898</v>
      </c>
      <c r="D151" s="48">
        <f>+data!M697</f>
        <v>0</v>
      </c>
      <c r="E151" s="48">
        <f>+data!M698</f>
        <v>2256438</v>
      </c>
      <c r="F151" s="48">
        <f>+data!M699</f>
        <v>0</v>
      </c>
      <c r="G151" s="48">
        <f>+data!M700</f>
        <v>0</v>
      </c>
      <c r="H151" s="48">
        <f>+data!M701</f>
        <v>6799187</v>
      </c>
      <c r="I151" s="48">
        <f>+data!M702</f>
        <v>22019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437575.41</v>
      </c>
      <c r="D152" s="14">
        <f>data!AF73</f>
        <v>0</v>
      </c>
      <c r="E152" s="14">
        <f>data!AG73</f>
        <v>2029833.97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278648.14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133941.04999999999</v>
      </c>
      <c r="D153" s="14">
        <f>data!AF74</f>
        <v>0</v>
      </c>
      <c r="E153" s="14">
        <f>data!AG74</f>
        <v>41993945.590000004</v>
      </c>
      <c r="F153" s="14">
        <f>data!AH74</f>
        <v>0</v>
      </c>
      <c r="G153" s="14">
        <f>data!AI74</f>
        <v>0</v>
      </c>
      <c r="H153" s="14">
        <f>data!AJ74</f>
        <v>29119362.800000001</v>
      </c>
      <c r="I153" s="14">
        <f>data!AK74</f>
        <v>41633.870000000003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571516.46</v>
      </c>
      <c r="D154" s="14">
        <f>data!AF75</f>
        <v>0</v>
      </c>
      <c r="E154" s="14">
        <f>data!AG75</f>
        <v>44023779.560000002</v>
      </c>
      <c r="F154" s="14">
        <f>data!AH75</f>
        <v>0</v>
      </c>
      <c r="G154" s="14">
        <f>data!AI75</f>
        <v>0</v>
      </c>
      <c r="H154" s="14">
        <f>data!AJ75</f>
        <v>29119362.800000001</v>
      </c>
      <c r="I154" s="14">
        <f>data!AK75</f>
        <v>320282.01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192</v>
      </c>
      <c r="D156" s="14">
        <f>data!AF76</f>
        <v>0</v>
      </c>
      <c r="E156" s="14">
        <f>data!AG76</f>
        <v>8332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68.52</v>
      </c>
      <c r="D158" s="14">
        <f>data!AF78</f>
        <v>0</v>
      </c>
      <c r="E158" s="14">
        <f>data!AG78</f>
        <v>2973.67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50358.71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15.7</v>
      </c>
      <c r="F160" s="26">
        <f>data!AH80</f>
        <v>0</v>
      </c>
      <c r="G160" s="26">
        <f>data!AI80</f>
        <v>0</v>
      </c>
      <c r="H160" s="26">
        <f>data!AJ80</f>
        <v>24.62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St. Elizabeth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166.61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47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17523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12981.05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17736.61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12981.05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6573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3841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65774.67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8427.41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74202.080000000002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St. Elizabeth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22735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1.99</v>
      </c>
      <c r="G202" s="26">
        <f>data!AW60</f>
        <v>0</v>
      </c>
      <c r="H202" s="26">
        <f>data!AX60</f>
        <v>0</v>
      </c>
      <c r="I202" s="26">
        <f>data!AY60</f>
        <v>11.6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173168.97</v>
      </c>
      <c r="G203" s="14">
        <f>data!AW61</f>
        <v>0</v>
      </c>
      <c r="H203" s="14">
        <f>data!AX61</f>
        <v>0</v>
      </c>
      <c r="I203" s="14">
        <f>data!AY61</f>
        <v>491333.53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47689</v>
      </c>
      <c r="G204" s="14">
        <f>data!AW62</f>
        <v>0</v>
      </c>
      <c r="H204" s="14">
        <f>data!AX62</f>
        <v>0</v>
      </c>
      <c r="I204" s="14">
        <f>data!AY62</f>
        <v>210133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64119.45</v>
      </c>
      <c r="G206" s="14">
        <f>data!AW64</f>
        <v>0</v>
      </c>
      <c r="H206" s="14">
        <f>data!AX64</f>
        <v>0</v>
      </c>
      <c r="I206" s="14">
        <f>data!AY64</f>
        <v>314973.49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144.22999999999999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30565.87</v>
      </c>
      <c r="G208" s="14">
        <f>data!AW66</f>
        <v>0</v>
      </c>
      <c r="H208" s="14">
        <f>data!AX66</f>
        <v>0</v>
      </c>
      <c r="I208" s="14">
        <f>data!AY66</f>
        <v>314678.01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124394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4018.7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-454978.73</v>
      </c>
      <c r="G211" s="14">
        <f>data!AW69</f>
        <v>0</v>
      </c>
      <c r="H211" s="14">
        <f>data!AX69</f>
        <v>0</v>
      </c>
      <c r="I211" s="14">
        <f>data!AY69</f>
        <v>8030.71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-375359.31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-139435.44</v>
      </c>
      <c r="G213" s="14">
        <f>data!AW71</f>
        <v>0</v>
      </c>
      <c r="H213" s="14">
        <f>data!AX71</f>
        <v>0</v>
      </c>
      <c r="I213" s="14">
        <f>data!AY71</f>
        <v>1092346.3599999999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-19755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5872.01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5872.01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4171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1.03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St. Elizabeth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57903</v>
      </c>
      <c r="D233" s="14">
        <f>data!BA59</f>
        <v>0</v>
      </c>
      <c r="E233" s="212"/>
      <c r="F233" s="212"/>
      <c r="G233" s="212"/>
      <c r="H233" s="14">
        <f>data!BE59</f>
        <v>100342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3.52</v>
      </c>
      <c r="I234" s="26">
        <f>data!BF60</f>
        <v>11.77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262269.5</v>
      </c>
      <c r="I235" s="14">
        <f>data!BF61</f>
        <v>629707.77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77736</v>
      </c>
      <c r="I236" s="14">
        <f>data!BF62</f>
        <v>213699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24648.36</v>
      </c>
      <c r="I238" s="14">
        <f>data!BF64</f>
        <v>57751.22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472345.55</v>
      </c>
      <c r="I239" s="14">
        <f>data!BF65</f>
        <v>580.94000000000005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1163145.1299999999</v>
      </c>
      <c r="I240" s="14">
        <f>data!BF66</f>
        <v>65341.33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94415</v>
      </c>
      <c r="I241" s="14">
        <f>data!BF67</f>
        <v>39297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33098.720000000001</v>
      </c>
      <c r="H242" s="14">
        <f>data!BE68</f>
        <v>20697.71</v>
      </c>
      <c r="I242" s="14">
        <f>data!BF68</f>
        <v>1790.94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1584.81</v>
      </c>
      <c r="I243" s="14">
        <f>data!BF69</f>
        <v>0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-8.24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33098.720000000001</v>
      </c>
      <c r="H245" s="14">
        <f>data!BE71</f>
        <v>2116833.8199999998</v>
      </c>
      <c r="I245" s="14">
        <f>data!BF71</f>
        <v>1008168.1999999998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3559</v>
      </c>
      <c r="I252" s="85">
        <f>data!BF76</f>
        <v>1455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St. Elizabeth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104.05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42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16225.42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26589.18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253359.68</v>
      </c>
      <c r="E272" s="14">
        <f>data!BI66</f>
        <v>0</v>
      </c>
      <c r="F272" s="14">
        <f>data!BJ66</f>
        <v>0</v>
      </c>
      <c r="G272" s="14">
        <f>data!BK66</f>
        <v>3242.52</v>
      </c>
      <c r="H272" s="14">
        <f>data!BL66</f>
        <v>2132347.0499999998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18968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1332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572.04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8702.23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-1271.52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26735.23</v>
      </c>
      <c r="D277" s="14">
        <f>data!BH71</f>
        <v>272899.71999999997</v>
      </c>
      <c r="E277" s="14">
        <f>data!BI71</f>
        <v>-1271.52</v>
      </c>
      <c r="F277" s="14">
        <f>data!BJ71</f>
        <v>0</v>
      </c>
      <c r="G277" s="14">
        <f>data!BK71</f>
        <v>3242.52</v>
      </c>
      <c r="H277" s="14">
        <f>data!BL71</f>
        <v>2158606.6999999997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St. Elizabeth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2.04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262594.24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66116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50</v>
      </c>
      <c r="H300" s="14">
        <f>data!BS62</f>
        <v>0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18620.82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588.76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195231.85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455722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14207.68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60495.28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-12018.98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1061557.6500000001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50</v>
      </c>
      <c r="H309" s="14">
        <f>data!BS71</f>
        <v>0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22286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St. Elizabeth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</v>
      </c>
      <c r="G330" s="26">
        <f>data!BY60</f>
        <v>10.09</v>
      </c>
      <c r="H330" s="26">
        <f>data!BZ60</f>
        <v>0.18</v>
      </c>
      <c r="I330" s="26">
        <f>data!CA60</f>
        <v>0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82078.320000000007</v>
      </c>
      <c r="G331" s="86">
        <f>data!BY61</f>
        <v>1133391.1399999999</v>
      </c>
      <c r="H331" s="86">
        <f>data!BZ61</f>
        <v>8591.81</v>
      </c>
      <c r="I331" s="86">
        <f>data!CA61</f>
        <v>0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23556</v>
      </c>
      <c r="G332" s="86">
        <f>data!BY62</f>
        <v>271694</v>
      </c>
      <c r="H332" s="86">
        <f>data!BZ62</f>
        <v>3368</v>
      </c>
      <c r="I332" s="86">
        <f>data!CA62</f>
        <v>0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256.22000000000003</v>
      </c>
      <c r="G334" s="86">
        <f>data!BY64</f>
        <v>3016.74</v>
      </c>
      <c r="H334" s="86">
        <f>data!BZ64</f>
        <v>0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1128.5899999999999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205269.4</v>
      </c>
      <c r="E336" s="86">
        <f>data!BW66</f>
        <v>24262.61</v>
      </c>
      <c r="F336" s="86">
        <f>data!BX66</f>
        <v>546535.47</v>
      </c>
      <c r="G336" s="86">
        <f>data!BY66</f>
        <v>23470.82</v>
      </c>
      <c r="H336" s="86">
        <f>data!BZ66</f>
        <v>0</v>
      </c>
      <c r="I336" s="86">
        <f>data!CA66</f>
        <v>0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42576</v>
      </c>
      <c r="E337" s="86">
        <f>data!BW67</f>
        <v>0</v>
      </c>
      <c r="F337" s="86">
        <f>data!BX67</f>
        <v>0</v>
      </c>
      <c r="G337" s="86">
        <f>data!BY67</f>
        <v>3548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3007.17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11978.52</v>
      </c>
      <c r="H339" s="86">
        <f>data!BZ69</f>
        <v>457.5</v>
      </c>
      <c r="I339" s="86">
        <f>data!CA69</f>
        <v>0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247845.4</v>
      </c>
      <c r="E341" s="14">
        <f>data!BW71</f>
        <v>24262.61</v>
      </c>
      <c r="F341" s="14">
        <f>data!BX71</f>
        <v>652426.01</v>
      </c>
      <c r="G341" s="14">
        <f>data!BY71</f>
        <v>1451234.98</v>
      </c>
      <c r="H341" s="14">
        <f>data!BZ71</f>
        <v>12417.31</v>
      </c>
      <c r="I341" s="14">
        <f>data!CA71</f>
        <v>0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2112</v>
      </c>
      <c r="E348" s="85">
        <f>data!BW76</f>
        <v>0</v>
      </c>
      <c r="F348" s="85">
        <f>data!BX76</f>
        <v>0</v>
      </c>
      <c r="G348" s="85">
        <f>data!BY76</f>
        <v>176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753.77</v>
      </c>
      <c r="E350" s="85">
        <f>data!BW78</f>
        <v>0</v>
      </c>
      <c r="F350" s="85">
        <f>data!BX78</f>
        <v>0</v>
      </c>
      <c r="G350" s="85">
        <f>data!BY78</f>
        <v>62.81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St. Elizabeth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327.54000000000002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130988.05</v>
      </c>
      <c r="E363" s="218"/>
      <c r="F363" s="219"/>
      <c r="G363" s="219"/>
      <c r="H363" s="219"/>
      <c r="I363" s="86">
        <f>data!CE61</f>
        <v>30971825.989999998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7231578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2047660.42</v>
      </c>
      <c r="E365" s="218"/>
      <c r="F365" s="219"/>
      <c r="G365" s="219"/>
      <c r="H365" s="219"/>
      <c r="I365" s="86">
        <f>data!CE63</f>
        <v>2661505.7199999997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-876.69000000000233</v>
      </c>
      <c r="E366" s="218"/>
      <c r="F366" s="219"/>
      <c r="G366" s="219"/>
      <c r="H366" s="219"/>
      <c r="I366" s="86">
        <f>data!CE64</f>
        <v>6013390.4899999993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590.58000000000004</v>
      </c>
      <c r="E367" s="218"/>
      <c r="F367" s="219"/>
      <c r="G367" s="219"/>
      <c r="H367" s="219"/>
      <c r="I367" s="86">
        <f>data!CE65</f>
        <v>608905.10999999987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12758657.540000001</v>
      </c>
      <c r="E368" s="218"/>
      <c r="F368" s="219"/>
      <c r="G368" s="219"/>
      <c r="H368" s="219"/>
      <c r="I368" s="86">
        <f>data!CE66</f>
        <v>20562415.940000001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93643</v>
      </c>
      <c r="E369" s="218"/>
      <c r="F369" s="219"/>
      <c r="G369" s="219"/>
      <c r="H369" s="219"/>
      <c r="I369" s="86">
        <f>data!CE67</f>
        <v>3920917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66592.25</v>
      </c>
      <c r="E370" s="218"/>
      <c r="F370" s="219"/>
      <c r="G370" s="219"/>
      <c r="H370" s="219"/>
      <c r="I370" s="86">
        <f>data!CE68</f>
        <v>1613296.9799999997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1489.24</v>
      </c>
      <c r="E371" s="86">
        <f>data!CD69</f>
        <v>1517720.72</v>
      </c>
      <c r="F371" s="219"/>
      <c r="G371" s="219"/>
      <c r="H371" s="219"/>
      <c r="I371" s="86">
        <f>data!CE69</f>
        <v>1790385.84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5302200</v>
      </c>
      <c r="F372" s="220"/>
      <c r="G372" s="220"/>
      <c r="H372" s="220"/>
      <c r="I372" s="14">
        <f>-data!CE70</f>
        <v>-6162008.9000000004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15098744.390000001</v>
      </c>
      <c r="E373" s="86">
        <f>data!CD71</f>
        <v>-3784479.2800000003</v>
      </c>
      <c r="F373" s="219"/>
      <c r="G373" s="219"/>
      <c r="H373" s="219"/>
      <c r="I373" s="14">
        <f>data!CE71</f>
        <v>69212212.170000002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60739478.099999994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182440983.18000001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243180461.28000003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100342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22735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24579.919999999998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181469.48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93.28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Catholic Health Initiatives</cp:lastModifiedBy>
  <cp:lastPrinted>2002-06-14T19:29:50Z</cp:lastPrinted>
  <dcterms:created xsi:type="dcterms:W3CDTF">1999-06-02T22:01:56Z</dcterms:created>
  <dcterms:modified xsi:type="dcterms:W3CDTF">2020-12-22T23:50:43Z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