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47FEDD7A-3EEB-4DD8-A936-1281C887430D}" xr6:coauthVersionLast="45" xr6:coauthVersionMax="45" xr10:uidLastSave="{00000000-0000-0000-0000-000000000000}"/>
  <bookViews>
    <workbookView xWindow="-103" yWindow="-103" windowWidth="16663" windowHeight="8863" firstSheet="1" activeTab="9" xr2:uid="{3A259AFC-2391-4C03-8426-4E526BF7F3B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1" r:id="rId10"/>
  </sheets>
  <definedNames>
    <definedName name="_Fill" localSheetId="9" hidden="1">'Prior Year'!$DR$780:$DR$825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Year'!$A$368:$E$435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Year'!$A$368:$E$435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_xlnm.Print_Titles" localSheetId="0">data!$A:$A</definedName>
    <definedName name="_xlnm.Print_Titles" localSheetId="9">'Prior Year'!$A:$A</definedName>
    <definedName name="Support" localSheetId="9">'Prior Year'!#REF!</definedName>
    <definedName name="Support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6" i="11" l="1"/>
  <c r="AO59" i="1"/>
  <c r="D528" i="1" l="1"/>
  <c r="D575" i="1"/>
  <c r="D574" i="1"/>
  <c r="D572" i="1"/>
  <c r="D573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1" i="1"/>
  <c r="D502" i="1"/>
  <c r="D500" i="1"/>
  <c r="D499" i="1"/>
  <c r="D498" i="1"/>
  <c r="D497" i="1"/>
  <c r="D496" i="1"/>
  <c r="F493" i="1"/>
  <c r="D493" i="1"/>
  <c r="B493" i="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F472" i="11"/>
  <c r="F473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94" i="11"/>
  <c r="F495" i="11"/>
  <c r="F496" i="11"/>
  <c r="F497" i="11"/>
  <c r="F501" i="11"/>
  <c r="F502" i="11"/>
  <c r="F503" i="11"/>
  <c r="F507" i="11"/>
  <c r="CE60" i="1" l="1"/>
  <c r="C572" i="11" l="1"/>
  <c r="E507" i="11"/>
  <c r="E503" i="11"/>
  <c r="E502" i="11"/>
  <c r="E501" i="11"/>
  <c r="E497" i="11"/>
  <c r="E496" i="11"/>
  <c r="H496" i="11"/>
  <c r="E495" i="11"/>
  <c r="H495" i="11"/>
  <c r="E494" i="11"/>
  <c r="H494" i="11"/>
  <c r="E493" i="11"/>
  <c r="E492" i="11"/>
  <c r="E491" i="11"/>
  <c r="E490" i="11"/>
  <c r="H490" i="11"/>
  <c r="E489" i="11"/>
  <c r="H489" i="11"/>
  <c r="E488" i="11"/>
  <c r="E487" i="11"/>
  <c r="E486" i="11"/>
  <c r="E485" i="11"/>
  <c r="E484" i="11"/>
  <c r="E483" i="11"/>
  <c r="E482" i="11"/>
  <c r="E481" i="11"/>
  <c r="E480" i="11"/>
  <c r="H480" i="11"/>
  <c r="E479" i="11"/>
  <c r="E477" i="11"/>
  <c r="H477" i="11"/>
  <c r="E476" i="11"/>
  <c r="H476" i="11"/>
  <c r="E475" i="11"/>
  <c r="E474" i="11"/>
  <c r="E473" i="11"/>
  <c r="E472" i="11"/>
  <c r="H472" i="11"/>
  <c r="E471" i="11"/>
  <c r="E468" i="11"/>
  <c r="E467" i="11"/>
  <c r="E466" i="11"/>
  <c r="E465" i="11"/>
  <c r="E464" i="11"/>
  <c r="H464" i="11"/>
  <c r="E463" i="11"/>
  <c r="H463" i="11"/>
  <c r="E462" i="11"/>
  <c r="E461" i="11"/>
  <c r="E460" i="11"/>
  <c r="H460" i="11"/>
  <c r="E459" i="11"/>
  <c r="H459" i="11"/>
  <c r="E458" i="11"/>
  <c r="E457" i="11"/>
  <c r="H457" i="11"/>
  <c r="E456" i="11"/>
  <c r="E455" i="11"/>
  <c r="E454" i="11"/>
  <c r="H454" i="11"/>
  <c r="E453" i="11"/>
  <c r="H453" i="11"/>
  <c r="G450" i="11"/>
  <c r="E450" i="11"/>
  <c r="C450" i="11"/>
  <c r="A450" i="11"/>
  <c r="B435" i="11"/>
  <c r="B432" i="11"/>
  <c r="B431" i="11"/>
  <c r="B430" i="11"/>
  <c r="B429" i="11"/>
  <c r="B428" i="11"/>
  <c r="B427" i="11"/>
  <c r="B421" i="11"/>
  <c r="B420" i="11"/>
  <c r="C416" i="11"/>
  <c r="B416" i="11"/>
  <c r="B415" i="11"/>
  <c r="B412" i="11"/>
  <c r="B411" i="11"/>
  <c r="B410" i="11"/>
  <c r="C404" i="11"/>
  <c r="C403" i="11"/>
  <c r="C402" i="11"/>
  <c r="C401" i="11"/>
  <c r="C396" i="11"/>
  <c r="B396" i="11"/>
  <c r="C395" i="11"/>
  <c r="B395" i="11"/>
  <c r="B397" i="11" s="1"/>
  <c r="B394" i="11"/>
  <c r="B393" i="11"/>
  <c r="B392" i="11"/>
  <c r="B391" i="11"/>
  <c r="B390" i="11"/>
  <c r="B389" i="11"/>
  <c r="B388" i="11"/>
  <c r="B387" i="11"/>
  <c r="B386" i="11"/>
  <c r="B385" i="11"/>
  <c r="B384" i="11"/>
  <c r="D381" i="11"/>
  <c r="B381" i="11"/>
  <c r="B380" i="11"/>
  <c r="D378" i="11"/>
  <c r="B378" i="11"/>
  <c r="B377" i="11"/>
  <c r="D375" i="11"/>
  <c r="B375" i="11"/>
  <c r="B374" i="11"/>
  <c r="D372" i="11"/>
  <c r="B372" i="11"/>
  <c r="B371" i="11"/>
  <c r="A369" i="11"/>
  <c r="D347" i="11"/>
  <c r="B398" i="11" s="1"/>
  <c r="D329" i="11"/>
  <c r="D324" i="11"/>
  <c r="C405" i="11" s="1"/>
  <c r="D318" i="11"/>
  <c r="B422" i="11" s="1"/>
  <c r="D286" i="11"/>
  <c r="D285" i="11"/>
  <c r="D287" i="11" s="1"/>
  <c r="D276" i="11"/>
  <c r="D271" i="11"/>
  <c r="D247" i="11"/>
  <c r="D240" i="11"/>
  <c r="C225" i="11"/>
  <c r="B426" i="11" s="1"/>
  <c r="C224" i="11"/>
  <c r="B425" i="11" s="1"/>
  <c r="D222" i="11"/>
  <c r="D217" i="11"/>
  <c r="D197" i="11"/>
  <c r="B404" i="11" s="1"/>
  <c r="D193" i="11"/>
  <c r="B403" i="11" s="1"/>
  <c r="D186" i="11"/>
  <c r="B402" i="11" s="1"/>
  <c r="D178" i="11"/>
  <c r="B401" i="11" s="1"/>
  <c r="D174" i="11"/>
  <c r="C174" i="11"/>
  <c r="D390" i="11" s="1"/>
  <c r="B174" i="11"/>
  <c r="E173" i="11"/>
  <c r="E172" i="11"/>
  <c r="E171" i="11"/>
  <c r="E170" i="11"/>
  <c r="E169" i="11"/>
  <c r="E168" i="11"/>
  <c r="E167" i="11"/>
  <c r="E166" i="11"/>
  <c r="C161" i="11"/>
  <c r="D160" i="11"/>
  <c r="D161" i="11" s="1"/>
  <c r="E159" i="11"/>
  <c r="C431" i="11" s="1"/>
  <c r="E158" i="11"/>
  <c r="E157" i="11"/>
  <c r="E156" i="11"/>
  <c r="E155" i="11"/>
  <c r="C428" i="11" s="1"/>
  <c r="B154" i="11"/>
  <c r="E154" i="11" s="1"/>
  <c r="C427" i="11" s="1"/>
  <c r="E153" i="11"/>
  <c r="C426" i="11" s="1"/>
  <c r="B152" i="11"/>
  <c r="D147" i="11"/>
  <c r="D394" i="11" s="1"/>
  <c r="D143" i="11"/>
  <c r="D138" i="11"/>
  <c r="D392" i="11" s="1"/>
  <c r="D134" i="11"/>
  <c r="D391" i="11" s="1"/>
  <c r="D130" i="11"/>
  <c r="D385" i="11" s="1"/>
  <c r="E111" i="11"/>
  <c r="E110" i="11"/>
  <c r="E109" i="11"/>
  <c r="E108" i="11"/>
  <c r="C378" i="11" s="1"/>
  <c r="E107" i="11"/>
  <c r="C377" i="11" s="1"/>
  <c r="E105" i="11"/>
  <c r="E104" i="11"/>
  <c r="E103" i="11"/>
  <c r="E102" i="11"/>
  <c r="C375" i="11" s="1"/>
  <c r="E101" i="11"/>
  <c r="C374" i="11" s="1"/>
  <c r="E99" i="11"/>
  <c r="E98" i="11"/>
  <c r="E97" i="11"/>
  <c r="D96" i="11"/>
  <c r="E96" i="11" s="1"/>
  <c r="C372" i="11" s="1"/>
  <c r="E95" i="11"/>
  <c r="C371" i="11" s="1"/>
  <c r="E84" i="11"/>
  <c r="CE37" i="11"/>
  <c r="L569" i="11" s="1"/>
  <c r="CE36" i="11"/>
  <c r="J569" i="11" s="1"/>
  <c r="CE35" i="11"/>
  <c r="I569" i="11" s="1"/>
  <c r="CE34" i="11"/>
  <c r="G569" i="11" s="1"/>
  <c r="CE33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CE31" i="11"/>
  <c r="C421" i="11" s="1"/>
  <c r="CE30" i="11"/>
  <c r="C420" i="11" s="1"/>
  <c r="CD28" i="11"/>
  <c r="CE27" i="11"/>
  <c r="C415" i="11" s="1"/>
  <c r="CE26" i="11"/>
  <c r="C397" i="11" s="1"/>
  <c r="CE25" i="11"/>
  <c r="C391" i="11" s="1"/>
  <c r="CE23" i="11"/>
  <c r="C389" i="11" s="1"/>
  <c r="CE22" i="11"/>
  <c r="C388" i="11" s="1"/>
  <c r="CE21" i="11"/>
  <c r="CE20" i="11"/>
  <c r="C386" i="11" s="1"/>
  <c r="CE18" i="11"/>
  <c r="BW5" i="11" s="1"/>
  <c r="BW19" i="11" s="1"/>
  <c r="CE17" i="11"/>
  <c r="H569" i="11" s="1"/>
  <c r="B10" i="11"/>
  <c r="CE8" i="11"/>
  <c r="B6" i="11"/>
  <c r="CE4" i="11"/>
  <c r="C532" i="11" l="1"/>
  <c r="B575" i="1"/>
  <c r="C430" i="11"/>
  <c r="D232" i="11"/>
  <c r="B433" i="11" s="1"/>
  <c r="H493" i="11"/>
  <c r="B161" i="11"/>
  <c r="H456" i="11"/>
  <c r="N5" i="11"/>
  <c r="N19" i="11" s="1"/>
  <c r="AL5" i="11"/>
  <c r="AL19" i="11" s="1"/>
  <c r="BM5" i="11"/>
  <c r="BM19" i="11" s="1"/>
  <c r="AK5" i="11"/>
  <c r="AK19" i="11" s="1"/>
  <c r="D296" i="11"/>
  <c r="C439" i="11" s="1"/>
  <c r="O5" i="11"/>
  <c r="O19" i="11" s="1"/>
  <c r="AS5" i="11"/>
  <c r="AS19" i="11" s="1"/>
  <c r="R5" i="11"/>
  <c r="R19" i="11" s="1"/>
  <c r="BQ5" i="11"/>
  <c r="BQ19" i="11" s="1"/>
  <c r="AU5" i="11"/>
  <c r="AU19" i="11" s="1"/>
  <c r="V5" i="11"/>
  <c r="V19" i="11" s="1"/>
  <c r="BR5" i="11"/>
  <c r="BR19" i="11" s="1"/>
  <c r="AW5" i="11"/>
  <c r="AW19" i="11" s="1"/>
  <c r="AX5" i="11"/>
  <c r="AX19" i="11" s="1"/>
  <c r="P5" i="11"/>
  <c r="P19" i="11" s="1"/>
  <c r="BO5" i="11"/>
  <c r="BO19" i="11" s="1"/>
  <c r="AT5" i="11"/>
  <c r="AT19" i="11" s="1"/>
  <c r="U5" i="11"/>
  <c r="U19" i="11" s="1"/>
  <c r="AB5" i="11"/>
  <c r="AB19" i="11" s="1"/>
  <c r="BZ5" i="11"/>
  <c r="BZ19" i="11" s="1"/>
  <c r="AC5" i="11"/>
  <c r="AC19" i="11" s="1"/>
  <c r="AY5" i="11"/>
  <c r="AY19" i="11" s="1"/>
  <c r="CA5" i="11"/>
  <c r="CA19" i="11" s="1"/>
  <c r="CF36" i="11"/>
  <c r="H482" i="11"/>
  <c r="BA5" i="11"/>
  <c r="BA19" i="11" s="1"/>
  <c r="CB5" i="11"/>
  <c r="CB19" i="11" s="1"/>
  <c r="D199" i="11"/>
  <c r="B405" i="11" s="1"/>
  <c r="D325" i="11"/>
  <c r="D330" i="11" s="1"/>
  <c r="D348" i="11" s="1"/>
  <c r="D350" i="11" s="1"/>
  <c r="D353" i="11" s="1"/>
  <c r="H458" i="11"/>
  <c r="H502" i="11"/>
  <c r="AR5" i="11"/>
  <c r="AR19" i="11" s="1"/>
  <c r="Q5" i="11"/>
  <c r="Q19" i="11" s="1"/>
  <c r="AV5" i="11"/>
  <c r="AV19" i="11" s="1"/>
  <c r="BY5" i="11"/>
  <c r="BY19" i="11" s="1"/>
  <c r="AD5" i="11"/>
  <c r="AD19" i="11" s="1"/>
  <c r="CC5" i="11"/>
  <c r="CC19" i="11" s="1"/>
  <c r="D421" i="11"/>
  <c r="CE32" i="11"/>
  <c r="C422" i="11" s="1"/>
  <c r="C5" i="11"/>
  <c r="C19" i="11" s="1"/>
  <c r="AE5" i="11"/>
  <c r="AE19" i="11" s="1"/>
  <c r="BB5" i="11"/>
  <c r="BB19" i="11" s="1"/>
  <c r="E5" i="11"/>
  <c r="E19" i="11" s="1"/>
  <c r="AF5" i="11"/>
  <c r="AF19" i="11" s="1"/>
  <c r="BH5" i="11"/>
  <c r="BH19" i="11" s="1"/>
  <c r="H492" i="11"/>
  <c r="BL5" i="11"/>
  <c r="BL19" i="11" s="1"/>
  <c r="BN5" i="11"/>
  <c r="BN19" i="11" s="1"/>
  <c r="E152" i="11"/>
  <c r="C425" i="11" s="1"/>
  <c r="S5" i="11"/>
  <c r="S19" i="11" s="1"/>
  <c r="BX5" i="11"/>
  <c r="BX19" i="11" s="1"/>
  <c r="AG5" i="11"/>
  <c r="AG19" i="11" s="1"/>
  <c r="BI5" i="11"/>
  <c r="BI19" i="11" s="1"/>
  <c r="L5" i="11"/>
  <c r="L19" i="11" s="1"/>
  <c r="AH5" i="11"/>
  <c r="AH19" i="11" s="1"/>
  <c r="BJ5" i="11"/>
  <c r="BJ19" i="11" s="1"/>
  <c r="C384" i="11"/>
  <c r="E174" i="11"/>
  <c r="C435" i="11" s="1"/>
  <c r="F5" i="11"/>
  <c r="F19" i="11" s="1"/>
  <c r="M5" i="11"/>
  <c r="M19" i="11" s="1"/>
  <c r="AI5" i="11"/>
  <c r="AI19" i="11" s="1"/>
  <c r="BK5" i="11"/>
  <c r="BK19" i="11" s="1"/>
  <c r="D395" i="11"/>
  <c r="C429" i="11"/>
  <c r="C387" i="11"/>
  <c r="F569" i="11"/>
  <c r="H473" i="11"/>
  <c r="CF34" i="11"/>
  <c r="D234" i="11"/>
  <c r="D249" i="11" s="1"/>
  <c r="D298" i="11" s="1"/>
  <c r="C438" i="11" s="1"/>
  <c r="E160" i="11"/>
  <c r="C432" i="11" s="1"/>
  <c r="D5" i="11"/>
  <c r="T5" i="11"/>
  <c r="T19" i="11" s="1"/>
  <c r="AJ5" i="11"/>
  <c r="AJ19" i="11" s="1"/>
  <c r="AZ5" i="11"/>
  <c r="AZ19" i="11" s="1"/>
  <c r="BP5" i="11"/>
  <c r="BP19" i="11" s="1"/>
  <c r="H497" i="11"/>
  <c r="H470" i="11"/>
  <c r="D393" i="11"/>
  <c r="BC5" i="11"/>
  <c r="BC19" i="11" s="1"/>
  <c r="D420" i="11"/>
  <c r="G5" i="11"/>
  <c r="G19" i="11" s="1"/>
  <c r="AN5" i="11"/>
  <c r="AN19" i="11" s="1"/>
  <c r="H467" i="11"/>
  <c r="BS5" i="11"/>
  <c r="BS19" i="11" s="1"/>
  <c r="I5" i="11"/>
  <c r="I19" i="11" s="1"/>
  <c r="W5" i="11"/>
  <c r="W19" i="11" s="1"/>
  <c r="BD5" i="11"/>
  <c r="BD19" i="11" s="1"/>
  <c r="Y5" i="11"/>
  <c r="Y19" i="11" s="1"/>
  <c r="BE5" i="11"/>
  <c r="BE19" i="11" s="1"/>
  <c r="J5" i="11"/>
  <c r="J19" i="11" s="1"/>
  <c r="AP5" i="11"/>
  <c r="AP19" i="11" s="1"/>
  <c r="BF5" i="11"/>
  <c r="BF19" i="11" s="1"/>
  <c r="BV5" i="11"/>
  <c r="BV19" i="11" s="1"/>
  <c r="D569" i="11"/>
  <c r="AM5" i="11"/>
  <c r="AM19" i="11" s="1"/>
  <c r="H5" i="11"/>
  <c r="H19" i="11" s="1"/>
  <c r="X5" i="11"/>
  <c r="X19" i="11" s="1"/>
  <c r="BT5" i="11"/>
  <c r="BT19" i="11" s="1"/>
  <c r="AO5" i="11"/>
  <c r="AO19" i="11" s="1"/>
  <c r="BU5" i="11"/>
  <c r="BU19" i="11" s="1"/>
  <c r="Z5" i="11"/>
  <c r="Z19" i="11" s="1"/>
  <c r="K5" i="11"/>
  <c r="K19" i="11" s="1"/>
  <c r="AA5" i="11"/>
  <c r="AA19" i="11" s="1"/>
  <c r="AQ5" i="11"/>
  <c r="AQ19" i="11" s="1"/>
  <c r="BG5" i="11"/>
  <c r="BG19" i="11" s="1"/>
  <c r="CF33" i="11"/>
  <c r="BU9" i="11" s="1"/>
  <c r="BU24" i="11" s="1"/>
  <c r="H461" i="11"/>
  <c r="E142" i="1"/>
  <c r="BE9" i="11" l="1"/>
  <c r="BE24" i="11" s="1"/>
  <c r="K569" i="11"/>
  <c r="D422" i="11"/>
  <c r="BE28" i="11"/>
  <c r="B550" i="1" s="1"/>
  <c r="E161" i="11"/>
  <c r="C433" i="11" s="1"/>
  <c r="BW9" i="11"/>
  <c r="BW24" i="11" s="1"/>
  <c r="BW28" i="11" s="1"/>
  <c r="B568" i="1" s="1"/>
  <c r="BF9" i="11"/>
  <c r="BF24" i="11" s="1"/>
  <c r="BF28" i="11" s="1"/>
  <c r="B551" i="1" s="1"/>
  <c r="AO9" i="11"/>
  <c r="AO24" i="11" s="1"/>
  <c r="AO28" i="11" s="1"/>
  <c r="B534" i="1" s="1"/>
  <c r="Y9" i="11"/>
  <c r="Y24" i="11" s="1"/>
  <c r="Y28" i="11" s="1"/>
  <c r="B518" i="1" s="1"/>
  <c r="I9" i="11"/>
  <c r="I24" i="11" s="1"/>
  <c r="I28" i="11" s="1"/>
  <c r="B502" i="1" s="1"/>
  <c r="BC9" i="11"/>
  <c r="BC24" i="11" s="1"/>
  <c r="BC28" i="11" s="1"/>
  <c r="B548" i="1" s="1"/>
  <c r="W9" i="11"/>
  <c r="W24" i="11" s="1"/>
  <c r="W28" i="11" s="1"/>
  <c r="B516" i="1" s="1"/>
  <c r="AL9" i="11"/>
  <c r="AL24" i="11" s="1"/>
  <c r="AL28" i="11" s="1"/>
  <c r="B531" i="1" s="1"/>
  <c r="BQ9" i="11"/>
  <c r="BQ24" i="11" s="1"/>
  <c r="BQ28" i="11" s="1"/>
  <c r="B562" i="1" s="1"/>
  <c r="D9" i="11"/>
  <c r="D24" i="11" s="1"/>
  <c r="AG9" i="11"/>
  <c r="AG24" i="11" s="1"/>
  <c r="AG28" i="11" s="1"/>
  <c r="B526" i="1" s="1"/>
  <c r="BM9" i="11"/>
  <c r="BM24" i="11" s="1"/>
  <c r="BM28" i="11" s="1"/>
  <c r="B558" i="1" s="1"/>
  <c r="BV9" i="11"/>
  <c r="BV24" i="11" s="1"/>
  <c r="BV28" i="11" s="1"/>
  <c r="B567" i="1" s="1"/>
  <c r="BD9" i="11"/>
  <c r="BD24" i="11" s="1"/>
  <c r="BD28" i="11" s="1"/>
  <c r="B549" i="1" s="1"/>
  <c r="AN9" i="11"/>
  <c r="AN24" i="11" s="1"/>
  <c r="AN28" i="11" s="1"/>
  <c r="B533" i="1" s="1"/>
  <c r="X9" i="11"/>
  <c r="X24" i="11" s="1"/>
  <c r="X28" i="11" s="1"/>
  <c r="B517" i="1" s="1"/>
  <c r="H9" i="11"/>
  <c r="H24" i="11" s="1"/>
  <c r="H28" i="11" s="1"/>
  <c r="B501" i="1" s="1"/>
  <c r="BT9" i="11"/>
  <c r="BT24" i="11" s="1"/>
  <c r="BT28" i="11" s="1"/>
  <c r="B565" i="1" s="1"/>
  <c r="AM9" i="11"/>
  <c r="AM24" i="11" s="1"/>
  <c r="AM28" i="11" s="1"/>
  <c r="B532" i="1" s="1"/>
  <c r="G9" i="11"/>
  <c r="G24" i="11" s="1"/>
  <c r="G28" i="11" s="1"/>
  <c r="B500" i="1" s="1"/>
  <c r="V9" i="11"/>
  <c r="V24" i="11" s="1"/>
  <c r="V28" i="11" s="1"/>
  <c r="B515" i="1" s="1"/>
  <c r="AJ9" i="11"/>
  <c r="AJ24" i="11" s="1"/>
  <c r="AJ28" i="11" s="1"/>
  <c r="B529" i="1" s="1"/>
  <c r="Q9" i="11"/>
  <c r="Q24" i="11" s="1"/>
  <c r="Q28" i="11" s="1"/>
  <c r="B510" i="1" s="1"/>
  <c r="P9" i="11"/>
  <c r="P24" i="11" s="1"/>
  <c r="P28" i="11" s="1"/>
  <c r="B509" i="1" s="1"/>
  <c r="T9" i="11"/>
  <c r="T24" i="11" s="1"/>
  <c r="T28" i="11" s="1"/>
  <c r="B513" i="1" s="1"/>
  <c r="BS9" i="11"/>
  <c r="BS24" i="11" s="1"/>
  <c r="BS28" i="11" s="1"/>
  <c r="B564" i="1" s="1"/>
  <c r="BB9" i="11"/>
  <c r="BB24" i="11" s="1"/>
  <c r="BB28" i="11" s="1"/>
  <c r="B547" i="1" s="1"/>
  <c r="F9" i="11"/>
  <c r="F24" i="11" s="1"/>
  <c r="F28" i="11" s="1"/>
  <c r="B499" i="1" s="1"/>
  <c r="BN9" i="11"/>
  <c r="BN24" i="11" s="1"/>
  <c r="BN28" i="11" s="1"/>
  <c r="B559" i="1" s="1"/>
  <c r="BR9" i="11"/>
  <c r="BR24" i="11" s="1"/>
  <c r="BR28" i="11" s="1"/>
  <c r="B563" i="1" s="1"/>
  <c r="BA9" i="11"/>
  <c r="BA24" i="11" s="1"/>
  <c r="BA28" i="11" s="1"/>
  <c r="B546" i="1" s="1"/>
  <c r="AK9" i="11"/>
  <c r="AK24" i="11" s="1"/>
  <c r="AK28" i="11" s="1"/>
  <c r="B530" i="1" s="1"/>
  <c r="U9" i="11"/>
  <c r="U24" i="11" s="1"/>
  <c r="U28" i="11" s="1"/>
  <c r="B514" i="1" s="1"/>
  <c r="E9" i="11"/>
  <c r="E24" i="11" s="1"/>
  <c r="E28" i="11" s="1"/>
  <c r="B498" i="1" s="1"/>
  <c r="AZ9" i="11"/>
  <c r="AZ24" i="11" s="1"/>
  <c r="AZ28" i="11" s="1"/>
  <c r="B545" i="1" s="1"/>
  <c r="AV9" i="11"/>
  <c r="AV24" i="11" s="1"/>
  <c r="AV28" i="11" s="1"/>
  <c r="B541" i="1" s="1"/>
  <c r="BP9" i="11"/>
  <c r="BP24" i="11" s="1"/>
  <c r="BP28" i="11" s="1"/>
  <c r="B561" i="1" s="1"/>
  <c r="AY9" i="11"/>
  <c r="AY24" i="11" s="1"/>
  <c r="AY28" i="11" s="1"/>
  <c r="B544" i="1" s="1"/>
  <c r="AI9" i="11"/>
  <c r="AI24" i="11" s="1"/>
  <c r="AI28" i="11" s="1"/>
  <c r="B528" i="1" s="1"/>
  <c r="S9" i="11"/>
  <c r="S24" i="11" s="1"/>
  <c r="S28" i="11" s="1"/>
  <c r="B512" i="1" s="1"/>
  <c r="C9" i="11"/>
  <c r="BO9" i="11"/>
  <c r="BO24" i="11" s="1"/>
  <c r="BO28" i="11" s="1"/>
  <c r="B560" i="1" s="1"/>
  <c r="AX9" i="11"/>
  <c r="AX24" i="11" s="1"/>
  <c r="AX28" i="11" s="1"/>
  <c r="B543" i="1" s="1"/>
  <c r="AH9" i="11"/>
  <c r="AH24" i="11" s="1"/>
  <c r="AH28" i="11" s="1"/>
  <c r="B527" i="1" s="1"/>
  <c r="R9" i="11"/>
  <c r="R24" i="11" s="1"/>
  <c r="R28" i="11" s="1"/>
  <c r="B511" i="1" s="1"/>
  <c r="AW9" i="11"/>
  <c r="AW24" i="11" s="1"/>
  <c r="AW28" i="11" s="1"/>
  <c r="B542" i="1" s="1"/>
  <c r="AF9" i="11"/>
  <c r="AF24" i="11" s="1"/>
  <c r="AF28" i="11" s="1"/>
  <c r="B525" i="1" s="1"/>
  <c r="CA9" i="11"/>
  <c r="CA24" i="11" s="1"/>
  <c r="CA28" i="11" s="1"/>
  <c r="B572" i="1" s="1"/>
  <c r="BJ9" i="11"/>
  <c r="BJ24" i="11" s="1"/>
  <c r="BJ28" i="11" s="1"/>
  <c r="B555" i="1" s="1"/>
  <c r="AS9" i="11"/>
  <c r="AS24" i="11" s="1"/>
  <c r="AS28" i="11" s="1"/>
  <c r="B538" i="1" s="1"/>
  <c r="AC9" i="11"/>
  <c r="AC24" i="11" s="1"/>
  <c r="AC28" i="11" s="1"/>
  <c r="B522" i="1" s="1"/>
  <c r="M9" i="11"/>
  <c r="M24" i="11" s="1"/>
  <c r="M28" i="11" s="1"/>
  <c r="B506" i="1" s="1"/>
  <c r="BY9" i="11"/>
  <c r="BY24" i="11" s="1"/>
  <c r="BY28" i="11" s="1"/>
  <c r="B570" i="1" s="1"/>
  <c r="BH9" i="11"/>
  <c r="BH24" i="11" s="1"/>
  <c r="BH28" i="11" s="1"/>
  <c r="B553" i="1" s="1"/>
  <c r="AQ9" i="11"/>
  <c r="AQ24" i="11" s="1"/>
  <c r="AQ28" i="11" s="1"/>
  <c r="B536" i="1" s="1"/>
  <c r="AA9" i="11"/>
  <c r="AA24" i="11" s="1"/>
  <c r="AA28" i="11" s="1"/>
  <c r="B520" i="1" s="1"/>
  <c r="K9" i="11"/>
  <c r="K24" i="11" s="1"/>
  <c r="K28" i="11" s="1"/>
  <c r="B504" i="1" s="1"/>
  <c r="BX9" i="11"/>
  <c r="BX24" i="11" s="1"/>
  <c r="BX28" i="11" s="1"/>
  <c r="B569" i="1" s="1"/>
  <c r="BG9" i="11"/>
  <c r="BG24" i="11" s="1"/>
  <c r="BG28" i="11" s="1"/>
  <c r="B552" i="1" s="1"/>
  <c r="AP9" i="11"/>
  <c r="AP24" i="11" s="1"/>
  <c r="AP28" i="11" s="1"/>
  <c r="B535" i="1" s="1"/>
  <c r="Z9" i="11"/>
  <c r="Z24" i="11" s="1"/>
  <c r="Z28" i="11" s="1"/>
  <c r="B519" i="1" s="1"/>
  <c r="J9" i="11"/>
  <c r="J24" i="11" s="1"/>
  <c r="J28" i="11" s="1"/>
  <c r="B503" i="1" s="1"/>
  <c r="AT9" i="11"/>
  <c r="AT24" i="11" s="1"/>
  <c r="AT28" i="11" s="1"/>
  <c r="B539" i="1" s="1"/>
  <c r="AE9" i="11"/>
  <c r="AE24" i="11" s="1"/>
  <c r="AE28" i="11" s="1"/>
  <c r="B524" i="1" s="1"/>
  <c r="N9" i="11"/>
  <c r="N24" i="11" s="1"/>
  <c r="N28" i="11" s="1"/>
  <c r="B507" i="1" s="1"/>
  <c r="AR9" i="11"/>
  <c r="AR24" i="11" s="1"/>
  <c r="AR28" i="11" s="1"/>
  <c r="B537" i="1" s="1"/>
  <c r="CB9" i="11"/>
  <c r="CB24" i="11" s="1"/>
  <c r="CB28" i="11" s="1"/>
  <c r="B573" i="1" s="1"/>
  <c r="AD9" i="11"/>
  <c r="AD24" i="11" s="1"/>
  <c r="AD28" i="11" s="1"/>
  <c r="B523" i="1" s="1"/>
  <c r="O9" i="11"/>
  <c r="O24" i="11" s="1"/>
  <c r="O28" i="11" s="1"/>
  <c r="B508" i="1" s="1"/>
  <c r="BL9" i="11"/>
  <c r="BL24" i="11" s="1"/>
  <c r="BL28" i="11" s="1"/>
  <c r="B557" i="1" s="1"/>
  <c r="AB9" i="11"/>
  <c r="AB24" i="11" s="1"/>
  <c r="AB28" i="11" s="1"/>
  <c r="B521" i="1" s="1"/>
  <c r="BZ9" i="11"/>
  <c r="BZ24" i="11" s="1"/>
  <c r="BZ28" i="11" s="1"/>
  <c r="B571" i="1" s="1"/>
  <c r="L9" i="11"/>
  <c r="L24" i="11" s="1"/>
  <c r="L28" i="11" s="1"/>
  <c r="B505" i="1" s="1"/>
  <c r="CC9" i="11"/>
  <c r="CC24" i="11" s="1"/>
  <c r="CC28" i="11" s="1"/>
  <c r="B574" i="1" s="1"/>
  <c r="BK9" i="11"/>
  <c r="BK24" i="11" s="1"/>
  <c r="BK28" i="11" s="1"/>
  <c r="B556" i="1" s="1"/>
  <c r="BI9" i="11"/>
  <c r="BI24" i="11" s="1"/>
  <c r="BI28" i="11" s="1"/>
  <c r="B554" i="1" s="1"/>
  <c r="AU9" i="11"/>
  <c r="AU24" i="11" s="1"/>
  <c r="AU28" i="11" s="1"/>
  <c r="B540" i="1" s="1"/>
  <c r="BU28" i="11"/>
  <c r="B566" i="1" s="1"/>
  <c r="D19" i="11"/>
  <c r="CE5" i="11"/>
  <c r="C267" i="1"/>
  <c r="E141" i="1"/>
  <c r="C631" i="11" l="1"/>
  <c r="C459" i="11"/>
  <c r="G459" i="11" s="1"/>
  <c r="C646" i="11"/>
  <c r="C474" i="11"/>
  <c r="C491" i="11"/>
  <c r="C663" i="11"/>
  <c r="C665" i="11"/>
  <c r="C493" i="11"/>
  <c r="G493" i="11" s="1"/>
  <c r="C590" i="11"/>
  <c r="C505" i="11"/>
  <c r="C489" i="11"/>
  <c r="G489" i="11" s="1"/>
  <c r="C661" i="11"/>
  <c r="C597" i="11"/>
  <c r="C522" i="11"/>
  <c r="C632" i="11"/>
  <c r="C460" i="11"/>
  <c r="G460" i="11" s="1"/>
  <c r="C581" i="11"/>
  <c r="C506" i="11"/>
  <c r="C648" i="11"/>
  <c r="C476" i="11"/>
  <c r="G476" i="11" s="1"/>
  <c r="C599" i="11"/>
  <c r="C524" i="11"/>
  <c r="C664" i="11"/>
  <c r="C492" i="11"/>
  <c r="G492" i="11" s="1"/>
  <c r="C509" i="11"/>
  <c r="C575" i="11"/>
  <c r="C521" i="11"/>
  <c r="C596" i="11"/>
  <c r="C461" i="11"/>
  <c r="G461" i="11" s="1"/>
  <c r="C633" i="11"/>
  <c r="C470" i="11"/>
  <c r="G470" i="11" s="1"/>
  <c r="C642" i="11"/>
  <c r="C649" i="11"/>
  <c r="C477" i="11"/>
  <c r="G477" i="11" s="1"/>
  <c r="C520" i="11"/>
  <c r="C583" i="11"/>
  <c r="C640" i="11"/>
  <c r="C468" i="11"/>
  <c r="C656" i="11"/>
  <c r="C484" i="11"/>
  <c r="C601" i="11"/>
  <c r="C526" i="11"/>
  <c r="C580" i="11"/>
  <c r="C519" i="11"/>
  <c r="C502" i="11"/>
  <c r="G502" i="11" s="1"/>
  <c r="C585" i="11"/>
  <c r="C660" i="11"/>
  <c r="C488" i="11"/>
  <c r="C576" i="11"/>
  <c r="C516" i="11"/>
  <c r="C486" i="11"/>
  <c r="C658" i="11"/>
  <c r="C655" i="11"/>
  <c r="C483" i="11"/>
  <c r="C634" i="11"/>
  <c r="C462" i="11"/>
  <c r="C478" i="11"/>
  <c r="C650" i="11"/>
  <c r="C594" i="11"/>
  <c r="C514" i="11"/>
  <c r="C593" i="11"/>
  <c r="C510" i="11"/>
  <c r="C501" i="11"/>
  <c r="C582" i="11"/>
  <c r="C630" i="11"/>
  <c r="C458" i="11"/>
  <c r="G458" i="11" s="1"/>
  <c r="C518" i="11"/>
  <c r="C578" i="11"/>
  <c r="C513" i="11"/>
  <c r="C592" i="11"/>
  <c r="C466" i="11"/>
  <c r="C638" i="11"/>
  <c r="C523" i="11"/>
  <c r="C598" i="11"/>
  <c r="C652" i="11"/>
  <c r="C480" i="11"/>
  <c r="G480" i="11" s="1"/>
  <c r="C588" i="11"/>
  <c r="C499" i="11"/>
  <c r="C589" i="11"/>
  <c r="C504" i="11"/>
  <c r="C531" i="11"/>
  <c r="C577" i="11"/>
  <c r="C603" i="11"/>
  <c r="C528" i="11"/>
  <c r="C475" i="11"/>
  <c r="C647" i="11"/>
  <c r="C595" i="11"/>
  <c r="C515" i="11"/>
  <c r="C517" i="11"/>
  <c r="C584" i="11"/>
  <c r="D28" i="11"/>
  <c r="B497" i="1" s="1"/>
  <c r="CE19" i="11"/>
  <c r="C644" i="11"/>
  <c r="C472" i="11"/>
  <c r="G472" i="11" s="1"/>
  <c r="C627" i="11"/>
  <c r="C455" i="11"/>
  <c r="C662" i="11"/>
  <c r="C490" i="11"/>
  <c r="G490" i="11" s="1"/>
  <c r="C456" i="11"/>
  <c r="G456" i="11" s="1"/>
  <c r="C628" i="11"/>
  <c r="C473" i="11"/>
  <c r="G473" i="11" s="1"/>
  <c r="C645" i="11"/>
  <c r="C657" i="11"/>
  <c r="C485" i="11"/>
  <c r="C637" i="11"/>
  <c r="C465" i="11"/>
  <c r="C635" i="11"/>
  <c r="C463" i="11"/>
  <c r="G463" i="11" s="1"/>
  <c r="C651" i="11"/>
  <c r="C479" i="11"/>
  <c r="C666" i="11"/>
  <c r="C494" i="11"/>
  <c r="G494" i="11" s="1"/>
  <c r="C636" i="11"/>
  <c r="C464" i="11"/>
  <c r="G464" i="11" s="1"/>
  <c r="C600" i="11"/>
  <c r="C525" i="11"/>
  <c r="C629" i="11"/>
  <c r="C457" i="11"/>
  <c r="G457" i="11" s="1"/>
  <c r="C571" i="11"/>
  <c r="C507" i="11"/>
  <c r="C24" i="11"/>
  <c r="CE9" i="11"/>
  <c r="C639" i="11"/>
  <c r="C467" i="11"/>
  <c r="G467" i="11" s="1"/>
  <c r="C667" i="11"/>
  <c r="C495" i="11"/>
  <c r="G495" i="11" s="1"/>
  <c r="C574" i="11"/>
  <c r="C512" i="11"/>
  <c r="C529" i="11"/>
  <c r="C604" i="11"/>
  <c r="C487" i="11"/>
  <c r="C659" i="11"/>
  <c r="C669" i="11"/>
  <c r="C497" i="11"/>
  <c r="G497" i="11" s="1"/>
  <c r="C591" i="11"/>
  <c r="C511" i="11"/>
  <c r="C500" i="11"/>
  <c r="C573" i="11"/>
  <c r="C641" i="11"/>
  <c r="C469" i="11"/>
  <c r="C586" i="11"/>
  <c r="C508" i="11"/>
  <c r="C527" i="11"/>
  <c r="C602" i="11"/>
  <c r="C498" i="11"/>
  <c r="C670" i="11"/>
  <c r="C579" i="11"/>
  <c r="C530" i="11"/>
  <c r="C643" i="11"/>
  <c r="C471" i="11"/>
  <c r="C653" i="11"/>
  <c r="C481" i="11"/>
  <c r="C668" i="11"/>
  <c r="C496" i="11"/>
  <c r="G496" i="11" s="1"/>
  <c r="C482" i="11"/>
  <c r="G482" i="11" s="1"/>
  <c r="C654" i="11"/>
  <c r="C587" i="11"/>
  <c r="C503" i="11"/>
  <c r="G479" i="11" l="1"/>
  <c r="H479" i="11"/>
  <c r="G466" i="11"/>
  <c r="H466" i="11"/>
  <c r="G455" i="11"/>
  <c r="H455" i="11"/>
  <c r="G507" i="11"/>
  <c r="H507" i="11"/>
  <c r="G469" i="11"/>
  <c r="H469" i="11"/>
  <c r="G462" i="11"/>
  <c r="H462" i="11" s="1"/>
  <c r="CE24" i="11"/>
  <c r="C390" i="11" s="1"/>
  <c r="C28" i="11"/>
  <c r="B496" i="1" s="1"/>
  <c r="G478" i="11"/>
  <c r="H478" i="11"/>
  <c r="G483" i="11"/>
  <c r="H483" i="11" s="1"/>
  <c r="G474" i="11"/>
  <c r="H474" i="11"/>
  <c r="G487" i="11"/>
  <c r="H487" i="11"/>
  <c r="G486" i="11"/>
  <c r="H486" i="11"/>
  <c r="G488" i="11"/>
  <c r="H488" i="11"/>
  <c r="H503" i="11"/>
  <c r="G503" i="11"/>
  <c r="C385" i="11"/>
  <c r="CE28" i="11"/>
  <c r="C673" i="11" s="1"/>
  <c r="C626" i="11"/>
  <c r="C454" i="11"/>
  <c r="G454" i="11" s="1"/>
  <c r="D572" i="11"/>
  <c r="C605" i="11"/>
  <c r="M673" i="11" s="1"/>
  <c r="H468" i="11"/>
  <c r="G468" i="11"/>
  <c r="G501" i="11"/>
  <c r="H501" i="11"/>
  <c r="G465" i="11"/>
  <c r="H465" i="11"/>
  <c r="G481" i="11"/>
  <c r="H481" i="11"/>
  <c r="G485" i="11"/>
  <c r="H485" i="11"/>
  <c r="G484" i="11"/>
  <c r="H484" i="11" s="1"/>
  <c r="G471" i="11"/>
  <c r="H471" i="11" s="1"/>
  <c r="G475" i="11"/>
  <c r="H475" i="11"/>
  <c r="G491" i="11"/>
  <c r="H491" i="11" s="1"/>
  <c r="A493" i="1"/>
  <c r="C115" i="8"/>
  <c r="C444" i="1"/>
  <c r="D367" i="1"/>
  <c r="C448" i="1" s="1"/>
  <c r="D221" i="1"/>
  <c r="D5" i="7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1" i="1"/>
  <c r="BK48" i="1" s="1"/>
  <c r="BK62" i="1" s="1"/>
  <c r="CE65" i="1"/>
  <c r="I367" i="9" s="1"/>
  <c r="CE63" i="1"/>
  <c r="I365" i="9" s="1"/>
  <c r="CE66" i="1"/>
  <c r="C432" i="1" s="1"/>
  <c r="CE68" i="1"/>
  <c r="I370" i="9" s="1"/>
  <c r="D75" i="1"/>
  <c r="D26" i="9" s="1"/>
  <c r="AR75" i="1"/>
  <c r="I186" i="9" s="1"/>
  <c r="AS75" i="1"/>
  <c r="C218" i="9" s="1"/>
  <c r="AT75" i="1"/>
  <c r="D218" i="9" s="1"/>
  <c r="AU75" i="1"/>
  <c r="E218" i="9" s="1"/>
  <c r="AQ75" i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T75" i="1"/>
  <c r="R75" i="1"/>
  <c r="D90" i="9" s="1"/>
  <c r="Q75" i="1"/>
  <c r="C90" i="9" s="1"/>
  <c r="P75" i="1"/>
  <c r="O75" i="1"/>
  <c r="H58" i="9" s="1"/>
  <c r="N75" i="1"/>
  <c r="G58" i="9" s="1"/>
  <c r="M75" i="1"/>
  <c r="F58" i="9" s="1"/>
  <c r="L75" i="1"/>
  <c r="E58" i="9" s="1"/>
  <c r="I75" i="1"/>
  <c r="H75" i="1"/>
  <c r="G75" i="1"/>
  <c r="G26" i="9" s="1"/>
  <c r="F75" i="1"/>
  <c r="F26" i="9" s="1"/>
  <c r="AV75" i="1"/>
  <c r="F218" i="9" s="1"/>
  <c r="AP75" i="1"/>
  <c r="AJ75" i="1"/>
  <c r="AL75" i="1"/>
  <c r="C186" i="9" s="1"/>
  <c r="AK75" i="1"/>
  <c r="I154" i="9" s="1"/>
  <c r="AG75" i="1"/>
  <c r="E154" i="9" s="1"/>
  <c r="AE75" i="1"/>
  <c r="AC75" i="1"/>
  <c r="AB75" i="1"/>
  <c r="G122" i="9" s="1"/>
  <c r="Y75" i="1"/>
  <c r="U75" i="1"/>
  <c r="G90" i="9" s="1"/>
  <c r="S75" i="1"/>
  <c r="E90" i="9" s="1"/>
  <c r="K75" i="1"/>
  <c r="D58" i="9" s="1"/>
  <c r="J75" i="1"/>
  <c r="E75" i="1"/>
  <c r="CE73" i="1"/>
  <c r="I376" i="9" s="1"/>
  <c r="CE74" i="1"/>
  <c r="C75" i="1"/>
  <c r="C26" i="9" s="1"/>
  <c r="CE80" i="1"/>
  <c r="L612" i="1" s="1"/>
  <c r="CE78" i="1"/>
  <c r="I382" i="9" s="1"/>
  <c r="CE69" i="1"/>
  <c r="I371" i="9" s="1"/>
  <c r="D361" i="1"/>
  <c r="D372" i="1"/>
  <c r="C125" i="8" s="1"/>
  <c r="D260" i="1"/>
  <c r="C16" i="8" s="1"/>
  <c r="D265" i="1"/>
  <c r="D275" i="1"/>
  <c r="D290" i="1"/>
  <c r="C49" i="8" s="1"/>
  <c r="D314" i="1"/>
  <c r="C68" i="8" s="1"/>
  <c r="D319" i="1"/>
  <c r="C74" i="8" s="1"/>
  <c r="D328" i="1"/>
  <c r="C84" i="8" s="1"/>
  <c r="D329" i="1"/>
  <c r="C85" i="8" s="1"/>
  <c r="D229" i="1"/>
  <c r="D13" i="7" s="1"/>
  <c r="D236" i="1"/>
  <c r="B446" i="1" s="1"/>
  <c r="D240" i="1"/>
  <c r="B447" i="1" s="1"/>
  <c r="E209" i="1"/>
  <c r="F24" i="6" s="1"/>
  <c r="E210" i="1"/>
  <c r="F25" i="6" s="1"/>
  <c r="E211" i="1"/>
  <c r="F26" i="6" s="1"/>
  <c r="E212" i="1"/>
  <c r="F27" i="6" s="1"/>
  <c r="E213" i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E197" i="1"/>
  <c r="C470" i="1" s="1"/>
  <c r="E198" i="1"/>
  <c r="F10" i="6" s="1"/>
  <c r="E199" i="1"/>
  <c r="C472" i="1" s="1"/>
  <c r="E200" i="1"/>
  <c r="E201" i="1"/>
  <c r="F13" i="6" s="1"/>
  <c r="E202" i="1"/>
  <c r="F14" i="6" s="1"/>
  <c r="E203" i="1"/>
  <c r="C475" i="1" s="1"/>
  <c r="D204" i="1"/>
  <c r="E16" i="6" s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F28" i="4" s="1"/>
  <c r="E153" i="1"/>
  <c r="E28" i="4" s="1"/>
  <c r="E152" i="1"/>
  <c r="D28" i="4" s="1"/>
  <c r="E151" i="1"/>
  <c r="E150" i="1"/>
  <c r="B28" i="4" s="1"/>
  <c r="E148" i="1"/>
  <c r="E147" i="1"/>
  <c r="D463" i="1" s="1"/>
  <c r="E146" i="1"/>
  <c r="D19" i="4" s="1"/>
  <c r="E145" i="1"/>
  <c r="C418" i="1" s="1"/>
  <c r="E144" i="1"/>
  <c r="E140" i="1"/>
  <c r="D10" i="4" s="1"/>
  <c r="E139" i="1"/>
  <c r="C415" i="1" s="1"/>
  <c r="E127" i="1"/>
  <c r="G34" i="3" s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22" i="7"/>
  <c r="D19" i="7"/>
  <c r="D18" i="7"/>
  <c r="D12" i="7"/>
  <c r="D11" i="7"/>
  <c r="D10" i="7"/>
  <c r="D9" i="7"/>
  <c r="D8" i="7"/>
  <c r="D7" i="7"/>
  <c r="B28" i="2"/>
  <c r="E21" i="2"/>
  <c r="E18" i="2"/>
  <c r="E17" i="2"/>
  <c r="C34" i="5"/>
  <c r="D366" i="9"/>
  <c r="CE64" i="1"/>
  <c r="C430" i="1" s="1"/>
  <c r="D368" i="9"/>
  <c r="C276" i="9"/>
  <c r="CE70" i="1"/>
  <c r="C458" i="1" s="1"/>
  <c r="CE76" i="1"/>
  <c r="CF76" i="1" s="1"/>
  <c r="CE77" i="1"/>
  <c r="CF77" i="1" s="1"/>
  <c r="I29" i="9"/>
  <c r="C95" i="9"/>
  <c r="CE79" i="1"/>
  <c r="G9" i="4"/>
  <c r="F9" i="4"/>
  <c r="E138" i="1"/>
  <c r="B10" i="4" s="1"/>
  <c r="C204" i="1"/>
  <c r="D16" i="6" s="1"/>
  <c r="E195" i="1"/>
  <c r="F7" i="6" s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D71" i="1"/>
  <c r="E373" i="9" s="1"/>
  <c r="C615" i="1"/>
  <c r="E372" i="9"/>
  <c r="I377" i="9" l="1"/>
  <c r="C464" i="1"/>
  <c r="E19" i="4"/>
  <c r="C40" i="5"/>
  <c r="C398" i="11"/>
  <c r="D664" i="11"/>
  <c r="D648" i="11"/>
  <c r="D632" i="11"/>
  <c r="D601" i="11"/>
  <c r="D599" i="11"/>
  <c r="D597" i="11"/>
  <c r="D595" i="11"/>
  <c r="D593" i="11"/>
  <c r="D591" i="11"/>
  <c r="D589" i="11"/>
  <c r="D587" i="11"/>
  <c r="D581" i="11"/>
  <c r="D661" i="11"/>
  <c r="D645" i="11"/>
  <c r="D629" i="11"/>
  <c r="D573" i="11"/>
  <c r="D668" i="11"/>
  <c r="D652" i="11"/>
  <c r="D636" i="11"/>
  <c r="D665" i="11"/>
  <c r="D649" i="11"/>
  <c r="D633" i="11"/>
  <c r="D579" i="11"/>
  <c r="D662" i="11"/>
  <c r="D646" i="11"/>
  <c r="D630" i="11"/>
  <c r="D659" i="11"/>
  <c r="D643" i="11"/>
  <c r="D627" i="11"/>
  <c r="D604" i="11"/>
  <c r="D602" i="11"/>
  <c r="D586" i="11"/>
  <c r="D583" i="11"/>
  <c r="D578" i="11"/>
  <c r="D673" i="11"/>
  <c r="D656" i="11"/>
  <c r="D640" i="11"/>
  <c r="D669" i="11"/>
  <c r="D653" i="11"/>
  <c r="D637" i="11"/>
  <c r="D577" i="11"/>
  <c r="D666" i="11"/>
  <c r="D650" i="11"/>
  <c r="D634" i="11"/>
  <c r="D663" i="11"/>
  <c r="D647" i="11"/>
  <c r="D631" i="11"/>
  <c r="D576" i="11"/>
  <c r="D657" i="11"/>
  <c r="D641" i="11"/>
  <c r="D625" i="11"/>
  <c r="D585" i="11"/>
  <c r="D575" i="11"/>
  <c r="D670" i="11"/>
  <c r="D654" i="11"/>
  <c r="D638" i="11"/>
  <c r="D667" i="11"/>
  <c r="D580" i="11"/>
  <c r="D658" i="11"/>
  <c r="D598" i="11"/>
  <c r="D655" i="11"/>
  <c r="D588" i="11"/>
  <c r="D660" i="11"/>
  <c r="D626" i="11"/>
  <c r="D594" i="11"/>
  <c r="D574" i="11"/>
  <c r="D600" i="11"/>
  <c r="D584" i="11"/>
  <c r="D642" i="11"/>
  <c r="D635" i="11"/>
  <c r="D592" i="11"/>
  <c r="D651" i="11"/>
  <c r="D628" i="11"/>
  <c r="D603" i="11"/>
  <c r="D639" i="11"/>
  <c r="D596" i="11"/>
  <c r="D644" i="11"/>
  <c r="D582" i="11"/>
  <c r="D590" i="11"/>
  <c r="C625" i="11"/>
  <c r="C672" i="11" s="1"/>
  <c r="C453" i="11"/>
  <c r="G453" i="11" s="1"/>
  <c r="C575" i="1"/>
  <c r="I383" i="9"/>
  <c r="CF79" i="1"/>
  <c r="G19" i="4"/>
  <c r="C474" i="1"/>
  <c r="C420" i="1"/>
  <c r="D438" i="1"/>
  <c r="D464" i="1"/>
  <c r="D465" i="1" s="1"/>
  <c r="G28" i="4"/>
  <c r="B444" i="1"/>
  <c r="F11" i="6"/>
  <c r="C471" i="1"/>
  <c r="C473" i="1"/>
  <c r="F15" i="6"/>
  <c r="C27" i="5"/>
  <c r="H122" i="9"/>
  <c r="F10" i="4"/>
  <c r="B440" i="1"/>
  <c r="C119" i="8"/>
  <c r="B465" i="1"/>
  <c r="D368" i="1"/>
  <c r="C112" i="8"/>
  <c r="D330" i="1"/>
  <c r="C86" i="8" s="1"/>
  <c r="D32" i="6"/>
  <c r="F12" i="6"/>
  <c r="F9" i="6"/>
  <c r="C468" i="1"/>
  <c r="D434" i="1"/>
  <c r="C19" i="4"/>
  <c r="I384" i="9"/>
  <c r="J612" i="1"/>
  <c r="BC52" i="1"/>
  <c r="BC67" i="1" s="1"/>
  <c r="F241" i="9" s="1"/>
  <c r="AP52" i="1"/>
  <c r="AP67" i="1" s="1"/>
  <c r="G177" i="9" s="1"/>
  <c r="BF52" i="1"/>
  <c r="BF67" i="1" s="1"/>
  <c r="I241" i="9" s="1"/>
  <c r="D612" i="1"/>
  <c r="AE52" i="1"/>
  <c r="AE67" i="1" s="1"/>
  <c r="C145" i="9" s="1"/>
  <c r="AC52" i="1"/>
  <c r="AC67" i="1" s="1"/>
  <c r="AF52" i="1"/>
  <c r="AF67" i="1" s="1"/>
  <c r="W52" i="1"/>
  <c r="W67" i="1" s="1"/>
  <c r="D52" i="1"/>
  <c r="D67" i="1" s="1"/>
  <c r="BX52" i="1"/>
  <c r="BX67" i="1" s="1"/>
  <c r="F337" i="9" s="1"/>
  <c r="BD52" i="1"/>
  <c r="BD67" i="1" s="1"/>
  <c r="CB52" i="1"/>
  <c r="CB67" i="1" s="1"/>
  <c r="BV52" i="1"/>
  <c r="BV67" i="1" s="1"/>
  <c r="D337" i="9" s="1"/>
  <c r="V52" i="1"/>
  <c r="V67" i="1" s="1"/>
  <c r="H81" i="9" s="1"/>
  <c r="AZ52" i="1"/>
  <c r="AZ67" i="1" s="1"/>
  <c r="BB52" i="1"/>
  <c r="BB67" i="1" s="1"/>
  <c r="E241" i="9" s="1"/>
  <c r="AY52" i="1"/>
  <c r="AY67" i="1" s="1"/>
  <c r="I209" i="9" s="1"/>
  <c r="BE52" i="1"/>
  <c r="BE67" i="1" s="1"/>
  <c r="H241" i="9" s="1"/>
  <c r="BG52" i="1"/>
  <c r="BG67" i="1" s="1"/>
  <c r="BI52" i="1"/>
  <c r="BI67" i="1" s="1"/>
  <c r="E273" i="9" s="1"/>
  <c r="AT52" i="1"/>
  <c r="AT67" i="1" s="1"/>
  <c r="N52" i="1"/>
  <c r="N67" i="1" s="1"/>
  <c r="BW52" i="1"/>
  <c r="BW67" i="1" s="1"/>
  <c r="BH52" i="1"/>
  <c r="BH67" i="1" s="1"/>
  <c r="AK52" i="1"/>
  <c r="AK67" i="1" s="1"/>
  <c r="BT52" i="1"/>
  <c r="BT67" i="1" s="1"/>
  <c r="S52" i="1"/>
  <c r="S67" i="1" s="1"/>
  <c r="E81" i="9" s="1"/>
  <c r="AA52" i="1"/>
  <c r="AA67" i="1" s="1"/>
  <c r="Y52" i="1"/>
  <c r="Y67" i="1" s="1"/>
  <c r="BK52" i="1"/>
  <c r="BK67" i="1" s="1"/>
  <c r="G273" i="9" s="1"/>
  <c r="F52" i="1"/>
  <c r="F67" i="1" s="1"/>
  <c r="F17" i="9" s="1"/>
  <c r="BZ52" i="1"/>
  <c r="BZ67" i="1" s="1"/>
  <c r="H337" i="9" s="1"/>
  <c r="Z52" i="1"/>
  <c r="Z67" i="1" s="1"/>
  <c r="E113" i="9" s="1"/>
  <c r="AI52" i="1"/>
  <c r="AI67" i="1" s="1"/>
  <c r="AO52" i="1"/>
  <c r="AO67" i="1" s="1"/>
  <c r="F177" i="9" s="1"/>
  <c r="AS52" i="1"/>
  <c r="AS67" i="1" s="1"/>
  <c r="C209" i="9" s="1"/>
  <c r="E52" i="1"/>
  <c r="E67" i="1" s="1"/>
  <c r="BP52" i="1"/>
  <c r="BP67" i="1" s="1"/>
  <c r="AG52" i="1"/>
  <c r="AG67" i="1" s="1"/>
  <c r="E145" i="9" s="1"/>
  <c r="AW52" i="1"/>
  <c r="AW67" i="1" s="1"/>
  <c r="G209" i="9" s="1"/>
  <c r="BM52" i="1"/>
  <c r="BM67" i="1" s="1"/>
  <c r="O52" i="1"/>
  <c r="O67" i="1" s="1"/>
  <c r="H52" i="1"/>
  <c r="H67" i="1" s="1"/>
  <c r="H17" i="9" s="1"/>
  <c r="AV52" i="1"/>
  <c r="AV67" i="1" s="1"/>
  <c r="G52" i="1"/>
  <c r="G67" i="1" s="1"/>
  <c r="J52" i="1"/>
  <c r="J67" i="1" s="1"/>
  <c r="C49" i="9" s="1"/>
  <c r="C52" i="1"/>
  <c r="AR52" i="1"/>
  <c r="AR67" i="1" s="1"/>
  <c r="I177" i="9" s="1"/>
  <c r="U52" i="1"/>
  <c r="U67" i="1" s="1"/>
  <c r="AL52" i="1"/>
  <c r="AL67" i="1" s="1"/>
  <c r="C177" i="9" s="1"/>
  <c r="BR52" i="1"/>
  <c r="BR67" i="1" s="1"/>
  <c r="BU52" i="1"/>
  <c r="BU67" i="1" s="1"/>
  <c r="AH52" i="1"/>
  <c r="AH67" i="1" s="1"/>
  <c r="AD52" i="1"/>
  <c r="AD67" i="1" s="1"/>
  <c r="P52" i="1"/>
  <c r="P67" i="1" s="1"/>
  <c r="T52" i="1"/>
  <c r="T67" i="1" s="1"/>
  <c r="BJ52" i="1"/>
  <c r="BJ67" i="1" s="1"/>
  <c r="K52" i="1"/>
  <c r="K67" i="1" s="1"/>
  <c r="AM52" i="1"/>
  <c r="AM67" i="1" s="1"/>
  <c r="I380" i="9"/>
  <c r="BL52" i="1"/>
  <c r="BL67" i="1" s="1"/>
  <c r="AN52" i="1"/>
  <c r="AN67" i="1" s="1"/>
  <c r="E177" i="9" s="1"/>
  <c r="AX52" i="1"/>
  <c r="AX67" i="1" s="1"/>
  <c r="BA52" i="1"/>
  <c r="BA67" i="1" s="1"/>
  <c r="D241" i="9" s="1"/>
  <c r="BO52" i="1"/>
  <c r="BO67" i="1" s="1"/>
  <c r="D305" i="9" s="1"/>
  <c r="Q52" i="1"/>
  <c r="Q67" i="1" s="1"/>
  <c r="C81" i="9" s="1"/>
  <c r="I52" i="1"/>
  <c r="I67" i="1" s="1"/>
  <c r="I17" i="9" s="1"/>
  <c r="BN52" i="1"/>
  <c r="BN67" i="1" s="1"/>
  <c r="AU52" i="1"/>
  <c r="AU67" i="1" s="1"/>
  <c r="E209" i="9" s="1"/>
  <c r="R52" i="1"/>
  <c r="R67" i="1" s="1"/>
  <c r="D81" i="9" s="1"/>
  <c r="AB52" i="1"/>
  <c r="AB67" i="1" s="1"/>
  <c r="BS52" i="1"/>
  <c r="BS67" i="1" s="1"/>
  <c r="H305" i="9" s="1"/>
  <c r="AQ52" i="1"/>
  <c r="AQ67" i="1" s="1"/>
  <c r="H177" i="9" s="1"/>
  <c r="AJ52" i="1"/>
  <c r="AJ67" i="1" s="1"/>
  <c r="L52" i="1"/>
  <c r="L67" i="1" s="1"/>
  <c r="E49" i="9" s="1"/>
  <c r="M52" i="1"/>
  <c r="M67" i="1" s="1"/>
  <c r="F49" i="9" s="1"/>
  <c r="CC52" i="1"/>
  <c r="CC67" i="1" s="1"/>
  <c r="D369" i="9" s="1"/>
  <c r="X52" i="1"/>
  <c r="X67" i="1" s="1"/>
  <c r="CA52" i="1"/>
  <c r="CA67" i="1" s="1"/>
  <c r="I337" i="9" s="1"/>
  <c r="BY52" i="1"/>
  <c r="BY67" i="1" s="1"/>
  <c r="BQ52" i="1"/>
  <c r="BQ67" i="1" s="1"/>
  <c r="BI48" i="1"/>
  <c r="BI62" i="1" s="1"/>
  <c r="E268" i="9" s="1"/>
  <c r="I58" i="9"/>
  <c r="C154" i="9"/>
  <c r="AJ48" i="1"/>
  <c r="AJ62" i="1" s="1"/>
  <c r="H140" i="9" s="1"/>
  <c r="S48" i="1"/>
  <c r="S62" i="1" s="1"/>
  <c r="BE48" i="1"/>
  <c r="BE62" i="1" s="1"/>
  <c r="H154" i="9"/>
  <c r="BN48" i="1"/>
  <c r="BN62" i="1" s="1"/>
  <c r="C431" i="1"/>
  <c r="AL48" i="1"/>
  <c r="AL62" i="1" s="1"/>
  <c r="BY48" i="1"/>
  <c r="BY62" i="1" s="1"/>
  <c r="AA48" i="1"/>
  <c r="AA62" i="1" s="1"/>
  <c r="BM48" i="1"/>
  <c r="BM62" i="1" s="1"/>
  <c r="AM48" i="1"/>
  <c r="AM62" i="1" s="1"/>
  <c r="AN48" i="1"/>
  <c r="AN62" i="1" s="1"/>
  <c r="CA48" i="1"/>
  <c r="CA62" i="1" s="1"/>
  <c r="AQ48" i="1"/>
  <c r="AQ62" i="1" s="1"/>
  <c r="H172" i="9" s="1"/>
  <c r="BU48" i="1"/>
  <c r="BU62" i="1" s="1"/>
  <c r="C332" i="9" s="1"/>
  <c r="BS48" i="1"/>
  <c r="BS62" i="1" s="1"/>
  <c r="H300" i="9" s="1"/>
  <c r="AZ48" i="1"/>
  <c r="AZ62" i="1" s="1"/>
  <c r="C48" i="1"/>
  <c r="C62" i="1" s="1"/>
  <c r="AY48" i="1"/>
  <c r="AY62" i="1" s="1"/>
  <c r="E48" i="1"/>
  <c r="E62" i="1" s="1"/>
  <c r="AU48" i="1"/>
  <c r="AU62" i="1" s="1"/>
  <c r="D48" i="1"/>
  <c r="D62" i="1" s="1"/>
  <c r="W48" i="1"/>
  <c r="W62" i="1" s="1"/>
  <c r="F48" i="1"/>
  <c r="F62" i="1" s="1"/>
  <c r="BB48" i="1"/>
  <c r="BB62" i="1" s="1"/>
  <c r="BG48" i="1"/>
  <c r="BG62" i="1" s="1"/>
  <c r="C268" i="9" s="1"/>
  <c r="AC48" i="1"/>
  <c r="AC62" i="1" s="1"/>
  <c r="H108" i="9" s="1"/>
  <c r="L48" i="1"/>
  <c r="L62" i="1" s="1"/>
  <c r="V48" i="1"/>
  <c r="V62" i="1" s="1"/>
  <c r="H76" i="9" s="1"/>
  <c r="BD48" i="1"/>
  <c r="BD62" i="1" s="1"/>
  <c r="BO48" i="1"/>
  <c r="BO62" i="1" s="1"/>
  <c r="D300" i="9" s="1"/>
  <c r="BZ48" i="1"/>
  <c r="BZ62" i="1" s="1"/>
  <c r="P48" i="1"/>
  <c r="P62" i="1" s="1"/>
  <c r="CB48" i="1"/>
  <c r="CB62" i="1" s="1"/>
  <c r="AF48" i="1"/>
  <c r="AF62" i="1" s="1"/>
  <c r="BH48" i="1"/>
  <c r="BH62" i="1" s="1"/>
  <c r="Y48" i="1"/>
  <c r="Y62" i="1" s="1"/>
  <c r="T48" i="1"/>
  <c r="T62" i="1" s="1"/>
  <c r="BL48" i="1"/>
  <c r="BL62" i="1" s="1"/>
  <c r="AG48" i="1"/>
  <c r="AG62" i="1" s="1"/>
  <c r="I363" i="9"/>
  <c r="N48" i="1"/>
  <c r="N62" i="1" s="1"/>
  <c r="AT48" i="1"/>
  <c r="AT62" i="1" s="1"/>
  <c r="D204" i="9" s="1"/>
  <c r="BP48" i="1"/>
  <c r="BP62" i="1" s="1"/>
  <c r="CC48" i="1"/>
  <c r="CC62" i="1" s="1"/>
  <c r="D364" i="9" s="1"/>
  <c r="BA48" i="1"/>
  <c r="BA62" i="1" s="1"/>
  <c r="D236" i="9" s="1"/>
  <c r="O48" i="1"/>
  <c r="O62" i="1" s="1"/>
  <c r="H44" i="9" s="1"/>
  <c r="R48" i="1"/>
  <c r="R62" i="1" s="1"/>
  <c r="AX48" i="1"/>
  <c r="AX62" i="1" s="1"/>
  <c r="BR48" i="1"/>
  <c r="BR62" i="1" s="1"/>
  <c r="G300" i="9" s="1"/>
  <c r="K48" i="1"/>
  <c r="K62" i="1" s="1"/>
  <c r="Q48" i="1"/>
  <c r="Q62" i="1" s="1"/>
  <c r="BQ48" i="1"/>
  <c r="BQ62" i="1" s="1"/>
  <c r="AE48" i="1"/>
  <c r="AE62" i="1" s="1"/>
  <c r="C58" i="9"/>
  <c r="I372" i="9"/>
  <c r="C440" i="1"/>
  <c r="I368" i="9"/>
  <c r="Z48" i="1"/>
  <c r="Z62" i="1" s="1"/>
  <c r="AP48" i="1"/>
  <c r="AP62" i="1" s="1"/>
  <c r="BF48" i="1"/>
  <c r="BF62" i="1" s="1"/>
  <c r="BT48" i="1"/>
  <c r="BT62" i="1" s="1"/>
  <c r="G268" i="9"/>
  <c r="AI48" i="1"/>
  <c r="AI62" i="1" s="1"/>
  <c r="G140" i="9" s="1"/>
  <c r="AO48" i="1"/>
  <c r="AO62" i="1" s="1"/>
  <c r="U48" i="1"/>
  <c r="U62" i="1" s="1"/>
  <c r="X48" i="1"/>
  <c r="X62" i="1" s="1"/>
  <c r="AD48" i="1"/>
  <c r="AD62" i="1" s="1"/>
  <c r="AR48" i="1"/>
  <c r="AR62" i="1" s="1"/>
  <c r="I172" i="9" s="1"/>
  <c r="BV48" i="1"/>
  <c r="BV62" i="1" s="1"/>
  <c r="BW48" i="1"/>
  <c r="BW62" i="1" s="1"/>
  <c r="AW48" i="1"/>
  <c r="AW62" i="1" s="1"/>
  <c r="BC48" i="1"/>
  <c r="BC62" i="1" s="1"/>
  <c r="F236" i="9" s="1"/>
  <c r="G48" i="1"/>
  <c r="G62" i="1" s="1"/>
  <c r="AB48" i="1"/>
  <c r="AB62" i="1" s="1"/>
  <c r="J48" i="1"/>
  <c r="J62" i="1" s="1"/>
  <c r="AH48" i="1"/>
  <c r="AH62" i="1" s="1"/>
  <c r="F140" i="9" s="1"/>
  <c r="AV48" i="1"/>
  <c r="AV62" i="1" s="1"/>
  <c r="BJ48" i="1"/>
  <c r="BJ62" i="1" s="1"/>
  <c r="F268" i="9" s="1"/>
  <c r="BX48" i="1"/>
  <c r="BX62" i="1" s="1"/>
  <c r="F332" i="9" s="1"/>
  <c r="I48" i="1"/>
  <c r="I62" i="1" s="1"/>
  <c r="AK48" i="1"/>
  <c r="AK62" i="1" s="1"/>
  <c r="C427" i="1"/>
  <c r="M48" i="1"/>
  <c r="M62" i="1" s="1"/>
  <c r="H48" i="1"/>
  <c r="H62" i="1" s="1"/>
  <c r="AS48" i="1"/>
  <c r="AS62" i="1" s="1"/>
  <c r="C463" i="1"/>
  <c r="H90" i="9"/>
  <c r="C434" i="1"/>
  <c r="C10" i="4"/>
  <c r="C414" i="1"/>
  <c r="E217" i="1"/>
  <c r="F28" i="6"/>
  <c r="B476" i="1"/>
  <c r="D277" i="1"/>
  <c r="C35" i="8" s="1"/>
  <c r="C33" i="8"/>
  <c r="I362" i="9"/>
  <c r="H612" i="1"/>
  <c r="C469" i="1"/>
  <c r="F8" i="6"/>
  <c r="E10" i="4"/>
  <c r="G10" i="4"/>
  <c r="C28" i="4"/>
  <c r="C421" i="1"/>
  <c r="B445" i="1"/>
  <c r="D242" i="1"/>
  <c r="C22" i="8"/>
  <c r="F612" i="1"/>
  <c r="I366" i="9"/>
  <c r="D122" i="9"/>
  <c r="F90" i="9"/>
  <c r="I381" i="9"/>
  <c r="G612" i="1"/>
  <c r="CE75" i="1"/>
  <c r="E26" i="9"/>
  <c r="I612" i="1"/>
  <c r="C14" i="5"/>
  <c r="D428" i="1"/>
  <c r="B19" i="4"/>
  <c r="C417" i="1"/>
  <c r="C429" i="1"/>
  <c r="E204" i="1"/>
  <c r="G186" i="9"/>
  <c r="H26" i="9"/>
  <c r="F186" i="9"/>
  <c r="B441" i="1"/>
  <c r="H186" i="9"/>
  <c r="I26" i="9"/>
  <c r="D672" i="11" l="1"/>
  <c r="E580" i="11"/>
  <c r="E569" i="11"/>
  <c r="D339" i="1"/>
  <c r="AP71" i="1"/>
  <c r="G181" i="9" s="1"/>
  <c r="BE71" i="1"/>
  <c r="H245" i="9" s="1"/>
  <c r="H525" i="1"/>
  <c r="F529" i="1"/>
  <c r="F513" i="1"/>
  <c r="F521" i="1"/>
  <c r="F537" i="1"/>
  <c r="F545" i="1"/>
  <c r="F533" i="1"/>
  <c r="H497" i="1"/>
  <c r="H506" i="1"/>
  <c r="H501" i="1"/>
  <c r="F517" i="1"/>
  <c r="F503" i="1"/>
  <c r="D373" i="1"/>
  <c r="C120" i="8"/>
  <c r="G241" i="9"/>
  <c r="H113" i="9"/>
  <c r="H49" i="9"/>
  <c r="D145" i="9"/>
  <c r="Y71" i="1"/>
  <c r="C518" i="1" s="1"/>
  <c r="G518" i="1" s="1"/>
  <c r="BF71" i="1"/>
  <c r="I245" i="9" s="1"/>
  <c r="I305" i="9"/>
  <c r="AN71" i="1"/>
  <c r="E181" i="9" s="1"/>
  <c r="I113" i="9"/>
  <c r="R71" i="1"/>
  <c r="C683" i="1" s="1"/>
  <c r="I81" i="9"/>
  <c r="AG71" i="1"/>
  <c r="C526" i="1" s="1"/>
  <c r="G526" i="1" s="1"/>
  <c r="BZ71" i="1"/>
  <c r="H341" i="9" s="1"/>
  <c r="F71" i="1"/>
  <c r="C499" i="1" s="1"/>
  <c r="G499" i="1" s="1"/>
  <c r="C113" i="9"/>
  <c r="C369" i="9"/>
  <c r="C241" i="9"/>
  <c r="BD71" i="1"/>
  <c r="C549" i="1" s="1"/>
  <c r="C273" i="9"/>
  <c r="F113" i="9"/>
  <c r="I273" i="9"/>
  <c r="H209" i="9"/>
  <c r="BK71" i="1"/>
  <c r="G277" i="9" s="1"/>
  <c r="D71" i="1"/>
  <c r="C497" i="1" s="1"/>
  <c r="G497" i="1" s="1"/>
  <c r="G17" i="9"/>
  <c r="G49" i="9"/>
  <c r="BV71" i="1"/>
  <c r="C567" i="1" s="1"/>
  <c r="F209" i="9"/>
  <c r="D17" i="9"/>
  <c r="D113" i="9"/>
  <c r="N71" i="1"/>
  <c r="G53" i="9" s="1"/>
  <c r="I49" i="9"/>
  <c r="CB71" i="1"/>
  <c r="C573" i="1" s="1"/>
  <c r="BM71" i="1"/>
  <c r="I277" i="9" s="1"/>
  <c r="G305" i="9"/>
  <c r="AW71" i="1"/>
  <c r="C542" i="1" s="1"/>
  <c r="G113" i="9"/>
  <c r="I145" i="9"/>
  <c r="K71" i="1"/>
  <c r="D53" i="9" s="1"/>
  <c r="CA71" i="1"/>
  <c r="I341" i="9" s="1"/>
  <c r="C337" i="9"/>
  <c r="D209" i="9"/>
  <c r="E337" i="9"/>
  <c r="BH71" i="1"/>
  <c r="C636" i="1" s="1"/>
  <c r="F273" i="9"/>
  <c r="H71" i="1"/>
  <c r="C673" i="1" s="1"/>
  <c r="AX71" i="1"/>
  <c r="H213" i="9" s="1"/>
  <c r="AM71" i="1"/>
  <c r="D181" i="9" s="1"/>
  <c r="D273" i="9"/>
  <c r="BI71" i="1"/>
  <c r="E277" i="9" s="1"/>
  <c r="M71" i="1"/>
  <c r="C506" i="1" s="1"/>
  <c r="G506" i="1" s="1"/>
  <c r="C305" i="9"/>
  <c r="AB71" i="1"/>
  <c r="C521" i="1" s="1"/>
  <c r="G521" i="1" s="1"/>
  <c r="G145" i="9"/>
  <c r="F305" i="9"/>
  <c r="D49" i="9"/>
  <c r="BY71" i="1"/>
  <c r="C570" i="1" s="1"/>
  <c r="H273" i="9"/>
  <c r="F145" i="9"/>
  <c r="E17" i="9"/>
  <c r="H145" i="9"/>
  <c r="E305" i="9"/>
  <c r="BQ71" i="1"/>
  <c r="C562" i="1" s="1"/>
  <c r="AL71" i="1"/>
  <c r="C181" i="9" s="1"/>
  <c r="F81" i="9"/>
  <c r="G81" i="9"/>
  <c r="G337" i="9"/>
  <c r="CE52" i="1"/>
  <c r="C67" i="1"/>
  <c r="C71" i="1" s="1"/>
  <c r="C21" i="9" s="1"/>
  <c r="T71" i="1"/>
  <c r="F85" i="9" s="1"/>
  <c r="D177" i="9"/>
  <c r="E76" i="9"/>
  <c r="S71" i="1"/>
  <c r="C512" i="1" s="1"/>
  <c r="G512" i="1" s="1"/>
  <c r="AJ71" i="1"/>
  <c r="H149" i="9" s="1"/>
  <c r="D172" i="9"/>
  <c r="C300" i="9"/>
  <c r="BN71" i="1"/>
  <c r="C309" i="9" s="1"/>
  <c r="H268" i="9"/>
  <c r="AF71" i="1"/>
  <c r="D149" i="9" s="1"/>
  <c r="AY71" i="1"/>
  <c r="I213" i="9" s="1"/>
  <c r="H236" i="9"/>
  <c r="AC71" i="1"/>
  <c r="H117" i="9" s="1"/>
  <c r="W71" i="1"/>
  <c r="I85" i="9" s="1"/>
  <c r="L71" i="1"/>
  <c r="E53" i="9" s="1"/>
  <c r="C172" i="9"/>
  <c r="I76" i="9"/>
  <c r="BS71" i="1"/>
  <c r="C639" i="1" s="1"/>
  <c r="E44" i="9"/>
  <c r="BO71" i="1"/>
  <c r="C627" i="1" s="1"/>
  <c r="D268" i="9"/>
  <c r="G172" i="9"/>
  <c r="C140" i="9"/>
  <c r="BL71" i="1"/>
  <c r="C557" i="1" s="1"/>
  <c r="D140" i="9"/>
  <c r="BU71" i="1"/>
  <c r="C566" i="1" s="1"/>
  <c r="G332" i="9"/>
  <c r="I268" i="9"/>
  <c r="D44" i="9"/>
  <c r="F12" i="9"/>
  <c r="H332" i="9"/>
  <c r="AE71" i="1"/>
  <c r="C149" i="9" s="1"/>
  <c r="D12" i="9"/>
  <c r="G236" i="9"/>
  <c r="BG71" i="1"/>
  <c r="C618" i="1" s="1"/>
  <c r="C236" i="9"/>
  <c r="AA71" i="1"/>
  <c r="F117" i="9" s="1"/>
  <c r="I108" i="9"/>
  <c r="P71" i="1"/>
  <c r="C681" i="1" s="1"/>
  <c r="C364" i="9"/>
  <c r="BB71" i="1"/>
  <c r="E245" i="9" s="1"/>
  <c r="BA71" i="1"/>
  <c r="D245" i="9" s="1"/>
  <c r="E236" i="9"/>
  <c r="CC71" i="1"/>
  <c r="C574" i="1" s="1"/>
  <c r="V71" i="1"/>
  <c r="C687" i="1" s="1"/>
  <c r="C76" i="9"/>
  <c r="E71" i="1"/>
  <c r="C498" i="1" s="1"/>
  <c r="G498" i="1" s="1"/>
  <c r="AQ71" i="1"/>
  <c r="C708" i="1" s="1"/>
  <c r="BR71" i="1"/>
  <c r="C626" i="1" s="1"/>
  <c r="E172" i="9"/>
  <c r="D108" i="9"/>
  <c r="Q71" i="1"/>
  <c r="C510" i="1" s="1"/>
  <c r="G510" i="1" s="1"/>
  <c r="E12" i="9"/>
  <c r="I332" i="9"/>
  <c r="AZ71" i="1"/>
  <c r="C545" i="1" s="1"/>
  <c r="G545" i="1" s="1"/>
  <c r="I71" i="1"/>
  <c r="I21" i="9" s="1"/>
  <c r="I204" i="9"/>
  <c r="I44" i="9"/>
  <c r="F108" i="9"/>
  <c r="G44" i="9"/>
  <c r="E140" i="9"/>
  <c r="F76" i="9"/>
  <c r="E204" i="9"/>
  <c r="AU71" i="1"/>
  <c r="E213" i="9" s="1"/>
  <c r="Z71" i="1"/>
  <c r="C691" i="1" s="1"/>
  <c r="AT71" i="1"/>
  <c r="C539" i="1" s="1"/>
  <c r="G539" i="1" s="1"/>
  <c r="BP71" i="1"/>
  <c r="E309" i="9" s="1"/>
  <c r="F300" i="9"/>
  <c r="D76" i="9"/>
  <c r="E300" i="9"/>
  <c r="O71" i="1"/>
  <c r="H53" i="9" s="1"/>
  <c r="AD71" i="1"/>
  <c r="C523" i="1" s="1"/>
  <c r="G523" i="1" s="1"/>
  <c r="I12" i="9"/>
  <c r="BC71" i="1"/>
  <c r="F245" i="9" s="1"/>
  <c r="H204" i="9"/>
  <c r="AS71" i="1"/>
  <c r="C538" i="1" s="1"/>
  <c r="G538" i="1" s="1"/>
  <c r="AI71" i="1"/>
  <c r="G149" i="9" s="1"/>
  <c r="BX71" i="1"/>
  <c r="F341" i="9" s="1"/>
  <c r="E108" i="9"/>
  <c r="C12" i="9"/>
  <c r="I236" i="9"/>
  <c r="C44" i="9"/>
  <c r="H12" i="9"/>
  <c r="G108" i="9"/>
  <c r="F44" i="9"/>
  <c r="J71" i="1"/>
  <c r="C503" i="1" s="1"/>
  <c r="G503" i="1" s="1"/>
  <c r="I300" i="9"/>
  <c r="D332" i="9"/>
  <c r="AR71" i="1"/>
  <c r="C709" i="1" s="1"/>
  <c r="E332" i="9"/>
  <c r="BW71" i="1"/>
  <c r="AO71" i="1"/>
  <c r="F181" i="9" s="1"/>
  <c r="G204" i="9"/>
  <c r="F204" i="9"/>
  <c r="I140" i="9"/>
  <c r="G12" i="9"/>
  <c r="X71" i="1"/>
  <c r="C108" i="9"/>
  <c r="F172" i="9"/>
  <c r="AH71" i="1"/>
  <c r="F149" i="9" s="1"/>
  <c r="G76" i="9"/>
  <c r="U71" i="1"/>
  <c r="CE48" i="1"/>
  <c r="BT71" i="1"/>
  <c r="I309" i="9" s="1"/>
  <c r="AV71" i="1"/>
  <c r="F213" i="9" s="1"/>
  <c r="C204" i="9"/>
  <c r="BJ71" i="1"/>
  <c r="C555" i="1" s="1"/>
  <c r="AK71" i="1"/>
  <c r="C702" i="1" s="1"/>
  <c r="CE62" i="1"/>
  <c r="C428" i="1" s="1"/>
  <c r="G71" i="1"/>
  <c r="C500" i="1" s="1"/>
  <c r="G500" i="1" s="1"/>
  <c r="B448" i="1"/>
  <c r="D27" i="7"/>
  <c r="C476" i="1"/>
  <c r="F16" i="6"/>
  <c r="C478" i="1"/>
  <c r="F32" i="6"/>
  <c r="K612" i="1"/>
  <c r="C465" i="1"/>
  <c r="E465" i="1" s="1"/>
  <c r="I378" i="9"/>
  <c r="D292" i="1"/>
  <c r="H503" i="1" l="1"/>
  <c r="E661" i="11"/>
  <c r="E645" i="11"/>
  <c r="E629" i="11"/>
  <c r="E658" i="11"/>
  <c r="E642" i="11"/>
  <c r="E626" i="11"/>
  <c r="E584" i="11"/>
  <c r="E665" i="11"/>
  <c r="E649" i="11"/>
  <c r="E633" i="11"/>
  <c r="E662" i="11"/>
  <c r="E646" i="11"/>
  <c r="E630" i="11"/>
  <c r="E659" i="11"/>
  <c r="E643" i="11"/>
  <c r="E627" i="11"/>
  <c r="E604" i="11"/>
  <c r="E602" i="11"/>
  <c r="E586" i="11"/>
  <c r="E583" i="11"/>
  <c r="E673" i="11"/>
  <c r="E656" i="11"/>
  <c r="E640" i="11"/>
  <c r="E600" i="11"/>
  <c r="E598" i="11"/>
  <c r="E596" i="11"/>
  <c r="E594" i="11"/>
  <c r="E592" i="11"/>
  <c r="E590" i="11"/>
  <c r="E588" i="11"/>
  <c r="E669" i="11"/>
  <c r="E653" i="11"/>
  <c r="E637" i="11"/>
  <c r="E666" i="11"/>
  <c r="E650" i="11"/>
  <c r="E634" i="11"/>
  <c r="E663" i="11"/>
  <c r="E647" i="11"/>
  <c r="E631" i="11"/>
  <c r="E660" i="11"/>
  <c r="E644" i="11"/>
  <c r="E628" i="11"/>
  <c r="E582" i="11"/>
  <c r="E670" i="11"/>
  <c r="E654" i="11"/>
  <c r="E638" i="11"/>
  <c r="E667" i="11"/>
  <c r="E651" i="11"/>
  <c r="E635" i="11"/>
  <c r="E603" i="11"/>
  <c r="E632" i="11"/>
  <c r="E595" i="11"/>
  <c r="E585" i="11"/>
  <c r="E655" i="11"/>
  <c r="E601" i="11"/>
  <c r="E591" i="11"/>
  <c r="E648" i="11"/>
  <c r="E587" i="11"/>
  <c r="E652" i="11"/>
  <c r="E593" i="11"/>
  <c r="E636" i="11"/>
  <c r="E625" i="11"/>
  <c r="E599" i="11"/>
  <c r="E641" i="11"/>
  <c r="E664" i="11"/>
  <c r="E668" i="11"/>
  <c r="E581" i="11"/>
  <c r="E589" i="11"/>
  <c r="E597" i="11"/>
  <c r="E657" i="11"/>
  <c r="E639" i="11"/>
  <c r="C535" i="1"/>
  <c r="G535" i="1" s="1"/>
  <c r="C482" i="1"/>
  <c r="C102" i="8"/>
  <c r="C707" i="1"/>
  <c r="C533" i="1"/>
  <c r="G533" i="1" s="1"/>
  <c r="C614" i="1"/>
  <c r="D615" i="1" s="1"/>
  <c r="D713" i="1" s="1"/>
  <c r="C550" i="1"/>
  <c r="G550" i="1" s="1"/>
  <c r="C624" i="1"/>
  <c r="H513" i="1"/>
  <c r="H521" i="1"/>
  <c r="F525" i="1"/>
  <c r="H545" i="1"/>
  <c r="H537" i="1"/>
  <c r="F509" i="1"/>
  <c r="H533" i="1"/>
  <c r="F497" i="1"/>
  <c r="F501" i="1"/>
  <c r="F506" i="1"/>
  <c r="F518" i="1"/>
  <c r="H518" i="1" s="1"/>
  <c r="C126" i="8"/>
  <c r="D391" i="1"/>
  <c r="C511" i="1"/>
  <c r="G511" i="1" s="1"/>
  <c r="C690" i="1"/>
  <c r="D117" i="9"/>
  <c r="C705" i="1"/>
  <c r="C629" i="1"/>
  <c r="C551" i="1"/>
  <c r="C571" i="1"/>
  <c r="D85" i="9"/>
  <c r="C704" i="1"/>
  <c r="C646" i="1"/>
  <c r="C669" i="1"/>
  <c r="C678" i="1"/>
  <c r="E149" i="9"/>
  <c r="C634" i="1"/>
  <c r="G245" i="9"/>
  <c r="C698" i="1"/>
  <c r="C645" i="1"/>
  <c r="C558" i="1"/>
  <c r="C638" i="1"/>
  <c r="F21" i="9"/>
  <c r="C622" i="1"/>
  <c r="D21" i="9"/>
  <c r="C671" i="1"/>
  <c r="C635" i="1"/>
  <c r="C556" i="1"/>
  <c r="C616" i="1"/>
  <c r="C501" i="1"/>
  <c r="G501" i="1" s="1"/>
  <c r="C554" i="1"/>
  <c r="C507" i="1"/>
  <c r="G507" i="1" s="1"/>
  <c r="F309" i="9"/>
  <c r="C679" i="1"/>
  <c r="C623" i="1"/>
  <c r="C647" i="1"/>
  <c r="C373" i="9"/>
  <c r="C543" i="1"/>
  <c r="C572" i="1"/>
  <c r="C685" i="1"/>
  <c r="C631" i="1"/>
  <c r="C504" i="1"/>
  <c r="G504" i="1" s="1"/>
  <c r="C513" i="1"/>
  <c r="G513" i="1" s="1"/>
  <c r="D341" i="9"/>
  <c r="F53" i="9"/>
  <c r="C642" i="1"/>
  <c r="C532" i="1"/>
  <c r="G532" i="1" s="1"/>
  <c r="C531" i="1"/>
  <c r="G531" i="1" s="1"/>
  <c r="C516" i="1"/>
  <c r="G516" i="1" s="1"/>
  <c r="C703" i="1"/>
  <c r="H21" i="9"/>
  <c r="G213" i="9"/>
  <c r="C693" i="1"/>
  <c r="C676" i="1"/>
  <c r="C553" i="1"/>
  <c r="G117" i="9"/>
  <c r="D277" i="9"/>
  <c r="D309" i="9"/>
  <c r="C496" i="1"/>
  <c r="G496" i="1" s="1"/>
  <c r="G341" i="9"/>
  <c r="C668" i="1"/>
  <c r="CE67" i="1"/>
  <c r="C17" i="9"/>
  <c r="E85" i="9"/>
  <c r="C684" i="1"/>
  <c r="C701" i="1"/>
  <c r="C529" i="1"/>
  <c r="G529" i="1" s="1"/>
  <c r="C619" i="1"/>
  <c r="C559" i="1"/>
  <c r="C561" i="1"/>
  <c r="C697" i="1"/>
  <c r="C688" i="1"/>
  <c r="C544" i="1"/>
  <c r="G544" i="1" s="1"/>
  <c r="C525" i="1"/>
  <c r="G525" i="1" s="1"/>
  <c r="C625" i="1"/>
  <c r="C546" i="1"/>
  <c r="G546" i="1" s="1"/>
  <c r="C694" i="1"/>
  <c r="H309" i="9"/>
  <c r="C85" i="9"/>
  <c r="C560" i="1"/>
  <c r="C505" i="1"/>
  <c r="G505" i="1" s="1"/>
  <c r="C522" i="1"/>
  <c r="G522" i="1" s="1"/>
  <c r="E117" i="9"/>
  <c r="C564" i="1"/>
  <c r="C341" i="9"/>
  <c r="C677" i="1"/>
  <c r="C637" i="1"/>
  <c r="C552" i="1"/>
  <c r="C641" i="1"/>
  <c r="H277" i="9"/>
  <c r="C524" i="1"/>
  <c r="G524" i="1" s="1"/>
  <c r="C696" i="1"/>
  <c r="C277" i="9"/>
  <c r="C620" i="1"/>
  <c r="C633" i="1"/>
  <c r="C700" i="1"/>
  <c r="D213" i="9"/>
  <c r="C711" i="1"/>
  <c r="C692" i="1"/>
  <c r="C520" i="1"/>
  <c r="G520" i="1" s="1"/>
  <c r="C519" i="1"/>
  <c r="G519" i="1" s="1"/>
  <c r="C674" i="1"/>
  <c r="D373" i="9"/>
  <c r="C509" i="1"/>
  <c r="G509" i="1" s="1"/>
  <c r="E21" i="9"/>
  <c r="C502" i="1"/>
  <c r="G502" i="1" s="1"/>
  <c r="C630" i="1"/>
  <c r="H85" i="9"/>
  <c r="C632" i="1"/>
  <c r="C547" i="1"/>
  <c r="C628" i="1"/>
  <c r="I53" i="9"/>
  <c r="C682" i="1"/>
  <c r="C621" i="1"/>
  <c r="C528" i="1"/>
  <c r="G528" i="1" s="1"/>
  <c r="C712" i="1"/>
  <c r="C540" i="1"/>
  <c r="G540" i="1" s="1"/>
  <c r="G309" i="9"/>
  <c r="C245" i="9"/>
  <c r="C515" i="1"/>
  <c r="G515" i="1" s="1"/>
  <c r="C670" i="1"/>
  <c r="I117" i="9"/>
  <c r="C548" i="1"/>
  <c r="H181" i="9"/>
  <c r="C536" i="1"/>
  <c r="G536" i="1" s="1"/>
  <c r="C563" i="1"/>
  <c r="C213" i="9"/>
  <c r="C710" i="1"/>
  <c r="C695" i="1"/>
  <c r="C680" i="1"/>
  <c r="C508" i="1"/>
  <c r="G508" i="1" s="1"/>
  <c r="C672" i="1"/>
  <c r="C640" i="1"/>
  <c r="G21" i="9"/>
  <c r="C706" i="1"/>
  <c r="C534" i="1"/>
  <c r="G534" i="1" s="1"/>
  <c r="C644" i="1"/>
  <c r="C675" i="1"/>
  <c r="C53" i="9"/>
  <c r="C569" i="1"/>
  <c r="I181" i="9"/>
  <c r="C713" i="1"/>
  <c r="C537" i="1"/>
  <c r="G537" i="1" s="1"/>
  <c r="C541" i="1"/>
  <c r="F277" i="9"/>
  <c r="C565" i="1"/>
  <c r="E341" i="9"/>
  <c r="C568" i="1"/>
  <c r="C643" i="1"/>
  <c r="C617" i="1"/>
  <c r="C527" i="1"/>
  <c r="G527" i="1" s="1"/>
  <c r="C699" i="1"/>
  <c r="C530" i="1"/>
  <c r="G530" i="1" s="1"/>
  <c r="C514" i="1"/>
  <c r="G514" i="1" s="1"/>
  <c r="C686" i="1"/>
  <c r="G85" i="9"/>
  <c r="I364" i="9"/>
  <c r="I149" i="9"/>
  <c r="C517" i="1"/>
  <c r="G517" i="1" s="1"/>
  <c r="C117" i="9"/>
  <c r="C689" i="1"/>
  <c r="C50" i="8"/>
  <c r="D341" i="1"/>
  <c r="C481" i="1" s="1"/>
  <c r="E672" i="11" l="1"/>
  <c r="F581" i="11"/>
  <c r="H517" i="1"/>
  <c r="D619" i="1"/>
  <c r="D706" i="1"/>
  <c r="D689" i="1"/>
  <c r="D620" i="1"/>
  <c r="D618" i="1"/>
  <c r="D628" i="1"/>
  <c r="D670" i="1"/>
  <c r="D682" i="1"/>
  <c r="D636" i="1"/>
  <c r="D635" i="1"/>
  <c r="D668" i="1"/>
  <c r="D672" i="1"/>
  <c r="D690" i="1"/>
  <c r="D629" i="1"/>
  <c r="D699" i="1"/>
  <c r="D640" i="1"/>
  <c r="D693" i="1"/>
  <c r="D647" i="1"/>
  <c r="D675" i="1"/>
  <c r="D683" i="1"/>
  <c r="D686" i="1"/>
  <c r="D639" i="1"/>
  <c r="D691" i="1"/>
  <c r="D707" i="1"/>
  <c r="D617" i="1"/>
  <c r="D676" i="1"/>
  <c r="D677" i="1"/>
  <c r="D643" i="1"/>
  <c r="D630" i="1"/>
  <c r="D680" i="1"/>
  <c r="D634" i="1"/>
  <c r="D685" i="1"/>
  <c r="D684" i="1"/>
  <c r="D679" i="1"/>
  <c r="D705" i="1"/>
  <c r="D644" i="1"/>
  <c r="D633" i="1"/>
  <c r="D637" i="1"/>
  <c r="D616" i="1"/>
  <c r="D709" i="1"/>
  <c r="D696" i="1"/>
  <c r="D703" i="1"/>
  <c r="D692" i="1"/>
  <c r="D702" i="1"/>
  <c r="D646" i="1"/>
  <c r="D638" i="1"/>
  <c r="D700" i="1"/>
  <c r="D641" i="1"/>
  <c r="D701" i="1"/>
  <c r="D681" i="1"/>
  <c r="D631" i="1"/>
  <c r="D711" i="1"/>
  <c r="D632" i="1"/>
  <c r="D716" i="1"/>
  <c r="D627" i="1"/>
  <c r="D697" i="1"/>
  <c r="D645" i="1"/>
  <c r="D708" i="1"/>
  <c r="D621" i="1"/>
  <c r="D674" i="1"/>
  <c r="D669" i="1"/>
  <c r="D712" i="1"/>
  <c r="D624" i="1"/>
  <c r="D710" i="1"/>
  <c r="D673" i="1"/>
  <c r="D622" i="1"/>
  <c r="D687" i="1"/>
  <c r="D623" i="1"/>
  <c r="D704" i="1"/>
  <c r="D688" i="1"/>
  <c r="D626" i="1"/>
  <c r="D695" i="1"/>
  <c r="D698" i="1"/>
  <c r="D694" i="1"/>
  <c r="D642" i="1"/>
  <c r="D678" i="1"/>
  <c r="D671" i="1"/>
  <c r="D625" i="1"/>
  <c r="H529" i="1"/>
  <c r="H509" i="1"/>
  <c r="F519" i="1"/>
  <c r="H519" i="1"/>
  <c r="F511" i="1"/>
  <c r="H511" i="1" s="1"/>
  <c r="F540" i="1"/>
  <c r="H540" i="1"/>
  <c r="H532" i="1"/>
  <c r="F532" i="1"/>
  <c r="F522" i="1"/>
  <c r="H522" i="1" s="1"/>
  <c r="F515" i="1"/>
  <c r="H515" i="1"/>
  <c r="H507" i="1"/>
  <c r="F507" i="1"/>
  <c r="H534" i="1"/>
  <c r="F534" i="1"/>
  <c r="F510" i="1"/>
  <c r="H510" i="1"/>
  <c r="H538" i="1"/>
  <c r="F538" i="1"/>
  <c r="F498" i="1"/>
  <c r="H498" i="1" s="1"/>
  <c r="H500" i="1"/>
  <c r="F500" i="1"/>
  <c r="F531" i="1"/>
  <c r="H531" i="1" s="1"/>
  <c r="F520" i="1"/>
  <c r="H520" i="1"/>
  <c r="F524" i="1"/>
  <c r="H524" i="1" s="1"/>
  <c r="F526" i="1"/>
  <c r="H526" i="1" s="1"/>
  <c r="F550" i="1"/>
  <c r="H550" i="1" s="1"/>
  <c r="F499" i="1"/>
  <c r="H499" i="1"/>
  <c r="H523" i="1"/>
  <c r="F523" i="1"/>
  <c r="H516" i="1"/>
  <c r="F516" i="1"/>
  <c r="F502" i="1"/>
  <c r="H502" i="1"/>
  <c r="F546" i="1"/>
  <c r="H546" i="1" s="1"/>
  <c r="F536" i="1"/>
  <c r="H536" i="1"/>
  <c r="F508" i="1"/>
  <c r="H508" i="1" s="1"/>
  <c r="F527" i="1"/>
  <c r="H527" i="1" s="1"/>
  <c r="F530" i="1"/>
  <c r="H530" i="1" s="1"/>
  <c r="F505" i="1"/>
  <c r="H505" i="1" s="1"/>
  <c r="H512" i="1"/>
  <c r="F512" i="1"/>
  <c r="F535" i="1"/>
  <c r="H535" i="1" s="1"/>
  <c r="F514" i="1"/>
  <c r="H514" i="1" s="1"/>
  <c r="F528" i="1"/>
  <c r="H528" i="1" s="1"/>
  <c r="H496" i="1"/>
  <c r="F496" i="1"/>
  <c r="H539" i="1"/>
  <c r="F539" i="1"/>
  <c r="F504" i="1"/>
  <c r="H504" i="1"/>
  <c r="F544" i="1"/>
  <c r="H544" i="1" s="1"/>
  <c r="D393" i="1"/>
  <c r="C142" i="8"/>
  <c r="C715" i="1"/>
  <c r="C648" i="1"/>
  <c r="M716" i="1" s="1"/>
  <c r="C433" i="1"/>
  <c r="C441" i="1" s="1"/>
  <c r="I369" i="9"/>
  <c r="CE71" i="1"/>
  <c r="I373" i="9" s="1"/>
  <c r="F658" i="11" l="1"/>
  <c r="F642" i="11"/>
  <c r="F626" i="11"/>
  <c r="F584" i="11"/>
  <c r="F655" i="11"/>
  <c r="F639" i="11"/>
  <c r="F662" i="11"/>
  <c r="F646" i="11"/>
  <c r="F630" i="11"/>
  <c r="F659" i="11"/>
  <c r="F643" i="11"/>
  <c r="F627" i="11"/>
  <c r="F604" i="11"/>
  <c r="F602" i="11"/>
  <c r="F586" i="11"/>
  <c r="F583" i="11"/>
  <c r="F673" i="11"/>
  <c r="F656" i="11"/>
  <c r="F640" i="11"/>
  <c r="F600" i="11"/>
  <c r="F598" i="11"/>
  <c r="F596" i="11"/>
  <c r="F594" i="11"/>
  <c r="F592" i="11"/>
  <c r="F590" i="11"/>
  <c r="F588" i="11"/>
  <c r="F669" i="11"/>
  <c r="F653" i="11"/>
  <c r="F637" i="11"/>
  <c r="F666" i="11"/>
  <c r="F650" i="11"/>
  <c r="F634" i="11"/>
  <c r="F663" i="11"/>
  <c r="F647" i="11"/>
  <c r="F631" i="11"/>
  <c r="F660" i="11"/>
  <c r="F644" i="11"/>
  <c r="F628" i="11"/>
  <c r="F582" i="11"/>
  <c r="F657" i="11"/>
  <c r="F641" i="11"/>
  <c r="F625" i="11"/>
  <c r="F585" i="11"/>
  <c r="F667" i="11"/>
  <c r="F651" i="11"/>
  <c r="F635" i="11"/>
  <c r="F603" i="11"/>
  <c r="F664" i="11"/>
  <c r="F648" i="11"/>
  <c r="F632" i="11"/>
  <c r="F601" i="11"/>
  <c r="F599" i="11"/>
  <c r="F597" i="11"/>
  <c r="F595" i="11"/>
  <c r="F593" i="11"/>
  <c r="F591" i="11"/>
  <c r="F589" i="11"/>
  <c r="F587" i="11"/>
  <c r="F661" i="11"/>
  <c r="F649" i="11"/>
  <c r="F654" i="11"/>
  <c r="F652" i="11"/>
  <c r="F636" i="11"/>
  <c r="F665" i="11"/>
  <c r="F670" i="11"/>
  <c r="F629" i="11"/>
  <c r="F645" i="11"/>
  <c r="F633" i="11"/>
  <c r="F638" i="11"/>
  <c r="F668" i="11"/>
  <c r="E623" i="1"/>
  <c r="E716" i="1" s="1"/>
  <c r="E612" i="1"/>
  <c r="D715" i="1"/>
  <c r="D396" i="1"/>
  <c r="C151" i="8" s="1"/>
  <c r="C146" i="8"/>
  <c r="C716" i="1"/>
  <c r="F672" i="11" l="1"/>
  <c r="G582" i="11"/>
  <c r="E710" i="1"/>
  <c r="E644" i="1"/>
  <c r="E638" i="1"/>
  <c r="E671" i="1"/>
  <c r="E675" i="1"/>
  <c r="E642" i="1"/>
  <c r="E700" i="1"/>
  <c r="E705" i="1"/>
  <c r="E678" i="1"/>
  <c r="E633" i="1"/>
  <c r="E697" i="1"/>
  <c r="E625" i="1"/>
  <c r="E701" i="1"/>
  <c r="E641" i="1"/>
  <c r="E680" i="1"/>
  <c r="E626" i="1"/>
  <c r="E691" i="1"/>
  <c r="E674" i="1"/>
  <c r="E679" i="1"/>
  <c r="E706" i="1"/>
  <c r="E624" i="1"/>
  <c r="F624" i="1" s="1"/>
  <c r="F711" i="1" s="1"/>
  <c r="E629" i="1"/>
  <c r="E630" i="1"/>
  <c r="E640" i="1"/>
  <c r="E702" i="1"/>
  <c r="E672" i="1"/>
  <c r="E703" i="1"/>
  <c r="E634" i="1"/>
  <c r="E712" i="1"/>
  <c r="E676" i="1"/>
  <c r="E690" i="1"/>
  <c r="E673" i="1"/>
  <c r="E627" i="1"/>
  <c r="E687" i="1"/>
  <c r="E646" i="1"/>
  <c r="E684" i="1"/>
  <c r="E711" i="1"/>
  <c r="E693" i="1"/>
  <c r="E709" i="1"/>
  <c r="E708" i="1"/>
  <c r="E704" i="1"/>
  <c r="E692" i="1"/>
  <c r="E698" i="1"/>
  <c r="E645" i="1"/>
  <c r="E636" i="1"/>
  <c r="E628" i="1"/>
  <c r="E707" i="1"/>
  <c r="E682" i="1"/>
  <c r="E668" i="1"/>
  <c r="E685" i="1"/>
  <c r="E643" i="1"/>
  <c r="E686" i="1"/>
  <c r="E635" i="1"/>
  <c r="E639" i="1"/>
  <c r="E669" i="1"/>
  <c r="E695" i="1"/>
  <c r="E677" i="1"/>
  <c r="E683" i="1"/>
  <c r="E637" i="1"/>
  <c r="E631" i="1"/>
  <c r="E632" i="1"/>
  <c r="E713" i="1"/>
  <c r="E696" i="1"/>
  <c r="E647" i="1"/>
  <c r="E670" i="1"/>
  <c r="E694" i="1"/>
  <c r="E688" i="1"/>
  <c r="E689" i="1"/>
  <c r="E681" i="1"/>
  <c r="E699" i="1"/>
  <c r="G655" i="11" l="1"/>
  <c r="G639" i="11"/>
  <c r="G668" i="11"/>
  <c r="G652" i="11"/>
  <c r="G636" i="11"/>
  <c r="G659" i="11"/>
  <c r="G643" i="11"/>
  <c r="G627" i="11"/>
  <c r="G604" i="11"/>
  <c r="G602" i="11"/>
  <c r="G586" i="11"/>
  <c r="G583" i="11"/>
  <c r="G673" i="11"/>
  <c r="G656" i="11"/>
  <c r="G640" i="11"/>
  <c r="G600" i="11"/>
  <c r="G598" i="11"/>
  <c r="G596" i="11"/>
  <c r="G594" i="11"/>
  <c r="G592" i="11"/>
  <c r="G590" i="11"/>
  <c r="G588" i="11"/>
  <c r="G669" i="11"/>
  <c r="G653" i="11"/>
  <c r="G637" i="11"/>
  <c r="G666" i="11"/>
  <c r="G650" i="11"/>
  <c r="G634" i="11"/>
  <c r="G663" i="11"/>
  <c r="G647" i="11"/>
  <c r="G631" i="11"/>
  <c r="G660" i="11"/>
  <c r="G644" i="11"/>
  <c r="G628" i="11"/>
  <c r="G657" i="11"/>
  <c r="G641" i="11"/>
  <c r="G625" i="11"/>
  <c r="G585" i="11"/>
  <c r="G670" i="11"/>
  <c r="G654" i="11"/>
  <c r="G638" i="11"/>
  <c r="G664" i="11"/>
  <c r="G648" i="11"/>
  <c r="G632" i="11"/>
  <c r="G601" i="11"/>
  <c r="G599" i="11"/>
  <c r="G597" i="11"/>
  <c r="G595" i="11"/>
  <c r="G593" i="11"/>
  <c r="G591" i="11"/>
  <c r="G589" i="11"/>
  <c r="G587" i="11"/>
  <c r="G661" i="11"/>
  <c r="G645" i="11"/>
  <c r="G629" i="11"/>
  <c r="G649" i="11"/>
  <c r="G626" i="11"/>
  <c r="G642" i="11"/>
  <c r="G665" i="11"/>
  <c r="G630" i="11"/>
  <c r="G635" i="11"/>
  <c r="G658" i="11"/>
  <c r="G584" i="11"/>
  <c r="G662" i="11"/>
  <c r="G646" i="11"/>
  <c r="G667" i="11"/>
  <c r="G603" i="11"/>
  <c r="G651" i="11"/>
  <c r="G633" i="11"/>
  <c r="F675" i="1"/>
  <c r="F629" i="1"/>
  <c r="F669" i="1"/>
  <c r="F677" i="1"/>
  <c r="F716" i="1"/>
  <c r="F706" i="1"/>
  <c r="F638" i="1"/>
  <c r="F680" i="1"/>
  <c r="F695" i="1"/>
  <c r="F643" i="1"/>
  <c r="F678" i="1"/>
  <c r="F645" i="1"/>
  <c r="F673" i="1"/>
  <c r="F686" i="1"/>
  <c r="F632" i="1"/>
  <c r="F641" i="1"/>
  <c r="F697" i="1"/>
  <c r="F689" i="1"/>
  <c r="F642" i="1"/>
  <c r="F710" i="1"/>
  <c r="F631" i="1"/>
  <c r="F627" i="1"/>
  <c r="F699" i="1"/>
  <c r="F671" i="1"/>
  <c r="F646" i="1"/>
  <c r="F635" i="1"/>
  <c r="F684" i="1"/>
  <c r="F701" i="1"/>
  <c r="F705" i="1"/>
  <c r="F712" i="1"/>
  <c r="F628" i="1"/>
  <c r="F690" i="1"/>
  <c r="F688" i="1"/>
  <c r="F681" i="1"/>
  <c r="F693" i="1"/>
  <c r="F636" i="1"/>
  <c r="F640" i="1"/>
  <c r="F679" i="1"/>
  <c r="F668" i="1"/>
  <c r="F682" i="1"/>
  <c r="F702" i="1"/>
  <c r="F634" i="1"/>
  <c r="F694" i="1"/>
  <c r="F687" i="1"/>
  <c r="F713" i="1"/>
  <c r="F647" i="1"/>
  <c r="F630" i="1"/>
  <c r="F637" i="1"/>
  <c r="F674" i="1"/>
  <c r="F700" i="1"/>
  <c r="F639" i="1"/>
  <c r="F685" i="1"/>
  <c r="F633" i="1"/>
  <c r="F707" i="1"/>
  <c r="F698" i="1"/>
  <c r="F625" i="1"/>
  <c r="G625" i="1" s="1"/>
  <c r="G668" i="1" s="1"/>
  <c r="F709" i="1"/>
  <c r="F683" i="1"/>
  <c r="F672" i="1"/>
  <c r="F704" i="1"/>
  <c r="F692" i="1"/>
  <c r="F703" i="1"/>
  <c r="F626" i="1"/>
  <c r="F691" i="1"/>
  <c r="F676" i="1"/>
  <c r="F644" i="1"/>
  <c r="F696" i="1"/>
  <c r="F670" i="1"/>
  <c r="F708" i="1"/>
  <c r="E715" i="1"/>
  <c r="G672" i="11" l="1"/>
  <c r="H585" i="11"/>
  <c r="F715" i="1"/>
  <c r="G673" i="1"/>
  <c r="G640" i="1"/>
  <c r="G674" i="1"/>
  <c r="G639" i="1"/>
  <c r="G692" i="1"/>
  <c r="G710" i="1"/>
  <c r="G698" i="1"/>
  <c r="G629" i="1"/>
  <c r="G708" i="1"/>
  <c r="G675" i="1"/>
  <c r="G631" i="1"/>
  <c r="G699" i="1"/>
  <c r="G671" i="1"/>
  <c r="G697" i="1"/>
  <c r="G670" i="1"/>
  <c r="G677" i="1"/>
  <c r="G630" i="1"/>
  <c r="G643" i="1"/>
  <c r="G645" i="1"/>
  <c r="G716" i="1"/>
  <c r="G691" i="1"/>
  <c r="G627" i="1"/>
  <c r="G637" i="1"/>
  <c r="G694" i="1"/>
  <c r="G687" i="1"/>
  <c r="G642" i="1"/>
  <c r="G635" i="1"/>
  <c r="G713" i="1"/>
  <c r="G689" i="1"/>
  <c r="G682" i="1"/>
  <c r="G628" i="1"/>
  <c r="G693" i="1"/>
  <c r="G695" i="1"/>
  <c r="G684" i="1"/>
  <c r="G669" i="1"/>
  <c r="G688" i="1"/>
  <c r="G683" i="1"/>
  <c r="G703" i="1"/>
  <c r="G696" i="1"/>
  <c r="G644" i="1"/>
  <c r="G712" i="1"/>
  <c r="G638" i="1"/>
  <c r="G636" i="1"/>
  <c r="G690" i="1"/>
  <c r="G707" i="1"/>
  <c r="G676" i="1"/>
  <c r="G626" i="1"/>
  <c r="G711" i="1"/>
  <c r="G672" i="1"/>
  <c r="G647" i="1"/>
  <c r="G709" i="1"/>
  <c r="G634" i="1"/>
  <c r="G701" i="1"/>
  <c r="G686" i="1"/>
  <c r="G633" i="1"/>
  <c r="G704" i="1"/>
  <c r="G685" i="1"/>
  <c r="G700" i="1"/>
  <c r="G678" i="1"/>
  <c r="G702" i="1"/>
  <c r="G646" i="1"/>
  <c r="G706" i="1"/>
  <c r="G680" i="1"/>
  <c r="G632" i="1"/>
  <c r="G681" i="1"/>
  <c r="G641" i="1"/>
  <c r="G679" i="1"/>
  <c r="G705" i="1"/>
  <c r="H668" i="11" l="1"/>
  <c r="H652" i="11"/>
  <c r="H636" i="11"/>
  <c r="H665" i="11"/>
  <c r="H649" i="11"/>
  <c r="H633" i="11"/>
  <c r="H673" i="11"/>
  <c r="H656" i="11"/>
  <c r="H640" i="11"/>
  <c r="H600" i="11"/>
  <c r="H598" i="11"/>
  <c r="H596" i="11"/>
  <c r="H594" i="11"/>
  <c r="H592" i="11"/>
  <c r="H590" i="11"/>
  <c r="H588" i="11"/>
  <c r="H669" i="11"/>
  <c r="H653" i="11"/>
  <c r="H637" i="11"/>
  <c r="H666" i="11"/>
  <c r="H650" i="11"/>
  <c r="H634" i="11"/>
  <c r="H663" i="11"/>
  <c r="H647" i="11"/>
  <c r="H631" i="11"/>
  <c r="H660" i="11"/>
  <c r="H644" i="11"/>
  <c r="H657" i="11"/>
  <c r="H641" i="11"/>
  <c r="H625" i="11"/>
  <c r="H670" i="11"/>
  <c r="H654" i="11"/>
  <c r="H638" i="11"/>
  <c r="H667" i="11"/>
  <c r="H651" i="11"/>
  <c r="H635" i="11"/>
  <c r="H603" i="11"/>
  <c r="H661" i="11"/>
  <c r="H645" i="11"/>
  <c r="H629" i="11"/>
  <c r="H658" i="11"/>
  <c r="H642" i="11"/>
  <c r="H626" i="11"/>
  <c r="H655" i="11"/>
  <c r="H601" i="11"/>
  <c r="H643" i="11"/>
  <c r="H604" i="11"/>
  <c r="H597" i="11"/>
  <c r="H648" i="11"/>
  <c r="H587" i="11"/>
  <c r="H593" i="11"/>
  <c r="H630" i="11"/>
  <c r="H599" i="11"/>
  <c r="H659" i="11"/>
  <c r="H586" i="11"/>
  <c r="H664" i="11"/>
  <c r="H646" i="11"/>
  <c r="H591" i="11"/>
  <c r="H639" i="11"/>
  <c r="H602" i="11"/>
  <c r="H589" i="11"/>
  <c r="H632" i="11"/>
  <c r="H627" i="11"/>
  <c r="H595" i="11"/>
  <c r="H662" i="11"/>
  <c r="H628" i="11"/>
  <c r="H628" i="1"/>
  <c r="H709" i="1" s="1"/>
  <c r="G715" i="1"/>
  <c r="H672" i="11" l="1"/>
  <c r="I586" i="11"/>
  <c r="H671" i="1"/>
  <c r="H677" i="1"/>
  <c r="H639" i="1"/>
  <c r="H636" i="1"/>
  <c r="H698" i="1"/>
  <c r="H688" i="1"/>
  <c r="H687" i="1"/>
  <c r="H716" i="1"/>
  <c r="H670" i="1"/>
  <c r="H700" i="1"/>
  <c r="H645" i="1"/>
  <c r="H644" i="1"/>
  <c r="H685" i="1"/>
  <c r="H673" i="1"/>
  <c r="H678" i="1"/>
  <c r="H684" i="1"/>
  <c r="H679" i="1"/>
  <c r="H702" i="1"/>
  <c r="H647" i="1"/>
  <c r="H642" i="1"/>
  <c r="H695" i="1"/>
  <c r="H703" i="1"/>
  <c r="H694" i="1"/>
  <c r="H633" i="1"/>
  <c r="H682" i="1"/>
  <c r="H711" i="1"/>
  <c r="H683" i="1"/>
  <c r="H641" i="1"/>
  <c r="H689" i="1"/>
  <c r="H640" i="1"/>
  <c r="H632" i="1"/>
  <c r="H696" i="1"/>
  <c r="H634" i="1"/>
  <c r="H630" i="1"/>
  <c r="H680" i="1"/>
  <c r="H674" i="1"/>
  <c r="H669" i="1"/>
  <c r="H681" i="1"/>
  <c r="H693" i="1"/>
  <c r="H672" i="1"/>
  <c r="H643" i="1"/>
  <c r="H707" i="1"/>
  <c r="H691" i="1"/>
  <c r="H638" i="1"/>
  <c r="H635" i="1"/>
  <c r="H705" i="1"/>
  <c r="H697" i="1"/>
  <c r="H629" i="1"/>
  <c r="I629" i="1" s="1"/>
  <c r="H712" i="1"/>
  <c r="H676" i="1"/>
  <c r="H704" i="1"/>
  <c r="H710" i="1"/>
  <c r="H675" i="1"/>
  <c r="H686" i="1"/>
  <c r="H637" i="1"/>
  <c r="H692" i="1"/>
  <c r="H646" i="1"/>
  <c r="H631" i="1"/>
  <c r="H713" i="1"/>
  <c r="H690" i="1"/>
  <c r="H706" i="1"/>
  <c r="H668" i="1"/>
  <c r="H708" i="1"/>
  <c r="H699" i="1"/>
  <c r="H701" i="1"/>
  <c r="I665" i="11" l="1"/>
  <c r="I649" i="11"/>
  <c r="I633" i="11"/>
  <c r="I662" i="11"/>
  <c r="I646" i="11"/>
  <c r="I630" i="11"/>
  <c r="I669" i="11"/>
  <c r="I653" i="11"/>
  <c r="I637" i="11"/>
  <c r="I666" i="11"/>
  <c r="I650" i="11"/>
  <c r="I634" i="11"/>
  <c r="I663" i="11"/>
  <c r="I647" i="11"/>
  <c r="I631" i="11"/>
  <c r="I660" i="11"/>
  <c r="I644" i="11"/>
  <c r="I628" i="11"/>
  <c r="I657" i="11"/>
  <c r="I641" i="11"/>
  <c r="I670" i="11"/>
  <c r="I654" i="11"/>
  <c r="I638" i="11"/>
  <c r="I667" i="11"/>
  <c r="I651" i="11"/>
  <c r="I635" i="11"/>
  <c r="I603" i="11"/>
  <c r="I664" i="11"/>
  <c r="I648" i="11"/>
  <c r="I632" i="11"/>
  <c r="I601" i="11"/>
  <c r="I599" i="11"/>
  <c r="I597" i="11"/>
  <c r="I595" i="11"/>
  <c r="I593" i="11"/>
  <c r="I591" i="11"/>
  <c r="I589" i="11"/>
  <c r="I587" i="11"/>
  <c r="I658" i="11"/>
  <c r="I642" i="11"/>
  <c r="I626" i="11"/>
  <c r="I655" i="11"/>
  <c r="I639" i="11"/>
  <c r="I643" i="11"/>
  <c r="I588" i="11"/>
  <c r="I673" i="11"/>
  <c r="I594" i="11"/>
  <c r="I600" i="11"/>
  <c r="I636" i="11"/>
  <c r="I659" i="11"/>
  <c r="I625" i="11"/>
  <c r="I640" i="11"/>
  <c r="I629" i="11"/>
  <c r="I592" i="11"/>
  <c r="I652" i="11"/>
  <c r="I604" i="11"/>
  <c r="I598" i="11"/>
  <c r="I668" i="11"/>
  <c r="I590" i="11"/>
  <c r="I656" i="11"/>
  <c r="I627" i="11"/>
  <c r="I661" i="11"/>
  <c r="I602" i="11"/>
  <c r="I596" i="11"/>
  <c r="I645" i="11"/>
  <c r="H715" i="1"/>
  <c r="I672" i="1"/>
  <c r="I691" i="1"/>
  <c r="I647" i="1"/>
  <c r="I643" i="1"/>
  <c r="I704" i="1"/>
  <c r="I697" i="1"/>
  <c r="I635" i="1"/>
  <c r="I678" i="1"/>
  <c r="I708" i="1"/>
  <c r="I684" i="1"/>
  <c r="I705" i="1"/>
  <c r="I702" i="1"/>
  <c r="I710" i="1"/>
  <c r="I681" i="1"/>
  <c r="I706" i="1"/>
  <c r="I709" i="1"/>
  <c r="I693" i="1"/>
  <c r="I687" i="1"/>
  <c r="I701" i="1"/>
  <c r="I680" i="1"/>
  <c r="I646" i="1"/>
  <c r="I679" i="1"/>
  <c r="I700" i="1"/>
  <c r="I703" i="1"/>
  <c r="I674" i="1"/>
  <c r="I676" i="1"/>
  <c r="I636" i="1"/>
  <c r="I711" i="1"/>
  <c r="I644" i="1"/>
  <c r="I671" i="1"/>
  <c r="I630" i="1"/>
  <c r="J630" i="1" s="1"/>
  <c r="I712" i="1"/>
  <c r="I695" i="1"/>
  <c r="I686" i="1"/>
  <c r="I694" i="1"/>
  <c r="I692" i="1"/>
  <c r="I673" i="1"/>
  <c r="I637" i="1"/>
  <c r="I675" i="1"/>
  <c r="I633" i="1"/>
  <c r="I689" i="1"/>
  <c r="I685" i="1"/>
  <c r="I699" i="1"/>
  <c r="I713" i="1"/>
  <c r="I641" i="1"/>
  <c r="I683" i="1"/>
  <c r="I682" i="1"/>
  <c r="I669" i="1"/>
  <c r="I645" i="1"/>
  <c r="I707" i="1"/>
  <c r="I638" i="1"/>
  <c r="I631" i="1"/>
  <c r="I690" i="1"/>
  <c r="I696" i="1"/>
  <c r="I640" i="1"/>
  <c r="I698" i="1"/>
  <c r="I639" i="1"/>
  <c r="I677" i="1"/>
  <c r="I716" i="1"/>
  <c r="I688" i="1"/>
  <c r="I632" i="1"/>
  <c r="I668" i="1"/>
  <c r="I642" i="1"/>
  <c r="I670" i="1"/>
  <c r="I634" i="1"/>
  <c r="I672" i="11" l="1"/>
  <c r="J587" i="11"/>
  <c r="J710" i="1"/>
  <c r="J633" i="1"/>
  <c r="J643" i="1"/>
  <c r="J698" i="1"/>
  <c r="J675" i="1"/>
  <c r="J705" i="1"/>
  <c r="J691" i="1"/>
  <c r="J681" i="1"/>
  <c r="J642" i="1"/>
  <c r="J668" i="1"/>
  <c r="J686" i="1"/>
  <c r="J673" i="1"/>
  <c r="J682" i="1"/>
  <c r="J701" i="1"/>
  <c r="J635" i="1"/>
  <c r="J670" i="1"/>
  <c r="J636" i="1"/>
  <c r="J700" i="1"/>
  <c r="J679" i="1"/>
  <c r="J716" i="1"/>
  <c r="J707" i="1"/>
  <c r="J644" i="1"/>
  <c r="J708" i="1"/>
  <c r="J706" i="1"/>
  <c r="J674" i="1"/>
  <c r="J632" i="1"/>
  <c r="J646" i="1"/>
  <c r="J640" i="1"/>
  <c r="J713" i="1"/>
  <c r="J631" i="1"/>
  <c r="J671" i="1"/>
  <c r="J711" i="1"/>
  <c r="J683" i="1"/>
  <c r="J678" i="1"/>
  <c r="J680" i="1"/>
  <c r="J677" i="1"/>
  <c r="J704" i="1"/>
  <c r="J699" i="1"/>
  <c r="J676" i="1"/>
  <c r="J687" i="1"/>
  <c r="J693" i="1"/>
  <c r="J689" i="1"/>
  <c r="J694" i="1"/>
  <c r="J695" i="1"/>
  <c r="J696" i="1"/>
  <c r="J634" i="1"/>
  <c r="J685" i="1"/>
  <c r="J692" i="1"/>
  <c r="J703" i="1"/>
  <c r="J641" i="1"/>
  <c r="J645" i="1"/>
  <c r="J669" i="1"/>
  <c r="J637" i="1"/>
  <c r="J639" i="1"/>
  <c r="J712" i="1"/>
  <c r="J647" i="1"/>
  <c r="J709" i="1"/>
  <c r="J702" i="1"/>
  <c r="J697" i="1"/>
  <c r="J638" i="1"/>
  <c r="J672" i="1"/>
  <c r="J688" i="1"/>
  <c r="J684" i="1"/>
  <c r="J690" i="1"/>
  <c r="I715" i="1"/>
  <c r="J662" i="11" l="1"/>
  <c r="J646" i="11"/>
  <c r="J630" i="11"/>
  <c r="J659" i="11"/>
  <c r="J643" i="11"/>
  <c r="J627" i="11"/>
  <c r="J604" i="11"/>
  <c r="J602" i="11"/>
  <c r="J666" i="11"/>
  <c r="J650" i="11"/>
  <c r="J634" i="11"/>
  <c r="J663" i="11"/>
  <c r="J647" i="11"/>
  <c r="J631" i="11"/>
  <c r="J660" i="11"/>
  <c r="J644" i="11"/>
  <c r="J628" i="11"/>
  <c r="J657" i="11"/>
  <c r="J641" i="11"/>
  <c r="J625" i="11"/>
  <c r="J670" i="11"/>
  <c r="J654" i="11"/>
  <c r="J638" i="11"/>
  <c r="J667" i="11"/>
  <c r="J651" i="11"/>
  <c r="J635" i="11"/>
  <c r="J603" i="11"/>
  <c r="J664" i="11"/>
  <c r="J648" i="11"/>
  <c r="J632" i="11"/>
  <c r="J601" i="11"/>
  <c r="J599" i="11"/>
  <c r="J597" i="11"/>
  <c r="J595" i="11"/>
  <c r="J593" i="11"/>
  <c r="J591" i="11"/>
  <c r="J589" i="11"/>
  <c r="J661" i="11"/>
  <c r="J645" i="11"/>
  <c r="J629" i="11"/>
  <c r="J655" i="11"/>
  <c r="J639" i="11"/>
  <c r="J668" i="11"/>
  <c r="J652" i="11"/>
  <c r="J636" i="11"/>
  <c r="J649" i="11"/>
  <c r="J588" i="11"/>
  <c r="J673" i="11"/>
  <c r="J626" i="11"/>
  <c r="J594" i="11"/>
  <c r="J669" i="11"/>
  <c r="J637" i="11"/>
  <c r="J600" i="11"/>
  <c r="J642" i="11"/>
  <c r="J665" i="11"/>
  <c r="J640" i="11"/>
  <c r="J653" i="11"/>
  <c r="J592" i="11"/>
  <c r="J658" i="11"/>
  <c r="J598" i="11"/>
  <c r="J633" i="11"/>
  <c r="J596" i="11"/>
  <c r="J590" i="11"/>
  <c r="J656" i="11"/>
  <c r="L647" i="1"/>
  <c r="L711" i="1" s="1"/>
  <c r="K644" i="1"/>
  <c r="K682" i="1" s="1"/>
  <c r="J715" i="1"/>
  <c r="K601" i="11" l="1"/>
  <c r="J672" i="11"/>
  <c r="L604" i="11"/>
  <c r="K659" i="11"/>
  <c r="K643" i="11"/>
  <c r="K627" i="11"/>
  <c r="K673" i="11"/>
  <c r="K656" i="11"/>
  <c r="K640" i="11"/>
  <c r="K663" i="11"/>
  <c r="K647" i="11"/>
  <c r="K631" i="11"/>
  <c r="K660" i="11"/>
  <c r="K644" i="11"/>
  <c r="K628" i="11"/>
  <c r="K657" i="11"/>
  <c r="K641" i="11"/>
  <c r="K625" i="11"/>
  <c r="K670" i="11"/>
  <c r="K654" i="11"/>
  <c r="K638" i="11"/>
  <c r="K667" i="11"/>
  <c r="K651" i="11"/>
  <c r="K635" i="11"/>
  <c r="K664" i="11"/>
  <c r="K648" i="11"/>
  <c r="K632" i="11"/>
  <c r="K661" i="11"/>
  <c r="K645" i="11"/>
  <c r="K629" i="11"/>
  <c r="K658" i="11"/>
  <c r="K642" i="11"/>
  <c r="K626" i="11"/>
  <c r="K668" i="11"/>
  <c r="K652" i="11"/>
  <c r="K636" i="11"/>
  <c r="K665" i="11"/>
  <c r="K649" i="11"/>
  <c r="K633" i="11"/>
  <c r="K637" i="11"/>
  <c r="K669" i="11"/>
  <c r="K666" i="11"/>
  <c r="K634" i="11"/>
  <c r="K630" i="11"/>
  <c r="K653" i="11"/>
  <c r="K646" i="11"/>
  <c r="K662" i="11"/>
  <c r="K650" i="11"/>
  <c r="K655" i="11"/>
  <c r="K639" i="11"/>
  <c r="L704" i="1"/>
  <c r="L689" i="1"/>
  <c r="L681" i="1"/>
  <c r="L700" i="1"/>
  <c r="L686" i="1"/>
  <c r="L683" i="1"/>
  <c r="L679" i="1"/>
  <c r="L709" i="1"/>
  <c r="L673" i="1"/>
  <c r="L690" i="1"/>
  <c r="L674" i="1"/>
  <c r="L687" i="1"/>
  <c r="L703" i="1"/>
  <c r="K701" i="1"/>
  <c r="K670" i="1"/>
  <c r="K676" i="1"/>
  <c r="L713" i="1"/>
  <c r="L710" i="1"/>
  <c r="L691" i="1"/>
  <c r="L671" i="1"/>
  <c r="K702" i="1"/>
  <c r="K684" i="1"/>
  <c r="K668" i="1"/>
  <c r="K677" i="1"/>
  <c r="L707" i="1"/>
  <c r="L682" i="1"/>
  <c r="M682" i="1" s="1"/>
  <c r="K709" i="1"/>
  <c r="K674" i="1"/>
  <c r="L699" i="1"/>
  <c r="L696" i="1"/>
  <c r="L675" i="1"/>
  <c r="K687" i="1"/>
  <c r="L670" i="1"/>
  <c r="L672" i="1"/>
  <c r="L668" i="1"/>
  <c r="K672" i="1"/>
  <c r="K688" i="1"/>
  <c r="L678" i="1"/>
  <c r="L706" i="1"/>
  <c r="L669" i="1"/>
  <c r="L705" i="1"/>
  <c r="K713" i="1"/>
  <c r="K712" i="1"/>
  <c r="K691" i="1"/>
  <c r="K680" i="1"/>
  <c r="K671" i="1"/>
  <c r="K716" i="1"/>
  <c r="K692" i="1"/>
  <c r="K705" i="1"/>
  <c r="K707" i="1"/>
  <c r="K690" i="1"/>
  <c r="K689" i="1"/>
  <c r="K673" i="1"/>
  <c r="K693" i="1"/>
  <c r="K694" i="1"/>
  <c r="K696" i="1"/>
  <c r="L702" i="1"/>
  <c r="L712" i="1"/>
  <c r="K679" i="1"/>
  <c r="K675" i="1"/>
  <c r="K681" i="1"/>
  <c r="K708" i="1"/>
  <c r="K706" i="1"/>
  <c r="K697" i="1"/>
  <c r="K695" i="1"/>
  <c r="K710" i="1"/>
  <c r="K700" i="1"/>
  <c r="K686" i="1"/>
  <c r="K703" i="1"/>
  <c r="K683" i="1"/>
  <c r="K704" i="1"/>
  <c r="K711" i="1"/>
  <c r="M711" i="1" s="1"/>
  <c r="L701" i="1"/>
  <c r="L676" i="1"/>
  <c r="L694" i="1"/>
  <c r="L692" i="1"/>
  <c r="K678" i="1"/>
  <c r="K669" i="1"/>
  <c r="K685" i="1"/>
  <c r="K698" i="1"/>
  <c r="K699" i="1"/>
  <c r="L685" i="1"/>
  <c r="L698" i="1"/>
  <c r="L695" i="1"/>
  <c r="L684" i="1"/>
  <c r="L716" i="1"/>
  <c r="L693" i="1"/>
  <c r="L688" i="1"/>
  <c r="L680" i="1"/>
  <c r="L677" i="1"/>
  <c r="L708" i="1"/>
  <c r="L697" i="1"/>
  <c r="L673" i="11" l="1"/>
  <c r="L656" i="11"/>
  <c r="M656" i="11" s="1"/>
  <c r="L640" i="11"/>
  <c r="M640" i="11" s="1"/>
  <c r="L669" i="11"/>
  <c r="M669" i="11" s="1"/>
  <c r="L653" i="11"/>
  <c r="M653" i="11" s="1"/>
  <c r="L637" i="11"/>
  <c r="M637" i="11" s="1"/>
  <c r="L660" i="11"/>
  <c r="M660" i="11" s="1"/>
  <c r="L644" i="11"/>
  <c r="M644" i="11" s="1"/>
  <c r="L628" i="11"/>
  <c r="M628" i="11" s="1"/>
  <c r="L657" i="11"/>
  <c r="M657" i="11" s="1"/>
  <c r="L641" i="11"/>
  <c r="M641" i="11" s="1"/>
  <c r="L625" i="11"/>
  <c r="L670" i="11"/>
  <c r="M670" i="11" s="1"/>
  <c r="L654" i="11"/>
  <c r="M654" i="11" s="1"/>
  <c r="L638" i="11"/>
  <c r="M638" i="11" s="1"/>
  <c r="L667" i="11"/>
  <c r="M667" i="11" s="1"/>
  <c r="L651" i="11"/>
  <c r="M651" i="11" s="1"/>
  <c r="L635" i="11"/>
  <c r="M635" i="11" s="1"/>
  <c r="L664" i="11"/>
  <c r="M664" i="11" s="1"/>
  <c r="L648" i="11"/>
  <c r="M648" i="11" s="1"/>
  <c r="L632" i="11"/>
  <c r="M632" i="11" s="1"/>
  <c r="L661" i="11"/>
  <c r="M661" i="11" s="1"/>
  <c r="L645" i="11"/>
  <c r="M645" i="11" s="1"/>
  <c r="L629" i="11"/>
  <c r="M629" i="11" s="1"/>
  <c r="L658" i="11"/>
  <c r="M658" i="11" s="1"/>
  <c r="L642" i="11"/>
  <c r="M642" i="11" s="1"/>
  <c r="L626" i="11"/>
  <c r="M626" i="11" s="1"/>
  <c r="L655" i="11"/>
  <c r="M655" i="11" s="1"/>
  <c r="L639" i="11"/>
  <c r="M639" i="11" s="1"/>
  <c r="L665" i="11"/>
  <c r="M665" i="11" s="1"/>
  <c r="L649" i="11"/>
  <c r="M649" i="11" s="1"/>
  <c r="L633" i="11"/>
  <c r="M633" i="11" s="1"/>
  <c r="L662" i="11"/>
  <c r="M662" i="11" s="1"/>
  <c r="L646" i="11"/>
  <c r="M646" i="11" s="1"/>
  <c r="L630" i="11"/>
  <c r="M630" i="11" s="1"/>
  <c r="L643" i="11"/>
  <c r="M643" i="11" s="1"/>
  <c r="L666" i="11"/>
  <c r="M666" i="11" s="1"/>
  <c r="L631" i="11"/>
  <c r="M631" i="11" s="1"/>
  <c r="L636" i="11"/>
  <c r="M636" i="11" s="1"/>
  <c r="L634" i="11"/>
  <c r="M634" i="11" s="1"/>
  <c r="L659" i="11"/>
  <c r="M659" i="11" s="1"/>
  <c r="L647" i="11"/>
  <c r="M647" i="11" s="1"/>
  <c r="L652" i="11"/>
  <c r="M652" i="11" s="1"/>
  <c r="L663" i="11"/>
  <c r="M663" i="11" s="1"/>
  <c r="L668" i="11"/>
  <c r="M668" i="11" s="1"/>
  <c r="L650" i="11"/>
  <c r="M650" i="11" s="1"/>
  <c r="L627" i="11"/>
  <c r="M627" i="11" s="1"/>
  <c r="K672" i="11"/>
  <c r="M703" i="1"/>
  <c r="C183" i="9" s="1"/>
  <c r="M705" i="1"/>
  <c r="E183" i="9" s="1"/>
  <c r="M683" i="1"/>
  <c r="M710" i="1"/>
  <c r="C215" i="9" s="1"/>
  <c r="M704" i="1"/>
  <c r="M673" i="1"/>
  <c r="H23" i="9" s="1"/>
  <c r="M687" i="1"/>
  <c r="M696" i="1"/>
  <c r="M690" i="1"/>
  <c r="M707" i="1"/>
  <c r="G183" i="9" s="1"/>
  <c r="M713" i="1"/>
  <c r="F215" i="9" s="1"/>
  <c r="M700" i="1"/>
  <c r="M684" i="1"/>
  <c r="M686" i="1"/>
  <c r="G87" i="9" s="1"/>
  <c r="M701" i="1"/>
  <c r="H151" i="9" s="1"/>
  <c r="M681" i="1"/>
  <c r="M689" i="1"/>
  <c r="C119" i="9" s="1"/>
  <c r="M674" i="1"/>
  <c r="M676" i="1"/>
  <c r="D55" i="9" s="1"/>
  <c r="M709" i="1"/>
  <c r="M670" i="1"/>
  <c r="M668" i="1"/>
  <c r="M712" i="1"/>
  <c r="E215" i="9" s="1"/>
  <c r="M677" i="1"/>
  <c r="M692" i="1"/>
  <c r="M688" i="1"/>
  <c r="I87" i="9" s="1"/>
  <c r="M694" i="1"/>
  <c r="M675" i="1"/>
  <c r="M691" i="1"/>
  <c r="E119" i="9" s="1"/>
  <c r="M702" i="1"/>
  <c r="M680" i="1"/>
  <c r="M698" i="1"/>
  <c r="E151" i="9" s="1"/>
  <c r="M706" i="1"/>
  <c r="F183" i="9" s="1"/>
  <c r="M671" i="1"/>
  <c r="F23" i="9" s="1"/>
  <c r="M672" i="1"/>
  <c r="M699" i="1"/>
  <c r="M678" i="1"/>
  <c r="M669" i="1"/>
  <c r="K715" i="1"/>
  <c r="M697" i="1"/>
  <c r="M695" i="1"/>
  <c r="M708" i="1"/>
  <c r="H183" i="9" s="1"/>
  <c r="M679" i="1"/>
  <c r="G55" i="9" s="1"/>
  <c r="M693" i="1"/>
  <c r="D215" i="9"/>
  <c r="M685" i="1"/>
  <c r="L715" i="1"/>
  <c r="C87" i="9"/>
  <c r="L672" i="11" l="1"/>
  <c r="M625" i="11"/>
  <c r="M672" i="11" s="1"/>
  <c r="D183" i="9"/>
  <c r="C151" i="9"/>
  <c r="D87" i="9"/>
  <c r="H87" i="9"/>
  <c r="I183" i="9"/>
  <c r="F119" i="9"/>
  <c r="D119" i="9"/>
  <c r="E87" i="9"/>
  <c r="G151" i="9"/>
  <c r="I55" i="9"/>
  <c r="E55" i="9"/>
  <c r="I23" i="9"/>
  <c r="I151" i="9"/>
  <c r="F151" i="9"/>
  <c r="E23" i="9"/>
  <c r="H55" i="9"/>
  <c r="C23" i="9"/>
  <c r="F55" i="9"/>
  <c r="C55" i="9"/>
  <c r="H119" i="9"/>
  <c r="G23" i="9"/>
  <c r="D23" i="9"/>
  <c r="I119" i="9"/>
  <c r="M715" i="1"/>
  <c r="G119" i="9"/>
  <c r="D151" i="9"/>
  <c r="F87" i="9"/>
</calcChain>
</file>

<file path=xl/sharedStrings.xml><?xml version="1.0" encoding="utf-8"?>
<sst xmlns="http://schemas.openxmlformats.org/spreadsheetml/2006/main" count="4345" uniqueCount="1012">
  <si>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</si>
  <si>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</si>
  <si>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</si>
  <si>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</si>
  <si>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</si>
  <si>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</si>
  <si>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</si>
  <si>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</si>
  <si>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</si>
  <si>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</si>
  <si>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</si>
  <si>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</si>
  <si>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</si>
  <si>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</si>
  <si>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</si>
  <si>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</si>
  <si>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</si>
  <si>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</si>
  <si>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</si>
  <si>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</si>
  <si>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</si>
  <si>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</si>
  <si>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</si>
  <si>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</si>
  <si>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</si>
  <si>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</si>
  <si>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</si>
  <si>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</si>
  <si>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</si>
  <si>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</si>
  <si>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</si>
  <si>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</si>
  <si>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</si>
  <si>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</si>
  <si>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</si>
  <si>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</si>
  <si>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</si>
  <si>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</si>
  <si>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</si>
  <si>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</si>
  <si>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</si>
  <si>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</si>
  <si>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</si>
  <si>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</si>
  <si>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</si>
  <si>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</si>
  <si>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</si>
  <si>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</si>
  <si>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</si>
  <si>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</si>
  <si>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</si>
  <si>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</si>
  <si>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</si>
  <si>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</si>
  <si>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</si>
  <si>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</si>
  <si>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</si>
  <si>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</si>
  <si>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</si>
  <si>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</si>
  <si>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</si>
  <si>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</si>
  <si>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</si>
  <si>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</si>
  <si>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</si>
  <si>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</si>
  <si>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</si>
  <si>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</si>
  <si>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</si>
  <si>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</si>
  <si>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</si>
  <si>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</si>
  <si>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</si>
  <si>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</si>
  <si>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</si>
  <si>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</si>
  <si>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</si>
  <si>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</si>
  <si>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</si>
  <si>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</si>
  <si>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</si>
  <si>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</si>
  <si>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</si>
  <si>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</si>
  <si>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</si>
  <si>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</si>
  <si>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</si>
  <si>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</si>
  <si>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</si>
  <si>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</si>
  <si>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</si>
  <si>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</si>
  <si>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</si>
  <si>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</si>
  <si>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</si>
  <si>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</si>
  <si>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</si>
  <si>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</si>
  <si>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</si>
  <si>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</si>
  <si>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</si>
  <si>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</si>
  <si>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</si>
  <si>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</si>
  <si>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</si>
  <si>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</si>
  <si>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</si>
  <si>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</si>
  <si>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</si>
  <si>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</si>
  <si>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</si>
  <si>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</si>
  <si>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</si>
  <si>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</si>
  <si>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</si>
  <si>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</si>
  <si>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</si>
  <si>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</si>
  <si>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</si>
  <si>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</si>
  <si>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</si>
  <si>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</si>
  <si>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</si>
  <si>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</si>
  <si>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</si>
  <si>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</si>
  <si>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</si>
  <si>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</si>
  <si>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</si>
  <si>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</si>
  <si>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</si>
  <si>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</si>
  <si>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</si>
  <si>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</si>
  <si>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</si>
  <si>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</si>
  <si>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</si>
  <si>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</si>
  <si>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</si>
  <si>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</si>
  <si>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</si>
  <si>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</si>
  <si>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</si>
  <si>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</si>
  <si>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</si>
  <si>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</si>
  <si>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</si>
  <si>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</si>
  <si>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</si>
  <si>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</si>
  <si>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</si>
  <si>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</si>
  <si>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</si>
  <si>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</si>
  <si>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</si>
  <si>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</si>
  <si>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</si>
  <si>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</si>
  <si>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</si>
  <si>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</si>
  <si>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</si>
  <si>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</si>
  <si>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</si>
  <si>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</si>
  <si>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</si>
  <si>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</si>
  <si>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</si>
  <si>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</si>
  <si>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</si>
  <si>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</si>
  <si>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</si>
  <si>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</si>
  <si>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</si>
  <si>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</si>
  <si>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</si>
  <si>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</si>
  <si>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</si>
  <si>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</si>
  <si>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</si>
  <si>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</si>
  <si>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</si>
  <si>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</si>
  <si>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</si>
  <si>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</si>
  <si>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</si>
  <si>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</si>
  <si>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</si>
  <si>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</si>
  <si>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</si>
  <si>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</si>
  <si>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</si>
  <si>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</si>
  <si>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</si>
  <si>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</si>
  <si>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</si>
  <si>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</si>
  <si>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</si>
  <si>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</si>
  <si>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</si>
  <si>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</si>
  <si>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</si>
  <si>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</si>
  <si>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</si>
  <si>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</si>
  <si>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</si>
  <si>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</si>
  <si>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</si>
  <si>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</si>
  <si>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</si>
  <si>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</si>
  <si>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</si>
  <si>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</si>
  <si>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</si>
  <si>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</si>
  <si>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</si>
  <si>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</si>
  <si>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</si>
  <si>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</si>
  <si>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</si>
  <si>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</si>
  <si>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</si>
  <si>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</si>
  <si>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</si>
  <si>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</si>
  <si>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</si>
  <si>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</si>
  <si>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</si>
  <si>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</si>
  <si>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</si>
  <si>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</si>
  <si>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</si>
  <si>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</si>
  <si>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</si>
  <si>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</si>
  <si>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</si>
  <si>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</si>
  <si>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</si>
  <si>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</si>
  <si>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</si>
  <si>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</si>
  <si>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</si>
  <si>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</si>
  <si>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</si>
  <si>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</si>
  <si>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</si>
  <si>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</si>
  <si>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</si>
  <si>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</si>
  <si>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</si>
  <si>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</si>
  <si>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</si>
  <si>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</si>
  <si>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</si>
  <si>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</si>
  <si>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</si>
  <si>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</si>
  <si>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</si>
  <si>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</si>
  <si>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</si>
  <si>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</si>
  <si>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</si>
  <si>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</si>
  <si>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</si>
  <si>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</si>
  <si>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</si>
  <si>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</si>
  <si>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</si>
  <si>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</si>
  <si>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</si>
  <si>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</si>
  <si>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</si>
  <si>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</si>
  <si>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</si>
  <si>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</si>
  <si>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</si>
  <si>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</si>
  <si>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</si>
  <si>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</si>
  <si>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</si>
  <si>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</si>
  <si>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</si>
  <si>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</si>
  <si>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</si>
  <si>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</si>
  <si>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</si>
  <si>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</si>
  <si>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</si>
  <si>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</si>
  <si>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</si>
  <si>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</si>
  <si>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</si>
  <si>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</si>
  <si>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</si>
  <si>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</si>
  <si>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</si>
  <si>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</si>
  <si>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</si>
  <si>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</si>
  <si>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</si>
  <si>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</si>
  <si>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</si>
  <si>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</si>
  <si>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</si>
  <si>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</si>
  <si>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</si>
  <si>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</si>
  <si>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</si>
  <si>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</si>
  <si>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</si>
  <si>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</si>
  <si>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</si>
  <si>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</si>
  <si>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</si>
  <si>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</si>
  <si>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</si>
  <si>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</si>
  <si>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</si>
  <si>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</si>
  <si>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</si>
  <si>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</si>
  <si>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</si>
  <si>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</si>
  <si>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</si>
  <si>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</si>
  <si>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</si>
  <si>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</si>
  <si>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</si>
  <si>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</si>
  <si>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</si>
  <si>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</si>
  <si>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</si>
  <si>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</si>
  <si>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</si>
  <si>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</si>
  <si>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</si>
  <si>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</si>
  <si>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</si>
  <si>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</si>
  <si>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</si>
  <si>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</si>
  <si>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</si>
  <si>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</si>
  <si>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</si>
  <si>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</si>
  <si>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</si>
  <si>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</si>
  <si>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</si>
  <si>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</si>
  <si>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</si>
  <si>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</si>
  <si>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</si>
  <si>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</si>
  <si>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</si>
  <si>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</si>
  <si>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</si>
  <si>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</si>
  <si>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</si>
  <si>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</si>
  <si>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</si>
  <si>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</si>
  <si>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</si>
  <si>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</si>
  <si>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</si>
  <si>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</si>
  <si>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</si>
  <si>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</si>
  <si>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</si>
  <si>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</si>
  <si>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</si>
  <si>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</si>
  <si>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</si>
  <si>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</si>
  <si>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</si>
  <si>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</si>
  <si>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</si>
  <si>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</si>
  <si>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</si>
  <si>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</si>
  <si>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</si>
  <si>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</si>
  <si>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</si>
  <si>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</si>
  <si>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</si>
  <si>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</si>
  <si>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</si>
  <si>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</si>
  <si>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</si>
  <si>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</si>
  <si>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</si>
  <si>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</si>
  <si>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</si>
  <si>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</si>
  <si>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</si>
  <si>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</si>
  <si>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</si>
  <si>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</si>
  <si>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</si>
  <si>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</si>
  <si>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</si>
  <si>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</si>
  <si>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</si>
  <si>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</si>
  <si>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</si>
  <si>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</si>
  <si>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</si>
  <si>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</si>
  <si>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</si>
  <si>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</si>
  <si>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</si>
  <si>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</si>
  <si>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</si>
  <si>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</si>
  <si>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</si>
  <si>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</si>
  <si>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</si>
  <si>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</si>
  <si>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</si>
  <si>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</si>
  <si>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</si>
  <si>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</si>
  <si>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</si>
  <si>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</si>
  <si>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</si>
  <si>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</si>
  <si>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</si>
  <si>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</si>
  <si>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</si>
  <si>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</si>
  <si>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</si>
  <si>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</si>
  <si>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</si>
  <si>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</si>
  <si>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</si>
  <si>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</si>
  <si>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</si>
  <si>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</si>
  <si>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</si>
  <si>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</si>
  <si>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</si>
  <si>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</si>
  <si>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</si>
  <si>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</si>
  <si>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</si>
  <si>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</si>
  <si>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</si>
  <si>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</si>
  <si>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</si>
  <si>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</si>
  <si>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</si>
  <si>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</si>
  <si>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</si>
  <si>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</si>
  <si>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</si>
  <si>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</si>
  <si>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</si>
  <si>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</si>
  <si>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</si>
  <si>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</si>
  <si>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</si>
  <si>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</si>
  <si>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</si>
  <si>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</si>
  <si>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</si>
  <si>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</si>
  <si>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</si>
  <si>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</si>
  <si>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</si>
  <si>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</si>
  <si>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</si>
  <si>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</si>
  <si>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</si>
  <si>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</si>
  <si>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</si>
  <si>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</si>
  <si>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</si>
  <si>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</si>
  <si>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</si>
  <si>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</si>
  <si>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</si>
  <si>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</si>
  <si>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</si>
  <si>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</si>
  <si>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</si>
  <si>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</si>
  <si>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</si>
  <si>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</si>
  <si>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</si>
  <si>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</si>
  <si>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</si>
  <si>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</si>
  <si>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</si>
  <si>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</si>
  <si>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</si>
  <si>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</si>
  <si>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</si>
  <si>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</si>
  <si>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</si>
  <si>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</si>
  <si>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</si>
  <si>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</si>
  <si>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</si>
  <si>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</si>
  <si>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</si>
  <si>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</si>
  <si>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</si>
  <si>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</si>
  <si>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</si>
  <si>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</si>
  <si>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</si>
  <si>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</si>
  <si>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</si>
  <si>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</si>
  <si>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</si>
  <si>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</si>
  <si>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</si>
  <si>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</si>
  <si>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</si>
  <si>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</si>
  <si>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</si>
  <si>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</si>
  <si>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</si>
  <si>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</si>
  <si>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</si>
  <si>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</si>
  <si>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</si>
  <si>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</si>
  <si>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</si>
  <si>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</si>
  <si>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</si>
  <si>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</si>
  <si>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</si>
  <si>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</si>
  <si>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</si>
  <si>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</si>
  <si>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</si>
  <si>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</si>
  <si>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</si>
  <si>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</si>
  <si>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</si>
  <si>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</si>
  <si>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</si>
  <si>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</si>
  <si>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</si>
  <si>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</si>
  <si>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</si>
  <si>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</si>
  <si>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</si>
  <si>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</si>
  <si>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</si>
  <si>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</si>
  <si>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</si>
  <si>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</si>
  <si>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</si>
  <si>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</si>
  <si>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</si>
  <si>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</si>
  <si>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</si>
  <si>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</si>
  <si>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</si>
  <si>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</si>
  <si>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</si>
  <si>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</si>
  <si>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</si>
  <si>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</si>
  <si>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</si>
  <si>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</si>
  <si>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</si>
  <si>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</si>
  <si>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</si>
  <si>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</si>
  <si>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</si>
  <si>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</si>
  <si>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</si>
  <si>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</si>
  <si>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</si>
  <si>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</si>
  <si>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</si>
  <si>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</si>
  <si>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</si>
  <si>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</si>
  <si>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</si>
  <si>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</si>
  <si>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</si>
  <si>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</si>
  <si>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</si>
  <si>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</si>
  <si>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</si>
  <si>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</si>
  <si>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</si>
  <si>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</si>
  <si>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</si>
  <si>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</si>
  <si>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</si>
  <si>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</si>
  <si>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</si>
  <si>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</si>
  <si>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</si>
  <si>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</si>
  <si>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</si>
  <si>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</si>
  <si>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</si>
  <si>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</si>
  <si>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</si>
  <si>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</si>
  <si>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</si>
  <si>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</si>
  <si>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</si>
  <si>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</si>
  <si>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</si>
  <si>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</si>
  <si>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</si>
  <si>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</si>
  <si>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</si>
  <si>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</si>
  <si>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</si>
  <si>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</si>
  <si>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</si>
  <si>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</si>
  <si>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</si>
  <si>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</si>
  <si>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</si>
  <si>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</si>
  <si>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</si>
  <si>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</si>
  <si>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</si>
  <si>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</si>
  <si>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</si>
  <si>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</si>
  <si>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</si>
  <si>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</si>
  <si>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</si>
  <si>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</si>
  <si>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</si>
  <si>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</si>
  <si>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</si>
  <si>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</si>
  <si>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</si>
  <si>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</si>
  <si>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</si>
  <si>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</si>
  <si>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</si>
  <si>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</si>
  <si>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</si>
  <si>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</si>
  <si>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</si>
  <si>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</si>
  <si>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</si>
  <si>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</si>
  <si>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</si>
  <si>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</si>
  <si>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</si>
  <si>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</si>
  <si>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</si>
  <si>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</si>
  <si>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</si>
  <si>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</si>
  <si>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</si>
  <si>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</si>
  <si>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</si>
  <si>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</si>
  <si>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</si>
  <si>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</si>
  <si>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</si>
  <si>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</si>
  <si>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</si>
  <si>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</si>
  <si>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</si>
  <si>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</si>
  <si>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</si>
  <si>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</si>
  <si>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</si>
  <si>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</si>
  <si>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</si>
  <si>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</si>
  <si>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</si>
  <si>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</si>
  <si>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</si>
  <si>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</si>
  <si>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</si>
  <si>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</si>
  <si>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</si>
  <si>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</si>
  <si>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</si>
  <si>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</si>
  <si>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</si>
  <si>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</si>
  <si>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</si>
  <si>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</si>
  <si>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</si>
  <si>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</si>
  <si>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</si>
  <si>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</si>
  <si>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</si>
  <si>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</si>
  <si>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</si>
  <si>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</si>
  <si>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</si>
  <si>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</si>
  <si>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</si>
  <si>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</si>
  <si>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</si>
  <si>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</si>
  <si>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</si>
  <si>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</si>
  <si>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</si>
  <si>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</si>
  <si>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</si>
  <si>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</si>
  <si>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</si>
  <si>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</si>
  <si>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</si>
  <si>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</si>
  <si>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</si>
  <si>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</si>
  <si>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</si>
  <si>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</si>
  <si>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</si>
  <si>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</si>
  <si>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</si>
  <si>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</si>
  <si>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</si>
  <si>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</si>
  <si>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</si>
  <si>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</si>
  <si>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</si>
  <si>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</si>
  <si>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</si>
  <si>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</si>
  <si>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</si>
  <si>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</si>
  <si>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</si>
  <si>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</si>
  <si>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</si>
  <si>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</si>
  <si>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</si>
  <si>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</si>
  <si>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</si>
  <si>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</si>
  <si>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</si>
  <si>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</si>
  <si>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</si>
  <si>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</si>
  <si>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</si>
  <si>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</si>
  <si>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</si>
  <si>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</si>
  <si>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</si>
  <si>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</si>
  <si>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</si>
  <si>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Hospital and Patient Data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</si>
  <si>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</si>
  <si>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</si>
  <si>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</si>
  <si>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</si>
  <si>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</si>
  <si>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</si>
  <si>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</si>
  <si>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</si>
  <si>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</si>
  <si>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</si>
  <si>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</si>
  <si>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</si>
  <si>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</si>
  <si>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</si>
  <si>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</si>
  <si>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</si>
  <si>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</si>
  <si>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</si>
  <si>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</si>
  <si>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</si>
  <si>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</si>
  <si>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</si>
  <si>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</si>
  <si>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</si>
  <si>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</si>
  <si>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</si>
  <si>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</si>
  <si>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</si>
  <si>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</si>
  <si>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</si>
  <si>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</si>
  <si>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</si>
  <si>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</si>
  <si>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</si>
  <si>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</si>
  <si>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</si>
  <si>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</si>
  <si>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</si>
  <si>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</si>
  <si>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</si>
  <si>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</si>
  <si>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</si>
  <si>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</si>
  <si>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</si>
  <si>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</si>
  <si>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</si>
  <si>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</si>
  <si>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</si>
  <si>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</si>
  <si>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</si>
  <si>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</si>
  <si>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</si>
  <si>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</si>
  <si>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</si>
  <si>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</si>
  <si>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</si>
  <si>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</si>
  <si>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</si>
  <si>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</si>
  <si>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</si>
  <si>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</si>
  <si>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</si>
  <si>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</si>
  <si>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</si>
  <si>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</si>
  <si>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</si>
  <si>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</si>
  <si>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</si>
  <si>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</si>
  <si>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</si>
  <si>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</si>
  <si>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</si>
  <si>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</si>
  <si>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</si>
  <si>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</si>
  <si>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</si>
  <si>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</si>
  <si>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</si>
  <si>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</si>
  <si>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</si>
  <si>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</si>
  <si>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</si>
  <si>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</si>
  <si>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</si>
  <si>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</si>
  <si>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</si>
  <si>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</si>
  <si>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</si>
  <si>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</si>
  <si>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</si>
  <si>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</si>
  <si>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</si>
  <si>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</si>
  <si>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</si>
  <si>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</si>
  <si>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</si>
  <si>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</si>
  <si>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</si>
  <si>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</si>
  <si>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</si>
  <si>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</si>
  <si>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</si>
  <si>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</si>
  <si>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</si>
  <si>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</si>
  <si>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</si>
  <si>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</si>
  <si>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</si>
  <si>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</si>
  <si>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</si>
  <si>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</si>
  <si>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</si>
  <si>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</si>
  <si>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</si>
  <si>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</si>
  <si>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</si>
  <si>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</si>
  <si>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</si>
  <si>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</si>
  <si>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</si>
  <si>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</si>
  <si>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</si>
  <si>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</si>
  <si>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</si>
  <si>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</si>
  <si>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</si>
  <si>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</si>
  <si>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</si>
  <si>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</si>
  <si>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</si>
  <si>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</si>
  <si>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</si>
  <si>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</si>
  <si>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</si>
  <si>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</si>
  <si>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</si>
  <si>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</si>
  <si>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</si>
  <si>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</si>
  <si>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</si>
  <si>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</si>
  <si>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</si>
  <si>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</si>
  <si>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</si>
  <si>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</si>
  <si>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</si>
  <si>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</si>
  <si>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</si>
  <si>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</si>
  <si>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</si>
  <si>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</si>
  <si>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</si>
  <si>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</si>
  <si>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</si>
  <si>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</si>
  <si>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</si>
  <si>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</si>
  <si>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</si>
  <si>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</si>
  <si>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</si>
  <si>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</si>
  <si>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</si>
  <si>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</si>
  <si>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</si>
  <si>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</si>
  <si>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</si>
  <si>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</si>
  <si>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</si>
  <si>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</si>
  <si>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</si>
  <si>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</si>
  <si>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</si>
  <si>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</si>
  <si>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</si>
  <si>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</si>
  <si>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</si>
  <si>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</si>
  <si>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</si>
  <si>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</si>
  <si>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</si>
  <si>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</si>
  <si>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</si>
  <si>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</si>
  <si>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</si>
  <si>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</si>
  <si>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</si>
  <si>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</si>
  <si>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</si>
  <si>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</si>
  <si>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</si>
  <si>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</si>
  <si>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</si>
  <si>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</si>
  <si>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</si>
  <si>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</si>
  <si>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</si>
  <si>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</si>
  <si>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</si>
  <si>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</si>
  <si>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</si>
  <si>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</si>
  <si>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</si>
  <si>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</si>
  <si>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</si>
  <si>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</si>
  <si>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</si>
  <si>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</si>
  <si>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</si>
  <si>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</si>
  <si>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</si>
  <si>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</si>
  <si>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</si>
  <si>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</si>
  <si>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</si>
  <si>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</si>
  <si>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</si>
  <si>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</si>
  <si>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</si>
  <si>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</si>
  <si>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</si>
  <si>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</si>
  <si>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</si>
  <si>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</si>
  <si>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</si>
  <si>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</si>
  <si>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</si>
  <si>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</si>
  <si>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</si>
  <si>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</si>
  <si>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</si>
  <si>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</si>
  <si>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</si>
  <si>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</si>
  <si>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</si>
  <si>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</si>
  <si>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</si>
  <si>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</si>
  <si>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</si>
  <si>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</si>
  <si>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</si>
  <si>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</si>
  <si>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</si>
  <si>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P.O. Box 47814</t>
  </si>
  <si>
    <t>Olympia, Washington 98504-7814</t>
  </si>
  <si>
    <t>Provision for Bad Debt</t>
  </si>
  <si>
    <t>Bad Debt</t>
  </si>
  <si>
    <t>The operating expenses, the units of measure and the operating expenses per unit of measure are stated on line 496 thru line 575 in columns</t>
  </si>
  <si>
    <t>hos@doh.wa.gov.</t>
  </si>
  <si>
    <t>046</t>
  </si>
  <si>
    <t>PMH Medical Center</t>
  </si>
  <si>
    <t>723 Memorial St</t>
  </si>
  <si>
    <t>Benton</t>
  </si>
  <si>
    <t>Stephen Kenney</t>
  </si>
  <si>
    <t>509-786-2222</t>
  </si>
  <si>
    <t>509-786-6660</t>
  </si>
  <si>
    <t>Prosser, WA  99350</t>
  </si>
  <si>
    <t>Craig Marks</t>
  </si>
  <si>
    <t>If you have any questions or concerns please call Communty Health Systems at 360-236-4210 or send an e-mail to</t>
  </si>
  <si>
    <t>12/31/2019</t>
  </si>
  <si>
    <t>David Rollins</t>
  </si>
  <si>
    <t>12/31/2020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</si>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</sst>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10"/>
      <name val="Arial"/>
    </font>
    <font>
      <sz val="12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</font>
    <font>
      <b/>
      <sz val="13"/>
      <color indexed="62"/>
      <name val="Calibri"/>
      <family val="2"/>
    </font>
    <font>
      <sz val="12"/>
      <name val="Arial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622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37" fontId="7" fillId="0" borderId="0"/>
    <xf numFmtId="0" fontId="14" fillId="0" borderId="0"/>
    <xf numFmtId="43" fontId="14" fillId="0" borderId="0" applyFont="0" applyFill="0" applyBorder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8" fillId="0" borderId="35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2" borderId="36" applyNumberFormat="0" applyAlignment="0" applyProtection="0"/>
    <xf numFmtId="0" fontId="22" fillId="13" borderId="37" applyNumberFormat="0" applyAlignment="0" applyProtection="0"/>
    <xf numFmtId="0" fontId="23" fillId="13" borderId="36" applyNumberFormat="0" applyAlignment="0" applyProtection="0"/>
    <xf numFmtId="0" fontId="24" fillId="0" borderId="38" applyNumberFormat="0" applyFill="0" applyAlignment="0" applyProtection="0"/>
    <xf numFmtId="0" fontId="25" fillId="14" borderId="3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1" applyNumberFormat="0" applyFill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9" fontId="1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1" fillId="11" borderId="0" applyNumberFormat="0" applyBorder="0" applyAlignment="0" applyProtection="0"/>
    <xf numFmtId="44" fontId="2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2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4" borderId="0" applyNumberFormat="0" applyBorder="0" applyAlignment="0" applyProtection="0"/>
    <xf numFmtId="0" fontId="32" fillId="42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6" borderId="0" applyNumberFormat="0" applyBorder="0" applyAlignment="0" applyProtection="0"/>
    <xf numFmtId="0" fontId="33" fillId="44" borderId="0" applyNumberFormat="0" applyBorder="0" applyAlignment="0" applyProtection="0"/>
    <xf numFmtId="0" fontId="33" fillId="41" borderId="0" applyNumberFormat="0" applyBorder="0" applyAlignment="0" applyProtection="0"/>
    <xf numFmtId="0" fontId="33" fillId="49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54" borderId="42" applyNumberFormat="0" applyAlignment="0" applyProtection="0"/>
    <xf numFmtId="0" fontId="36" fillId="55" borderId="43" applyNumberFormat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" fillId="0" borderId="0" applyFont="0" applyFill="0" applyBorder="0" applyAlignment="0" applyProtection="0">
      <alignment vertical="top"/>
    </xf>
    <xf numFmtId="3" fontId="14" fillId="0" borderId="0" applyFont="0" applyFill="0" applyBorder="0" applyAlignment="0" applyProtection="0">
      <alignment vertical="top"/>
    </xf>
    <xf numFmtId="3" fontId="2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5" fontId="14" fillId="0" borderId="0" applyFont="0" applyFill="0" applyBorder="0" applyAlignment="0" applyProtection="0">
      <alignment vertical="top"/>
    </xf>
    <xf numFmtId="5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14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>
      <alignment vertical="top"/>
    </xf>
    <xf numFmtId="0" fontId="37" fillId="0" borderId="0" applyNumberFormat="0" applyFill="0" applyBorder="0" applyAlignment="0" applyProtection="0"/>
    <xf numFmtId="2" fontId="2" fillId="0" borderId="0" applyFont="0" applyFill="0" applyBorder="0" applyAlignment="0" applyProtection="0">
      <alignment vertical="top"/>
    </xf>
    <xf numFmtId="2" fontId="14" fillId="0" borderId="0" applyFont="0" applyFill="0" applyBorder="0" applyAlignment="0" applyProtection="0">
      <alignment vertical="top"/>
    </xf>
    <xf numFmtId="2" fontId="2" fillId="0" borderId="0" applyFont="0" applyFill="0" applyBorder="0" applyAlignment="0" applyProtection="0">
      <alignment vertical="top"/>
    </xf>
    <xf numFmtId="0" fontId="38" fillId="44" borderId="0" applyNumberFormat="0" applyBorder="0" applyAlignment="0" applyProtection="0"/>
    <xf numFmtId="0" fontId="39" fillId="0" borderId="44" applyNumberFormat="0" applyFill="0" applyAlignment="0" applyProtection="0"/>
    <xf numFmtId="0" fontId="40" fillId="0" borderId="0" applyNumberFormat="0" applyFill="0" applyBorder="0" applyAlignment="0" applyProtection="0">
      <alignment vertical="top"/>
    </xf>
    <xf numFmtId="0" fontId="41" fillId="0" borderId="0" applyNumberFormat="0" applyFill="0" applyBorder="0" applyAlignment="0" applyProtection="0">
      <alignment vertical="top"/>
    </xf>
    <xf numFmtId="0" fontId="40" fillId="0" borderId="0" applyNumberFormat="0" applyFill="0" applyBorder="0" applyAlignment="0" applyProtection="0">
      <alignment vertical="top"/>
    </xf>
    <xf numFmtId="0" fontId="42" fillId="0" borderId="45" applyNumberFormat="0" applyFill="0" applyAlignment="0" applyProtection="0"/>
    <xf numFmtId="0" fontId="6" fillId="0" borderId="0" applyNumberFormat="0" applyFill="0" applyBorder="0" applyAlignment="0" applyProtection="0">
      <alignment vertical="top"/>
    </xf>
    <xf numFmtId="0" fontId="43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44" fillId="0" borderId="46" applyNumberFormat="0" applyFill="0" applyAlignment="0" applyProtection="0"/>
    <xf numFmtId="0" fontId="44" fillId="0" borderId="0" applyNumberFormat="0" applyFill="0" applyBorder="0" applyAlignment="0" applyProtection="0"/>
    <xf numFmtId="0" fontId="45" fillId="45" borderId="42" applyNumberFormat="0" applyAlignment="0" applyProtection="0"/>
    <xf numFmtId="0" fontId="46" fillId="0" borderId="47" applyNumberFormat="0" applyFill="0" applyAlignment="0" applyProtection="0"/>
    <xf numFmtId="0" fontId="47" fillId="45" borderId="0" applyNumberFormat="0" applyBorder="0" applyAlignment="0" applyProtection="0"/>
    <xf numFmtId="0" fontId="1" fillId="0" borderId="0"/>
    <xf numFmtId="37" fontId="7" fillId="0" borderId="0"/>
    <xf numFmtId="0" fontId="7" fillId="42" borderId="48" applyNumberFormat="0" applyFont="0" applyAlignment="0" applyProtection="0"/>
    <xf numFmtId="0" fontId="2" fillId="42" borderId="48" applyNumberFormat="0" applyFont="0" applyAlignment="0" applyProtection="0"/>
    <xf numFmtId="0" fontId="14" fillId="42" borderId="48" applyNumberFormat="0" applyFont="0" applyAlignment="0" applyProtection="0"/>
    <xf numFmtId="0" fontId="1" fillId="15" borderId="40" applyNumberFormat="0" applyFont="0" applyAlignment="0" applyProtection="0"/>
    <xf numFmtId="0" fontId="48" fillId="54" borderId="4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2" fillId="0" borderId="51" applyNumberFormat="0" applyFont="0" applyFill="0" applyAlignment="0" applyProtection="0">
      <alignment vertical="top"/>
    </xf>
    <xf numFmtId="0" fontId="14" fillId="0" borderId="51" applyNumberFormat="0" applyFont="0" applyFill="0" applyAlignment="0" applyProtection="0">
      <alignment vertical="top"/>
    </xf>
    <xf numFmtId="0" fontId="2" fillId="0" borderId="51" applyNumberFormat="0" applyFont="0" applyFill="0" applyAlignment="0" applyProtection="0">
      <alignment vertical="top"/>
    </xf>
    <xf numFmtId="0" fontId="46" fillId="0" borderId="0" applyNumberFormat="0" applyFill="0" applyBorder="0" applyAlignment="0" applyProtection="0"/>
    <xf numFmtId="0" fontId="14" fillId="0" borderId="0"/>
    <xf numFmtId="0" fontId="2" fillId="42" borderId="48" applyNumberFormat="0" applyFont="0" applyAlignment="0" applyProtection="0"/>
    <xf numFmtId="44" fontId="3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9" fillId="0" borderId="44" applyNumberFormat="0" applyFill="0" applyAlignment="0" applyProtection="0"/>
    <xf numFmtId="0" fontId="42" fillId="0" borderId="45" applyNumberFormat="0" applyFill="0" applyAlignment="0" applyProtection="0"/>
    <xf numFmtId="37" fontId="7" fillId="0" borderId="0"/>
    <xf numFmtId="0" fontId="7" fillId="42" borderId="48" applyNumberFormat="0" applyFont="0" applyAlignment="0" applyProtection="0"/>
    <xf numFmtId="0" fontId="50" fillId="0" borderId="50" applyNumberFormat="0" applyFill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37" fontId="7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42" borderId="48" applyNumberFormat="0" applyFont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5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37" fontId="7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37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40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2" fillId="0" borderId="0" applyBorder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365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49" fontId="10" fillId="4" borderId="1" xfId="0" quotePrefix="1" applyNumberFormat="1" applyFont="1" applyFill="1" applyBorder="1" applyAlignment="1" applyProtection="1">
      <alignment horizontal="left"/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quotePrefix="1" applyFont="1" applyAlignment="1" applyProtection="1"/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49" fontId="10" fillId="4" borderId="1" xfId="0" quotePrefix="1" applyNumberFormat="1" applyFont="1" applyFill="1" applyBorder="1" applyAlignment="1" applyProtection="1">
      <protection locked="0"/>
    </xf>
    <xf numFmtId="37" fontId="10" fillId="0" borderId="1" xfId="1" quotePrefix="1" applyNumberFormat="1" applyFont="1" applyFill="1" applyBorder="1" applyProtection="1">
      <protection locked="0"/>
    </xf>
    <xf numFmtId="37" fontId="10" fillId="0" borderId="1" xfId="0" quotePrefix="1" applyNumberFormat="1" applyFont="1" applyFill="1" applyBorder="1" applyProtection="1">
      <protection locked="0"/>
    </xf>
    <xf numFmtId="38" fontId="10" fillId="8" borderId="1" xfId="0" applyNumberFormat="1" applyFont="1" applyFill="1" applyBorder="1" applyProtection="1">
      <protection locked="0"/>
    </xf>
    <xf numFmtId="37" fontId="10" fillId="0" borderId="1" xfId="0" applyFont="1" applyFill="1" applyBorder="1" applyProtection="1">
      <protection locked="0"/>
    </xf>
    <xf numFmtId="38" fontId="10" fillId="0" borderId="1" xfId="0" applyNumberFormat="1" applyFont="1" applyFill="1" applyBorder="1" applyProtection="1">
      <protection locked="0"/>
    </xf>
    <xf numFmtId="39" fontId="10" fillId="0" borderId="1" xfId="0" quotePrefix="1" applyNumberFormat="1" applyFont="1" applyFill="1" applyBorder="1" applyProtection="1">
      <protection locked="0"/>
    </xf>
    <xf numFmtId="38" fontId="10" fillId="0" borderId="14" xfId="0" applyNumberFormat="1" applyFont="1" applyFill="1" applyBorder="1" applyProtection="1">
      <protection locked="0"/>
    </xf>
    <xf numFmtId="39" fontId="10" fillId="0" borderId="1" xfId="0" applyNumberFormat="1" applyFont="1" applyFill="1" applyBorder="1" applyProtection="1">
      <protection locked="0"/>
    </xf>
    <xf numFmtId="37" fontId="10" fillId="0" borderId="1" xfId="0" applyNumberFormat="1" applyFont="1" applyFill="1" applyBorder="1" applyAlignment="1" applyProtection="1">
      <protection locked="0"/>
    </xf>
    <xf numFmtId="38" fontId="10" fillId="0" borderId="1" xfId="0" applyNumberFormat="1" applyFont="1" applyFill="1" applyBorder="1" applyAlignment="1" applyProtection="1">
      <alignment horizontal="center"/>
      <protection locked="0"/>
    </xf>
    <xf numFmtId="37" fontId="4" fillId="0" borderId="0" xfId="0" quotePrefix="1" applyFont="1" applyAlignment="1" applyProtection="1"/>
    <xf numFmtId="2" fontId="4" fillId="0" borderId="0" xfId="0" applyNumberFormat="1" applyFo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7" fontId="4" fillId="0" borderId="0" xfId="0" quotePrefix="1" applyFont="1" applyAlignment="1" applyProtection="1"/>
    <xf numFmtId="1" fontId="4" fillId="0" borderId="0" xfId="0" applyNumberFormat="1" applyFont="1" applyAlignment="1" applyProtection="1">
      <alignment horizontal="center"/>
    </xf>
    <xf numFmtId="37" fontId="10" fillId="3" borderId="0" xfId="0" applyFont="1" applyFill="1" applyAlignment="1" applyProtection="1">
      <alignment horizontal="center" vertical="center"/>
    </xf>
  </cellXfs>
  <cellStyles count="622">
    <cellStyle name="20% - Accent1" xfId="22" builtinId="30" customBuiltin="1"/>
    <cellStyle name="20% - Accent1 2" xfId="56" xr:uid="{D084185E-71BC-4BF3-B3EC-E8FA30A53393}"/>
    <cellStyle name="20% - Accent1 3" xfId="136" xr:uid="{0AFC9B96-992B-40CD-8AA4-65E5B35C22D1}"/>
    <cellStyle name="20% - Accent1 3 2" xfId="232" xr:uid="{ABC9EF61-0435-4948-81A2-F6435DF500B5}"/>
    <cellStyle name="20% - Accent1 3 2 2" xfId="350" xr:uid="{FD2E84D6-482C-4D10-91DA-AE3EA555199D}"/>
    <cellStyle name="20% - Accent1 3 2 2 2" xfId="569" xr:uid="{9CFDB61A-D41A-4CE1-81C5-7C3B4C249116}"/>
    <cellStyle name="20% - Accent1 3 2 3" xfId="459" xr:uid="{55AB9CD0-5D53-4DA0-8570-277E6252F188}"/>
    <cellStyle name="20% - Accent1 3 3" xfId="307" xr:uid="{56538731-A6BD-4B53-BDBF-AC5032170DBE}"/>
    <cellStyle name="20% - Accent1 3 3 2" xfId="526" xr:uid="{F066B289-A1F0-4F59-B22D-B50108C20EAE}"/>
    <cellStyle name="20% - Accent1 3 4" xfId="416" xr:uid="{8EDC2044-B920-4716-8252-078506834010}"/>
    <cellStyle name="20% - Accent1 3 5" xfId="184" xr:uid="{A9349EA1-8C39-4C21-94C4-A2B5E71D33EA}"/>
    <cellStyle name="20% - Accent1 4" xfId="251" xr:uid="{DA05C210-E9CC-4F22-BC9C-593BABAFC6AB}"/>
    <cellStyle name="20% - Accent1 4 2" xfId="369" xr:uid="{3286181D-25DC-43FF-B62E-7768787935E9}"/>
    <cellStyle name="20% - Accent1 4 2 2" xfId="588" xr:uid="{B4C90C0A-B079-49A1-8964-98089B9245CF}"/>
    <cellStyle name="20% - Accent1 4 3" xfId="478" xr:uid="{FB221A0F-7BE0-4B83-980C-3FE4D3356EC1}"/>
    <cellStyle name="20% - Accent1 5" xfId="208" xr:uid="{75EAF5F4-9BB9-4038-9967-465E7F9433B9}"/>
    <cellStyle name="20% - Accent1 5 2" xfId="331" xr:uid="{2878F316-4638-4F0F-8F3E-421632E84783}"/>
    <cellStyle name="20% - Accent1 5 2 2" xfId="550" xr:uid="{66DBBF6A-29C7-4D59-9303-958D4C838871}"/>
    <cellStyle name="20% - Accent1 5 3" xfId="440" xr:uid="{ABE6764B-05EF-489C-BDC7-6D2BFFA95CAC}"/>
    <cellStyle name="20% - Accent1 6" xfId="282" xr:uid="{16A7EC18-3FD9-4F54-AD81-E92CEA21970D}"/>
    <cellStyle name="20% - Accent1 6 2" xfId="504" xr:uid="{F8E6FE4C-2150-4052-8604-0449AEFA7DB2}"/>
    <cellStyle name="20% - Accent1 7" xfId="394" xr:uid="{98B02D71-2763-41BB-AAFC-99277E331D06}"/>
    <cellStyle name="20% - Accent1 8" xfId="160" xr:uid="{190744C3-3642-46F4-AF17-944BA6A70E9A}"/>
    <cellStyle name="20% - Accent2" xfId="25" builtinId="34" customBuiltin="1"/>
    <cellStyle name="20% - Accent2 2" xfId="57" xr:uid="{9A57BF22-DEEF-44F7-812A-58BDA587319F}"/>
    <cellStyle name="20% - Accent2 3" xfId="138" xr:uid="{53C265AD-CC80-40DF-8392-387A1E4B304A}"/>
    <cellStyle name="20% - Accent2 3 2" xfId="234" xr:uid="{148B6B07-D9B7-4B2A-BFA8-1A2700BF2014}"/>
    <cellStyle name="20% - Accent2 3 2 2" xfId="352" xr:uid="{2B475CD4-59E5-4BCD-8CDE-9CBE35CD92A7}"/>
    <cellStyle name="20% - Accent2 3 2 2 2" xfId="571" xr:uid="{4BBE48BE-4EA6-4123-AC58-4FD49460D0E9}"/>
    <cellStyle name="20% - Accent2 3 2 3" xfId="461" xr:uid="{3CCBB94A-49B9-408D-9161-4EF31738F294}"/>
    <cellStyle name="20% - Accent2 3 3" xfId="309" xr:uid="{8D9A83ED-4256-49E9-860A-0150F94959E1}"/>
    <cellStyle name="20% - Accent2 3 3 2" xfId="528" xr:uid="{F0F6595B-AE50-46F3-B529-81B1D4C2F097}"/>
    <cellStyle name="20% - Accent2 3 4" xfId="418" xr:uid="{46C1D515-9C25-4E58-8711-96BAECC49CD9}"/>
    <cellStyle name="20% - Accent2 3 5" xfId="186" xr:uid="{C3567E58-7F11-43F6-BAD4-BBF4A26573BC}"/>
    <cellStyle name="20% - Accent2 4" xfId="253" xr:uid="{21E5FFD0-CB02-4E57-AAC9-0E9C567461CF}"/>
    <cellStyle name="20% - Accent2 4 2" xfId="371" xr:uid="{C99CAF60-C1FB-4CC7-B666-6374A8215220}"/>
    <cellStyle name="20% - Accent2 4 2 2" xfId="590" xr:uid="{682AC66F-D427-4C5D-9489-195B01DE2F41}"/>
    <cellStyle name="20% - Accent2 4 3" xfId="480" xr:uid="{75FE2253-65F0-4CE7-8645-31C7375D4F74}"/>
    <cellStyle name="20% - Accent2 5" xfId="210" xr:uid="{204F4195-614E-4AF8-997C-88C21AAB1688}"/>
    <cellStyle name="20% - Accent2 5 2" xfId="333" xr:uid="{09184F02-14CE-4B65-9A75-414AAAB946B4}"/>
    <cellStyle name="20% - Accent2 5 2 2" xfId="552" xr:uid="{F6DFB60C-FFC6-4493-AF41-F4E2D0F22B4E}"/>
    <cellStyle name="20% - Accent2 5 3" xfId="442" xr:uid="{BB225864-3079-4D93-A259-4D063CCB162B}"/>
    <cellStyle name="20% - Accent2 6" xfId="284" xr:uid="{E7803FEF-4949-4BB9-9B87-550259168631}"/>
    <cellStyle name="20% - Accent2 6 2" xfId="506" xr:uid="{D5B709DE-79C5-41EA-8DB3-4DA4CBF71D67}"/>
    <cellStyle name="20% - Accent2 7" xfId="396" xr:uid="{10DC1413-4720-4905-8277-9D57CAAA3435}"/>
    <cellStyle name="20% - Accent2 8" xfId="162" xr:uid="{F7ED5C52-B2E9-4D4A-896A-BAC22A32FBF3}"/>
    <cellStyle name="20% - Accent3" xfId="28" builtinId="38" customBuiltin="1"/>
    <cellStyle name="20% - Accent3 2" xfId="58" xr:uid="{19E57893-0D59-4E68-8B4C-9E03BDFD475B}"/>
    <cellStyle name="20% - Accent3 3" xfId="140" xr:uid="{2DA18198-C2D5-4DF1-AAE1-E0BA9DA84E8D}"/>
    <cellStyle name="20% - Accent3 3 2" xfId="236" xr:uid="{1372DEA8-D89E-474B-9880-AEDCF37FA5E6}"/>
    <cellStyle name="20% - Accent3 3 2 2" xfId="354" xr:uid="{FAA14550-D9F6-4991-A082-E9A4504E68F7}"/>
    <cellStyle name="20% - Accent3 3 2 2 2" xfId="573" xr:uid="{6DF25E6C-D6D3-441D-A561-0DCC16F84D90}"/>
    <cellStyle name="20% - Accent3 3 2 3" xfId="463" xr:uid="{6603B314-4400-480C-90C3-309080349C8C}"/>
    <cellStyle name="20% - Accent3 3 3" xfId="311" xr:uid="{10EF7D05-1C87-4CF9-A401-1BBCD9D0EADC}"/>
    <cellStyle name="20% - Accent3 3 3 2" xfId="530" xr:uid="{EA77707F-8A77-4A21-91C5-DF668EED9959}"/>
    <cellStyle name="20% - Accent3 3 4" xfId="420" xr:uid="{0E7FCC6D-3B29-4A43-8F49-3AC7F37F1DF7}"/>
    <cellStyle name="20% - Accent3 3 5" xfId="188" xr:uid="{B209A67B-9BCF-462A-9A50-B17EAE4AAF27}"/>
    <cellStyle name="20% - Accent3 4" xfId="255" xr:uid="{538837F6-8F36-4D24-9714-161239280595}"/>
    <cellStyle name="20% - Accent3 4 2" xfId="373" xr:uid="{6B721305-AD2F-461E-9662-D25B498A6421}"/>
    <cellStyle name="20% - Accent3 4 2 2" xfId="592" xr:uid="{07DF81F4-E21D-42B1-ACF1-056E96D67ED1}"/>
    <cellStyle name="20% - Accent3 4 3" xfId="482" xr:uid="{8BCCEFC7-8F10-4D40-86B8-1BD753187063}"/>
    <cellStyle name="20% - Accent3 5" xfId="212" xr:uid="{629011D0-27F2-4098-81DA-F81F5C8D4834}"/>
    <cellStyle name="20% - Accent3 5 2" xfId="335" xr:uid="{66A1AEB3-0763-4CC9-8469-BE3C4342DC5D}"/>
    <cellStyle name="20% - Accent3 5 2 2" xfId="554" xr:uid="{03C9CC13-F309-4D40-9E16-901C822CDFC5}"/>
    <cellStyle name="20% - Accent3 5 3" xfId="444" xr:uid="{7A1B7507-ABC0-4176-8716-96CA61985EE0}"/>
    <cellStyle name="20% - Accent3 6" xfId="286" xr:uid="{79877AD0-5D58-4603-99C5-36D41131C574}"/>
    <cellStyle name="20% - Accent3 6 2" xfId="508" xr:uid="{13F49612-8FD5-4E44-9FE9-A875F413B1B2}"/>
    <cellStyle name="20% - Accent3 7" xfId="398" xr:uid="{ACC7C64A-29B1-49EF-A728-5C911A3C2C9D}"/>
    <cellStyle name="20% - Accent3 8" xfId="164" xr:uid="{C69D52EF-599C-4729-B783-438B218CAA98}"/>
    <cellStyle name="20% - Accent4" xfId="31" builtinId="42" customBuiltin="1"/>
    <cellStyle name="20% - Accent4 2" xfId="59" xr:uid="{05AC42F0-8558-465C-BFDC-7F8D38A45661}"/>
    <cellStyle name="20% - Accent4 3" xfId="142" xr:uid="{BEFE73D8-CC4E-450B-97AE-C41AFB142987}"/>
    <cellStyle name="20% - Accent4 3 2" xfId="238" xr:uid="{1710F71B-E15D-4424-8D95-ED96A71755D4}"/>
    <cellStyle name="20% - Accent4 3 2 2" xfId="356" xr:uid="{6D07D1C6-7139-48EC-81F6-958B1EECF1C2}"/>
    <cellStyle name="20% - Accent4 3 2 2 2" xfId="575" xr:uid="{A1842569-401C-43F5-A862-51F288D48E5F}"/>
    <cellStyle name="20% - Accent4 3 2 3" xfId="465" xr:uid="{2081D67A-2352-4409-843B-9CF28C5C5FD6}"/>
    <cellStyle name="20% - Accent4 3 3" xfId="313" xr:uid="{021A4EFA-AA6D-442B-98C6-1E4672918D01}"/>
    <cellStyle name="20% - Accent4 3 3 2" xfId="532" xr:uid="{D1EE5290-F962-4F9C-834F-81FA179F0299}"/>
    <cellStyle name="20% - Accent4 3 4" xfId="422" xr:uid="{5625FCCF-FD79-4BC2-B006-AE79880ACCAB}"/>
    <cellStyle name="20% - Accent4 3 5" xfId="190" xr:uid="{2E84E554-E7FD-4B0D-9897-7489AF1E5094}"/>
    <cellStyle name="20% - Accent4 4" xfId="258" xr:uid="{754E3102-6A6A-4D65-8FF2-BA7440FC91FB}"/>
    <cellStyle name="20% - Accent4 4 2" xfId="375" xr:uid="{E4ABC5C6-EBFD-4A95-AFA6-3E4DF0BEF615}"/>
    <cellStyle name="20% - Accent4 4 2 2" xfId="594" xr:uid="{2E0E8396-5AD6-4DCA-86F3-549BDF0A645E}"/>
    <cellStyle name="20% - Accent4 4 3" xfId="484" xr:uid="{2ABAFAC5-F9AB-4A24-82F9-BBE50C6866FD}"/>
    <cellStyle name="20% - Accent4 5" xfId="214" xr:uid="{6F586268-D7F4-4F62-8A82-2DA06A4ECB94}"/>
    <cellStyle name="20% - Accent4 5 2" xfId="337" xr:uid="{4ABA114E-2113-4D96-89CB-FC787DEFD647}"/>
    <cellStyle name="20% - Accent4 5 2 2" xfId="556" xr:uid="{AFA12460-3726-4B07-BB36-F987AE0AF49D}"/>
    <cellStyle name="20% - Accent4 5 3" xfId="446" xr:uid="{B041061B-C55C-4D48-BE36-EADBDEF02716}"/>
    <cellStyle name="20% - Accent4 6" xfId="288" xr:uid="{AD3DE860-2216-46CF-A0B5-9D5B323A0A56}"/>
    <cellStyle name="20% - Accent4 6 2" xfId="510" xr:uid="{1BA69C28-1C00-4C2C-9E1E-01FF46185D53}"/>
    <cellStyle name="20% - Accent4 7" xfId="400" xr:uid="{C5E388F0-94B2-446D-B72C-A53DF14309F4}"/>
    <cellStyle name="20% - Accent4 8" xfId="166" xr:uid="{98CBF54F-3937-40C5-BCB2-C24ACCB2EF4B}"/>
    <cellStyle name="20% - Accent5" xfId="34" builtinId="46" customBuiltin="1"/>
    <cellStyle name="20% - Accent5 2" xfId="60" xr:uid="{73DEA4DD-5233-442F-8FE9-4ADF0692E2CC}"/>
    <cellStyle name="20% - Accent5 3" xfId="144" xr:uid="{5182AAAD-3B37-4168-AAE1-CD0FE78F3AB7}"/>
    <cellStyle name="20% - Accent5 3 2" xfId="240" xr:uid="{F29F4185-9169-4FB2-B058-7B782CB00E46}"/>
    <cellStyle name="20% - Accent5 3 2 2" xfId="358" xr:uid="{9B6DCC34-D2EA-4650-BFDE-0DFEBD751CBD}"/>
    <cellStyle name="20% - Accent5 3 2 2 2" xfId="577" xr:uid="{765CFEF1-232C-47CD-931D-7302DF6D0B6D}"/>
    <cellStyle name="20% - Accent5 3 2 3" xfId="467" xr:uid="{DFB3BFFB-E824-4DDD-8998-20708B1FBF85}"/>
    <cellStyle name="20% - Accent5 3 3" xfId="315" xr:uid="{926A5586-6D72-400F-97D1-F15E0679A0F8}"/>
    <cellStyle name="20% - Accent5 3 3 2" xfId="534" xr:uid="{627FCA6E-19CF-4B76-8B4D-1F721F857854}"/>
    <cellStyle name="20% - Accent5 3 4" xfId="424" xr:uid="{048BE937-D2CB-4F8C-A79F-ECAA2C43B3A6}"/>
    <cellStyle name="20% - Accent5 3 5" xfId="192" xr:uid="{CDF1C9BA-676B-4A41-BFAC-CDE82C2B5F6C}"/>
    <cellStyle name="20% - Accent5 4" xfId="260" xr:uid="{66B75DAE-7222-4756-926D-599A02E762EF}"/>
    <cellStyle name="20% - Accent5 4 2" xfId="377" xr:uid="{048F178D-BDB0-4A70-9202-E8212DADD2A8}"/>
    <cellStyle name="20% - Accent5 4 2 2" xfId="596" xr:uid="{6C2CD49D-BB3D-44EE-8A91-EEE291AAC34C}"/>
    <cellStyle name="20% - Accent5 4 3" xfId="486" xr:uid="{93CA7F1B-9C6B-45BB-8AE9-822AD78F96F4}"/>
    <cellStyle name="20% - Accent5 5" xfId="216" xr:uid="{511FF3AD-792A-4B56-9897-B9E7566F1B6D}"/>
    <cellStyle name="20% - Accent5 5 2" xfId="339" xr:uid="{0E665260-9615-4F74-9CA8-CF7ADBD1C9D6}"/>
    <cellStyle name="20% - Accent5 5 2 2" xfId="558" xr:uid="{D53064D4-C239-4E6A-84DB-FA9D0249A05F}"/>
    <cellStyle name="20% - Accent5 5 3" xfId="448" xr:uid="{22DFBC5E-FEB9-400B-9497-016C45E9F92B}"/>
    <cellStyle name="20% - Accent5 6" xfId="290" xr:uid="{905BC504-6B79-48C5-A1B7-AF8803111E31}"/>
    <cellStyle name="20% - Accent5 6 2" xfId="512" xr:uid="{927F09AB-AB8C-4D08-B88E-DE93E085F785}"/>
    <cellStyle name="20% - Accent5 7" xfId="402" xr:uid="{48449F4F-9DE6-4C9D-AE24-8835E591FDBD}"/>
    <cellStyle name="20% - Accent5 8" xfId="168" xr:uid="{B4468CE0-0635-4F05-829B-C0293756665A}"/>
    <cellStyle name="20% - Accent6" xfId="37" builtinId="50" customBuiltin="1"/>
    <cellStyle name="20% - Accent6 2" xfId="61" xr:uid="{08DAC4E3-A7CE-4E86-A474-4265ED338F75}"/>
    <cellStyle name="20% - Accent6 3" xfId="146" xr:uid="{D473CCB5-A972-4458-8BDC-DDA5BE2D70D6}"/>
    <cellStyle name="20% - Accent6 3 2" xfId="242" xr:uid="{2D02EBEB-1169-4306-A2DE-AB9F0D3155F0}"/>
    <cellStyle name="20% - Accent6 3 2 2" xfId="360" xr:uid="{AAC5D79A-7DF6-42E0-9422-804E568963B2}"/>
    <cellStyle name="20% - Accent6 3 2 2 2" xfId="579" xr:uid="{F2C2D15E-E7D6-44A1-BF0E-DC96180AC8DC}"/>
    <cellStyle name="20% - Accent6 3 2 3" xfId="469" xr:uid="{70B308F0-D391-47AA-A92A-908D18EA12AE}"/>
    <cellStyle name="20% - Accent6 3 3" xfId="317" xr:uid="{42AB950B-5AD1-49DC-9DD1-DF810CC77FE3}"/>
    <cellStyle name="20% - Accent6 3 3 2" xfId="536" xr:uid="{E13551F0-2222-4478-9F72-ADC3E49156AD}"/>
    <cellStyle name="20% - Accent6 3 4" xfId="426" xr:uid="{A7FF45BD-DC5B-4214-813F-273EF3C250B8}"/>
    <cellStyle name="20% - Accent6 3 5" xfId="194" xr:uid="{5EA688F4-266E-4D63-9546-16CA8622D913}"/>
    <cellStyle name="20% - Accent6 4" xfId="262" xr:uid="{AA3EF9D5-FF53-4E24-8674-01062225EE3E}"/>
    <cellStyle name="20% - Accent6 4 2" xfId="379" xr:uid="{24D39051-C762-40DC-A22B-6DF12C90B135}"/>
    <cellStyle name="20% - Accent6 4 2 2" xfId="598" xr:uid="{7A688328-BE3B-47C9-9D4A-18F286492478}"/>
    <cellStyle name="20% - Accent6 4 3" xfId="488" xr:uid="{3DCEA69A-D8E7-474C-872A-A37E13961BED}"/>
    <cellStyle name="20% - Accent6 5" xfId="218" xr:uid="{92550FCE-B5BD-433F-9BA0-5D074D216325}"/>
    <cellStyle name="20% - Accent6 5 2" xfId="341" xr:uid="{1B5774BF-E95F-43F5-8D9D-74128B417987}"/>
    <cellStyle name="20% - Accent6 5 2 2" xfId="560" xr:uid="{FF9849D8-BFF6-43D5-ACA6-18972B818260}"/>
    <cellStyle name="20% - Accent6 5 3" xfId="450" xr:uid="{D8C4F781-D1C4-4B18-AEE4-4B6EFB1DFC22}"/>
    <cellStyle name="20% - Accent6 6" xfId="292" xr:uid="{4ED90CEA-A2DF-44D2-B5B6-98592C17803E}"/>
    <cellStyle name="20% - Accent6 6 2" xfId="514" xr:uid="{8E675258-1600-4EEB-9970-1605E497F712}"/>
    <cellStyle name="20% - Accent6 7" xfId="404" xr:uid="{F4EF7722-51B1-45F2-9A7B-7D2FFC6A691D}"/>
    <cellStyle name="20% - Accent6 8" xfId="170" xr:uid="{5C3637B5-71C6-49B7-9DEA-FDC3DEA1D154}"/>
    <cellStyle name="40% - Accent1" xfId="23" builtinId="31" customBuiltin="1"/>
    <cellStyle name="40% - Accent1 2" xfId="62" xr:uid="{B9A02EC5-9CA8-4DCA-B03A-846A9D29340F}"/>
    <cellStyle name="40% - Accent1 3" xfId="137" xr:uid="{195A9B7F-A536-427E-9C82-4977126035FF}"/>
    <cellStyle name="40% - Accent1 3 2" xfId="233" xr:uid="{A3B3D19C-69E1-4E44-A450-FC8E7D205613}"/>
    <cellStyle name="40% - Accent1 3 2 2" xfId="351" xr:uid="{885A2375-6EC5-4853-982B-BEB9F5FC3A3D}"/>
    <cellStyle name="40% - Accent1 3 2 2 2" xfId="570" xr:uid="{0645C82C-6DFE-46F3-A553-9B7DA4E02EF5}"/>
    <cellStyle name="40% - Accent1 3 2 3" xfId="460" xr:uid="{D47C5B65-2EA2-4EEF-8DBD-E89B22066934}"/>
    <cellStyle name="40% - Accent1 3 3" xfId="308" xr:uid="{6E3BE96C-3C74-479C-9ED9-5D058E6335B3}"/>
    <cellStyle name="40% - Accent1 3 3 2" xfId="527" xr:uid="{EB43D66F-4A25-4E11-8588-541EA05D4991}"/>
    <cellStyle name="40% - Accent1 3 4" xfId="417" xr:uid="{0F6B0F44-5DE4-430F-8577-7B0E55F4918C}"/>
    <cellStyle name="40% - Accent1 3 5" xfId="185" xr:uid="{B29FCC87-D3B9-4F0B-9CFF-F7C65129DF49}"/>
    <cellStyle name="40% - Accent1 4" xfId="252" xr:uid="{7A52AD8A-8725-4154-8A15-96F0CCE85803}"/>
    <cellStyle name="40% - Accent1 4 2" xfId="370" xr:uid="{2683D451-A1E7-48D5-9F3A-D3C88E10841D}"/>
    <cellStyle name="40% - Accent1 4 2 2" xfId="589" xr:uid="{C6564B05-B1B7-4B4F-8A47-BE2500958A95}"/>
    <cellStyle name="40% - Accent1 4 3" xfId="479" xr:uid="{2FEC8A17-D514-4D78-B112-2D8D4B276003}"/>
    <cellStyle name="40% - Accent1 5" xfId="209" xr:uid="{48283FC9-F54E-4015-A9A0-480205595B07}"/>
    <cellStyle name="40% - Accent1 5 2" xfId="332" xr:uid="{70DBE2AC-F576-4F0C-8EDC-B2D9B96468B6}"/>
    <cellStyle name="40% - Accent1 5 2 2" xfId="551" xr:uid="{B80A8727-337E-44BB-B9A1-274905757BBD}"/>
    <cellStyle name="40% - Accent1 5 3" xfId="441" xr:uid="{6A2B3F6F-6A16-45B0-B5B7-E80D2116CCC2}"/>
    <cellStyle name="40% - Accent1 6" xfId="283" xr:uid="{5A79BD18-6D4C-4C48-82E9-5D64F85A71BA}"/>
    <cellStyle name="40% - Accent1 6 2" xfId="505" xr:uid="{C5378757-D88B-40BF-964B-82833D43C15E}"/>
    <cellStyle name="40% - Accent1 7" xfId="395" xr:uid="{DD6A9C55-7F4D-44D2-B40A-61BAA75F4D78}"/>
    <cellStyle name="40% - Accent1 8" xfId="161" xr:uid="{96653F3C-B1BA-449C-9EB8-2B9B649DE981}"/>
    <cellStyle name="40% - Accent2" xfId="26" builtinId="35" customBuiltin="1"/>
    <cellStyle name="40% - Accent2 2" xfId="63" xr:uid="{2B7FA2F9-16E9-4261-97BC-56D932BC19FF}"/>
    <cellStyle name="40% - Accent2 3" xfId="139" xr:uid="{141BE5C3-7C0C-4F55-B7A6-11715B71C2EE}"/>
    <cellStyle name="40% - Accent2 3 2" xfId="235" xr:uid="{FC06BD96-0129-486A-AB9D-0BFF3DDB7312}"/>
    <cellStyle name="40% - Accent2 3 2 2" xfId="353" xr:uid="{95A89DB5-AEE6-47B0-9063-34EFA2E97556}"/>
    <cellStyle name="40% - Accent2 3 2 2 2" xfId="572" xr:uid="{44CB54B4-BC52-4A31-9FBB-EA3B6DC93F8F}"/>
    <cellStyle name="40% - Accent2 3 2 3" xfId="462" xr:uid="{F3D43FE5-31AE-4A9B-91F3-C9CE2D1FFBEA}"/>
    <cellStyle name="40% - Accent2 3 3" xfId="310" xr:uid="{8032AEFD-C67F-426F-A84E-F19DD5247B02}"/>
    <cellStyle name="40% - Accent2 3 3 2" xfId="529" xr:uid="{7CC01588-48DE-402A-B297-FA36F21224C5}"/>
    <cellStyle name="40% - Accent2 3 4" xfId="419" xr:uid="{B168E1B6-026D-45F6-93E1-74A99F3EC93C}"/>
    <cellStyle name="40% - Accent2 3 5" xfId="187" xr:uid="{66217D41-6F81-4220-830E-BFB602D2C0B1}"/>
    <cellStyle name="40% - Accent2 4" xfId="254" xr:uid="{BE8C4C37-3996-4997-BE18-CFE9BAF78F10}"/>
    <cellStyle name="40% - Accent2 4 2" xfId="372" xr:uid="{307EE2C2-B7CE-45B9-9DF4-CA14B73EE877}"/>
    <cellStyle name="40% - Accent2 4 2 2" xfId="591" xr:uid="{54504F38-685D-4314-A97E-B327A97A34AD}"/>
    <cellStyle name="40% - Accent2 4 3" xfId="481" xr:uid="{F219E057-53AB-43B4-8F49-008617623ED4}"/>
    <cellStyle name="40% - Accent2 5" xfId="211" xr:uid="{9489BD89-0C2B-4329-8CB4-214B20C4BD9D}"/>
    <cellStyle name="40% - Accent2 5 2" xfId="334" xr:uid="{95B2C1C0-AC18-4B18-A6BD-E5DB39759EDF}"/>
    <cellStyle name="40% - Accent2 5 2 2" xfId="553" xr:uid="{DCE9DF20-2A92-4DF6-ACE8-029E0167B167}"/>
    <cellStyle name="40% - Accent2 5 3" xfId="443" xr:uid="{07B315F2-F1AC-4E00-B630-97E6D7C5E113}"/>
    <cellStyle name="40% - Accent2 6" xfId="285" xr:uid="{DCC92420-AB9D-475C-9E41-232C91830898}"/>
    <cellStyle name="40% - Accent2 6 2" xfId="507" xr:uid="{0673E0F7-C9ED-464C-A7D8-1D5B1E48E3A4}"/>
    <cellStyle name="40% - Accent2 7" xfId="397" xr:uid="{EF3E7E4B-A4E8-4065-94A7-E056CDEDBFF7}"/>
    <cellStyle name="40% - Accent2 8" xfId="163" xr:uid="{B5655A95-9FFF-4AC7-8513-D147DFEB6962}"/>
    <cellStyle name="40% - Accent3" xfId="29" builtinId="39" customBuiltin="1"/>
    <cellStyle name="40% - Accent3 2" xfId="64" xr:uid="{726099E5-64F9-428D-98D1-0F355C24B7F2}"/>
    <cellStyle name="40% - Accent3 3" xfId="141" xr:uid="{6E542591-80EB-4DE3-94A8-F90F241B9668}"/>
    <cellStyle name="40% - Accent3 3 2" xfId="237" xr:uid="{7986FDE2-19FF-4FBB-BCD3-2DC449A6F944}"/>
    <cellStyle name="40% - Accent3 3 2 2" xfId="355" xr:uid="{DCB9659F-6D8D-4E7D-9B3B-F78980A5CEE3}"/>
    <cellStyle name="40% - Accent3 3 2 2 2" xfId="574" xr:uid="{5A278BF1-C10C-4109-BD7E-7675CD46BC06}"/>
    <cellStyle name="40% - Accent3 3 2 3" xfId="464" xr:uid="{73A8239F-11C7-463C-81FA-8B61F3F3AD76}"/>
    <cellStyle name="40% - Accent3 3 3" xfId="312" xr:uid="{7C6A083E-9C58-4ACD-9340-640945466B80}"/>
    <cellStyle name="40% - Accent3 3 3 2" xfId="531" xr:uid="{7D315408-ADA9-45EA-A155-69158B6D3E06}"/>
    <cellStyle name="40% - Accent3 3 4" xfId="421" xr:uid="{45A7EA8A-40C3-4355-B3D9-890CCB52A6F5}"/>
    <cellStyle name="40% - Accent3 3 5" xfId="189" xr:uid="{9683ECAA-A3AF-4C58-A6DC-8432170BED5F}"/>
    <cellStyle name="40% - Accent3 4" xfId="256" xr:uid="{0874A436-1BC9-4172-8026-1BCFD1D6D5DA}"/>
    <cellStyle name="40% - Accent3 4 2" xfId="374" xr:uid="{ECB66400-DA3F-4BE6-A7A4-935754901B47}"/>
    <cellStyle name="40% - Accent3 4 2 2" xfId="593" xr:uid="{926C9F6F-3B73-4956-AC46-5FC86F959F05}"/>
    <cellStyle name="40% - Accent3 4 3" xfId="483" xr:uid="{317074C9-5CDA-4E5F-9F13-E8E06787CB80}"/>
    <cellStyle name="40% - Accent3 5" xfId="213" xr:uid="{0CCECDD4-8229-40AB-81DD-4A50A5B98207}"/>
    <cellStyle name="40% - Accent3 5 2" xfId="336" xr:uid="{332DA1A4-D3D8-4591-A791-A7ECAD7977F2}"/>
    <cellStyle name="40% - Accent3 5 2 2" xfId="555" xr:uid="{B119CFA3-A3C6-43C0-93F1-4C3FA7F1877B}"/>
    <cellStyle name="40% - Accent3 5 3" xfId="445" xr:uid="{F8B7531D-C50B-47FB-9FDC-6904E5122E44}"/>
    <cellStyle name="40% - Accent3 6" xfId="287" xr:uid="{E077DDDA-2743-4529-B9D2-1EAC4325286B}"/>
    <cellStyle name="40% - Accent3 6 2" xfId="509" xr:uid="{3183E00E-7B03-4EFE-875D-2D6324977905}"/>
    <cellStyle name="40% - Accent3 7" xfId="399" xr:uid="{7F2E03D0-974E-486F-AEC1-9D1A5A4CAC5B}"/>
    <cellStyle name="40% - Accent3 8" xfId="165" xr:uid="{78CA50F2-AB52-4498-B8BF-E03C01C3B3BD}"/>
    <cellStyle name="40% - Accent4" xfId="32" builtinId="43" customBuiltin="1"/>
    <cellStyle name="40% - Accent4 2" xfId="65" xr:uid="{DE748650-A95B-4A37-8069-BA210D0E9D14}"/>
    <cellStyle name="40% - Accent4 3" xfId="143" xr:uid="{F90DDCB4-5DB0-43C3-8F14-3C3ABF9D28C4}"/>
    <cellStyle name="40% - Accent4 3 2" xfId="239" xr:uid="{4024DE09-0186-46D9-B422-AA32F1AFFBA2}"/>
    <cellStyle name="40% - Accent4 3 2 2" xfId="357" xr:uid="{951345BA-168F-4B9C-BC5F-CFAABA244F16}"/>
    <cellStyle name="40% - Accent4 3 2 2 2" xfId="576" xr:uid="{670D1032-35AC-4C65-8526-0075A37505D4}"/>
    <cellStyle name="40% - Accent4 3 2 3" xfId="466" xr:uid="{015024B7-AE50-4EF1-9589-D57C8AE67724}"/>
    <cellStyle name="40% - Accent4 3 3" xfId="314" xr:uid="{9D4BDE78-1C8F-4646-A096-2747200689D3}"/>
    <cellStyle name="40% - Accent4 3 3 2" xfId="533" xr:uid="{3F2F86C6-DEA1-4699-9B28-E64F244F4B0B}"/>
    <cellStyle name="40% - Accent4 3 4" xfId="423" xr:uid="{43302843-8848-4C27-9E0C-DB66C539E1E3}"/>
    <cellStyle name="40% - Accent4 3 5" xfId="191" xr:uid="{38071107-2260-4C49-AD5E-4C70395C727D}"/>
    <cellStyle name="40% - Accent4 4" xfId="259" xr:uid="{DDED1945-58EC-405C-BCD6-63E6C6404DCC}"/>
    <cellStyle name="40% - Accent4 4 2" xfId="376" xr:uid="{3592F003-9DE4-4C65-9B45-64590BE060C3}"/>
    <cellStyle name="40% - Accent4 4 2 2" xfId="595" xr:uid="{592EE207-DD88-418C-87DE-D50DF47310D0}"/>
    <cellStyle name="40% - Accent4 4 3" xfId="485" xr:uid="{519E3EDE-72E5-40BB-8EE1-B6058EA30D42}"/>
    <cellStyle name="40% - Accent4 5" xfId="215" xr:uid="{ECF040C4-EBE0-4A49-98AA-34E9D2533817}"/>
    <cellStyle name="40% - Accent4 5 2" xfId="338" xr:uid="{E17CB543-02E3-4799-BC86-C1179DC97DBD}"/>
    <cellStyle name="40% - Accent4 5 2 2" xfId="557" xr:uid="{C2A1EB69-7640-42A3-B609-D1561D6A5845}"/>
    <cellStyle name="40% - Accent4 5 3" xfId="447" xr:uid="{68AFD576-15EC-48FF-AE6B-D89AA2E38D20}"/>
    <cellStyle name="40% - Accent4 6" xfId="289" xr:uid="{941875E7-1F1C-4EA7-B0B5-C9FDDCCD36C9}"/>
    <cellStyle name="40% - Accent4 6 2" xfId="511" xr:uid="{BE3292CE-89F7-4561-9AD6-CC603F783C11}"/>
    <cellStyle name="40% - Accent4 7" xfId="401" xr:uid="{B1021D00-1FAF-495E-BC0A-626B21A041CE}"/>
    <cellStyle name="40% - Accent4 8" xfId="167" xr:uid="{25C21948-CD46-49D6-B6E3-8534CAFC166C}"/>
    <cellStyle name="40% - Accent5" xfId="35" builtinId="47" customBuiltin="1"/>
    <cellStyle name="40% - Accent5 2" xfId="66" xr:uid="{F6AF2FB2-6A19-4618-BEA1-3E52069E2B08}"/>
    <cellStyle name="40% - Accent5 3" xfId="145" xr:uid="{620FF6E9-3E02-47F9-B83B-BB37E46D73A3}"/>
    <cellStyle name="40% - Accent5 3 2" xfId="241" xr:uid="{50D8755D-93F7-4F68-9CAF-9373394860C1}"/>
    <cellStyle name="40% - Accent5 3 2 2" xfId="359" xr:uid="{D061121B-DEB2-447B-B953-FF204B565689}"/>
    <cellStyle name="40% - Accent5 3 2 2 2" xfId="578" xr:uid="{FF54F160-C3A6-4ECA-ABB0-10C57C3606DB}"/>
    <cellStyle name="40% - Accent5 3 2 3" xfId="468" xr:uid="{ADEE128F-5189-42DA-8B21-0E1C55D3C756}"/>
    <cellStyle name="40% - Accent5 3 3" xfId="316" xr:uid="{48772081-3ED1-498F-BF99-B4BC5A02857B}"/>
    <cellStyle name="40% - Accent5 3 3 2" xfId="535" xr:uid="{A37BB121-8736-4737-99A2-93BA45EFD550}"/>
    <cellStyle name="40% - Accent5 3 4" xfId="425" xr:uid="{624B00CC-983D-4BA4-919B-6B6F7EF237FF}"/>
    <cellStyle name="40% - Accent5 3 5" xfId="193" xr:uid="{61AFEC5B-62E8-4523-9D12-F405F49DC32E}"/>
    <cellStyle name="40% - Accent5 4" xfId="261" xr:uid="{CEF6F62D-9EF7-4F7E-AF5D-01EB6570DD42}"/>
    <cellStyle name="40% - Accent5 4 2" xfId="378" xr:uid="{E4011C89-E04A-4E40-924B-23B3A78AECF1}"/>
    <cellStyle name="40% - Accent5 4 2 2" xfId="597" xr:uid="{B5AB89C4-C9E9-401A-860D-0E46F0134303}"/>
    <cellStyle name="40% - Accent5 4 3" xfId="487" xr:uid="{0F75C7BB-2CC3-432D-88C3-7337B520E3B9}"/>
    <cellStyle name="40% - Accent5 5" xfId="217" xr:uid="{0EB85706-C2B1-43F1-8E1C-285044B7CD8B}"/>
    <cellStyle name="40% - Accent5 5 2" xfId="340" xr:uid="{CE5597F6-20B5-450A-8A4E-988F99C9DE2D}"/>
    <cellStyle name="40% - Accent5 5 2 2" xfId="559" xr:uid="{D8D7C35E-0B39-4674-B8FD-1048F4CED131}"/>
    <cellStyle name="40% - Accent5 5 3" xfId="449" xr:uid="{447C55B6-869B-4DAE-A219-E725CF2D836C}"/>
    <cellStyle name="40% - Accent5 6" xfId="291" xr:uid="{7835C7B8-8918-494E-AE96-DAD8E34EDEDA}"/>
    <cellStyle name="40% - Accent5 6 2" xfId="513" xr:uid="{4AF84A98-C1D0-4CBD-B2B1-9AE29723C3A9}"/>
    <cellStyle name="40% - Accent5 7" xfId="403" xr:uid="{41F9ABE9-0D7F-485F-A93B-987FF82A733C}"/>
    <cellStyle name="40% - Accent5 8" xfId="169" xr:uid="{203D0526-605C-473A-B077-01D138FDCEF1}"/>
    <cellStyle name="40% - Accent6" xfId="38" builtinId="51" customBuiltin="1"/>
    <cellStyle name="40% - Accent6 2" xfId="67" xr:uid="{A8F49515-AA7C-4A4D-B7A1-AAB698C08462}"/>
    <cellStyle name="40% - Accent6 3" xfId="147" xr:uid="{331E7384-C275-4616-9CCC-62E36CDA8782}"/>
    <cellStyle name="40% - Accent6 3 2" xfId="243" xr:uid="{0F6DD1FE-E6F1-4B22-B8D5-B98E21F61907}"/>
    <cellStyle name="40% - Accent6 3 2 2" xfId="361" xr:uid="{76DB3CBE-DBDE-43F3-9153-1A233434F2CF}"/>
    <cellStyle name="40% - Accent6 3 2 2 2" xfId="580" xr:uid="{4C50CF0D-3C06-4875-B674-CF0DDC1985F1}"/>
    <cellStyle name="40% - Accent6 3 2 3" xfId="470" xr:uid="{40CCFF2E-88A9-479A-8C7B-986993BB984C}"/>
    <cellStyle name="40% - Accent6 3 3" xfId="318" xr:uid="{3AC8B0A0-9422-49C4-97F3-33E2CAFBFF77}"/>
    <cellStyle name="40% - Accent6 3 3 2" xfId="537" xr:uid="{D44C5C63-80C9-4152-9E61-58FFA3145CC7}"/>
    <cellStyle name="40% - Accent6 3 4" xfId="427" xr:uid="{FF651158-A762-4903-A943-FEDEAADEF312}"/>
    <cellStyle name="40% - Accent6 3 5" xfId="195" xr:uid="{D539B249-C13D-4651-9EE1-1894592C7EA1}"/>
    <cellStyle name="40% - Accent6 4" xfId="263" xr:uid="{42C28896-2C71-44B2-A0BE-0F856F176568}"/>
    <cellStyle name="40% - Accent6 4 2" xfId="380" xr:uid="{8FD4CF47-CBF6-4022-887F-D8B9B377C235}"/>
    <cellStyle name="40% - Accent6 4 2 2" xfId="599" xr:uid="{8C216BD5-6805-43CD-848A-0883B534697C}"/>
    <cellStyle name="40% - Accent6 4 3" xfId="489" xr:uid="{29D0263F-843B-4314-88C8-F7769F1C062D}"/>
    <cellStyle name="40% - Accent6 5" xfId="219" xr:uid="{2D3741AC-F699-4400-B7AC-31EAB5CFDEBA}"/>
    <cellStyle name="40% - Accent6 5 2" xfId="342" xr:uid="{0E480D56-768C-4D1E-B868-07F92BDF75D9}"/>
    <cellStyle name="40% - Accent6 5 2 2" xfId="561" xr:uid="{94831A56-3C81-4CF7-89AC-7B36D2EC66A4}"/>
    <cellStyle name="40% - Accent6 5 3" xfId="451" xr:uid="{02989569-75F4-4CF8-86B2-4E819F73E29C}"/>
    <cellStyle name="40% - Accent6 6" xfId="293" xr:uid="{96E5415A-6A5A-409B-A29A-F3DDF2A1C094}"/>
    <cellStyle name="40% - Accent6 6 2" xfId="515" xr:uid="{DAE7D048-6EBC-4C66-B41E-B506B213A32E}"/>
    <cellStyle name="40% - Accent6 7" xfId="405" xr:uid="{0F463FCD-7AB9-49D4-82D8-171CC81A3820}"/>
    <cellStyle name="40% - Accent6 8" xfId="171" xr:uid="{82F68594-BD94-44CF-AAE7-79EE72BCC463}"/>
    <cellStyle name="60% - Accent1 2" xfId="68" xr:uid="{D436CC7B-815E-46D6-9D79-4B1F6C121365}"/>
    <cellStyle name="60% - Accent1 3" xfId="44" xr:uid="{D2DF1DED-C2C0-4479-A3E1-D213397F0883}"/>
    <cellStyle name="60% - Accent2 2" xfId="69" xr:uid="{CCE236D4-5E29-470C-9C72-F0964875163A}"/>
    <cellStyle name="60% - Accent2 3" xfId="45" xr:uid="{2EE7B64F-AACE-4A84-B4D0-0BEAE94E8D86}"/>
    <cellStyle name="60% - Accent3 2" xfId="70" xr:uid="{EEAF8A12-BDFF-4A91-A766-C186739F8139}"/>
    <cellStyle name="60% - Accent3 3" xfId="46" xr:uid="{1BA0ABB0-6963-47BC-8F3E-1CA756927853}"/>
    <cellStyle name="60% - Accent4 2" xfId="71" xr:uid="{BBEDF10B-3FD2-4D9B-A310-E389C5B8EF39}"/>
    <cellStyle name="60% - Accent4 3" xfId="47" xr:uid="{F9247333-5E14-4E1C-BE51-CB8715F86592}"/>
    <cellStyle name="60% - Accent5 2" xfId="72" xr:uid="{9CF98852-92F2-45F6-92CB-8870D1098C4C}"/>
    <cellStyle name="60% - Accent5 3" xfId="48" xr:uid="{05E9FD51-916A-4D44-962B-E498B4A12895}"/>
    <cellStyle name="60% - Accent6 2" xfId="73" xr:uid="{DFF3FDA1-90FA-4794-8EAC-EA2F87B6666C}"/>
    <cellStyle name="60% - Accent6 3" xfId="49" xr:uid="{D1A10B86-B9B0-4867-BC73-5D82904AD63A}"/>
    <cellStyle name="Accent1" xfId="21" builtinId="29" customBuiltin="1"/>
    <cellStyle name="Accent1 2" xfId="74" xr:uid="{7BB985DE-D050-4F55-9CBA-A2B41E935F96}"/>
    <cellStyle name="Accent2" xfId="24" builtinId="33" customBuiltin="1"/>
    <cellStyle name="Accent2 2" xfId="75" xr:uid="{90279CB1-59C0-44F8-A271-3C916A46967F}"/>
    <cellStyle name="Accent3" xfId="27" builtinId="37" customBuiltin="1"/>
    <cellStyle name="Accent3 2" xfId="76" xr:uid="{509B435E-493C-4622-A88A-9EFA5853C559}"/>
    <cellStyle name="Accent4" xfId="30" builtinId="41" customBuiltin="1"/>
    <cellStyle name="Accent4 2" xfId="77" xr:uid="{0A249B57-8CEF-4215-9CF3-F13816D509AF}"/>
    <cellStyle name="Accent5" xfId="33" builtinId="45" customBuiltin="1"/>
    <cellStyle name="Accent5 2" xfId="78" xr:uid="{C82A8D4B-93BD-49B5-9D71-09D1FC693156}"/>
    <cellStyle name="Accent6" xfId="36" builtinId="49" customBuiltin="1"/>
    <cellStyle name="Accent6 2" xfId="79" xr:uid="{F447138D-DFD9-4DB7-B7D0-33D7F9ED9CD7}"/>
    <cellStyle name="Bad" xfId="12" builtinId="27" customBuiltin="1"/>
    <cellStyle name="Bad 2" xfId="80" xr:uid="{12D8CEF2-5C95-4F25-BCBC-3A6435619E47}"/>
    <cellStyle name="Calculation" xfId="15" builtinId="22" customBuiltin="1"/>
    <cellStyle name="Calculation 2" xfId="81" xr:uid="{B1CA66B6-B480-4810-90A7-6639B3DD7BBD}"/>
    <cellStyle name="Check Cell" xfId="17" builtinId="23" customBuiltin="1"/>
    <cellStyle name="Check Cell 2" xfId="82" xr:uid="{1A9F0002-160D-4F2D-9B3F-C5C676B3E853}"/>
    <cellStyle name="Comma" xfId="1" builtinId="3"/>
    <cellStyle name="Comma [0] 2" xfId="620" xr:uid="{C0B458B1-A0C0-4A3B-9018-DA9275737F3F}"/>
    <cellStyle name="Comma [0] 3" xfId="616" xr:uid="{7D8D4DFD-8B9D-4AF5-B382-FC3ADF1F671E}"/>
    <cellStyle name="Comma 2" xfId="6" xr:uid="{65F78DCB-0195-4B54-8847-1FAEE4B78146}"/>
    <cellStyle name="Comma 2 2" xfId="280" xr:uid="{50617919-3A99-484F-AA10-F82B3D3E74FC}"/>
    <cellStyle name="Comma 2 3" xfId="51" xr:uid="{5EE1B880-1950-428B-9B11-87793308B9C6}"/>
    <cellStyle name="Comma 3" xfId="83" xr:uid="{A45E7D27-6EF6-4F99-96F4-230CB3385397}"/>
    <cellStyle name="Comma 3 2" xfId="84" xr:uid="{D03672FE-FAB2-4290-B014-5BF50B83D62C}"/>
    <cellStyle name="Comma 4" xfId="85" xr:uid="{688D29CE-CBE2-4AA1-8084-6B417C824620}"/>
    <cellStyle name="Comma 4 2" xfId="148" xr:uid="{DCF496EF-78B7-4A8C-B6B4-329C201C5293}"/>
    <cellStyle name="Comma 4 2 2" xfId="245" xr:uid="{9F692EC4-C583-481D-A944-B28C2233577B}"/>
    <cellStyle name="Comma 4 2 2 2" xfId="363" xr:uid="{B0F0A5EF-A74C-402C-AC60-2A479069D08F}"/>
    <cellStyle name="Comma 4 2 2 2 2" xfId="582" xr:uid="{16648B17-0CBC-454B-B1E0-C38C197B78C9}"/>
    <cellStyle name="Comma 4 2 2 3" xfId="472" xr:uid="{B48DC652-A7F8-4EFF-BE13-01E64DADFB74}"/>
    <cellStyle name="Comma 4 2 3" xfId="319" xr:uid="{51CFF58F-B2B7-4EB6-B44E-10CE95F7FE1B}"/>
    <cellStyle name="Comma 4 2 3 2" xfId="538" xr:uid="{8C53D0C0-2DA8-4691-B9C0-3A75FE52CD7F}"/>
    <cellStyle name="Comma 4 2 4" xfId="428" xr:uid="{EE417802-1BA9-4E54-A170-A51E524F9304}"/>
    <cellStyle name="Comma 4 2 5" xfId="196" xr:uid="{E0D572DA-883F-44DB-89D8-0FB0E6C750B8}"/>
    <cellStyle name="Comma 4 3" xfId="266" xr:uid="{544459A7-B44A-4945-A4CC-D9A80C5E56BA}"/>
    <cellStyle name="Comma 4 3 2" xfId="382" xr:uid="{960A67E5-A4F7-4D04-B481-709DC292FE84}"/>
    <cellStyle name="Comma 4 3 2 2" xfId="601" xr:uid="{EC82E99A-1170-4DFF-AD92-D841D2D622C1}"/>
    <cellStyle name="Comma 4 3 3" xfId="491" xr:uid="{1577988F-A7E9-4206-9601-74981349E1F2}"/>
    <cellStyle name="Comma 4 4" xfId="223" xr:uid="{E1C7E7DC-1A9A-48C6-9502-39768B7F83BC}"/>
    <cellStyle name="Comma 4 4 2" xfId="344" xr:uid="{D50F6553-FE13-41F1-AE18-66BB110359E2}"/>
    <cellStyle name="Comma 4 4 2 2" xfId="563" xr:uid="{B977593F-9475-4D71-A386-C7A1F40991E9}"/>
    <cellStyle name="Comma 4 4 3" xfId="453" xr:uid="{52E452C0-5D2C-4495-BD95-C6CB55EDAC2F}"/>
    <cellStyle name="Comma 4 5" xfId="204" xr:uid="{A43F9CDA-045D-4D96-9EF3-86A6CDFF8670}"/>
    <cellStyle name="Comma 4 5 2" xfId="327" xr:uid="{0BC85F8E-87D8-4DDE-B259-631AAA698BBB}"/>
    <cellStyle name="Comma 4 5 2 2" xfId="546" xr:uid="{D0206EA1-03E0-4D37-B5F9-9A244B3A8B37}"/>
    <cellStyle name="Comma 4 5 3" xfId="436" xr:uid="{73B1E387-D80B-4179-A791-17AC92BACE95}"/>
    <cellStyle name="Comma 4 6" xfId="298" xr:uid="{17494847-7E9E-4294-8E51-C1F0B8F281F1}"/>
    <cellStyle name="Comma 4 6 2" xfId="517" xr:uid="{6908B0C7-832C-4A7B-83AC-88A8F373899E}"/>
    <cellStyle name="Comma 4 7" xfId="407" xr:uid="{BF000C2F-3381-46E8-8037-B7DCFCA071EB}"/>
    <cellStyle name="Comma 4 8" xfId="175" xr:uid="{6A4B056E-0AC7-4EEF-8D01-52776FC9FA57}"/>
    <cellStyle name="Comma 5" xfId="132" xr:uid="{77BEA8F2-8B24-4743-9D69-DD48AC346BED}"/>
    <cellStyle name="Comma 5 2" xfId="153" xr:uid="{98AB27DE-79F7-43E5-BC7E-E1228DEBCE67}"/>
    <cellStyle name="Comma 5 2 2" xfId="250" xr:uid="{0988CC26-4563-4BD3-9610-F93D1D55F37D}"/>
    <cellStyle name="Comma 5 2 2 2" xfId="368" xr:uid="{6FB82340-76BF-4DAA-B309-705142997E61}"/>
    <cellStyle name="Comma 5 2 2 2 2" xfId="587" xr:uid="{1B244C03-0097-4F38-AA1B-385E39151E9A}"/>
    <cellStyle name="Comma 5 2 2 3" xfId="477" xr:uid="{0A41E386-9D40-455A-AB5E-7D1CE0C1D905}"/>
    <cellStyle name="Comma 5 2 3" xfId="324" xr:uid="{9402F6CA-492E-4554-BCDA-1DE0230714F9}"/>
    <cellStyle name="Comma 5 2 3 2" xfId="543" xr:uid="{294C416A-92F4-49A4-A12B-A38DD284AB3D}"/>
    <cellStyle name="Comma 5 2 4" xfId="433" xr:uid="{974FBF77-79B5-4370-AE43-7732357D1AD0}"/>
    <cellStyle name="Comma 5 2 5" xfId="201" xr:uid="{30F6B4D2-7677-4BED-A963-7D6250252658}"/>
    <cellStyle name="Comma 5 3" xfId="271" xr:uid="{258BB75C-272C-443B-8CF9-3513A74CA4EB}"/>
    <cellStyle name="Comma 5 3 2" xfId="387" xr:uid="{F7846107-0352-4434-A50D-FF3227421DC7}"/>
    <cellStyle name="Comma 5 3 2 2" xfId="606" xr:uid="{3D10EA8C-5FC5-4C7E-AFBE-98253D99F896}"/>
    <cellStyle name="Comma 5 3 3" xfId="496" xr:uid="{A1111A77-A6B5-4A2F-91E8-9CFCF49ECF8E}"/>
    <cellStyle name="Comma 5 4" xfId="231" xr:uid="{40855DD0-AD0E-4FA7-BAE0-B64B4DEA84E9}"/>
    <cellStyle name="Comma 5 4 2" xfId="349" xr:uid="{BC32B66F-83E5-4FDF-9396-0D8A71962A4C}"/>
    <cellStyle name="Comma 5 4 2 2" xfId="568" xr:uid="{2A6F25CA-78C3-429A-8849-247AC792FCBD}"/>
    <cellStyle name="Comma 5 4 3" xfId="458" xr:uid="{8163F766-A77B-4698-8ACB-7237FF19020D}"/>
    <cellStyle name="Comma 5 5" xfId="303" xr:uid="{F01CF140-CABA-4255-B2C6-A21AC3AA234F}"/>
    <cellStyle name="Comma 5 5 2" xfId="522" xr:uid="{59E61D46-B891-4212-93A4-D37CFE31D59D}"/>
    <cellStyle name="Comma 5 6" xfId="412" xr:uid="{86E825DB-51E5-4805-9D15-98ECC288FF3F}"/>
    <cellStyle name="Comma 5 7" xfId="180" xr:uid="{3BE0C017-E21B-485C-BAEC-946243EC2A99}"/>
    <cellStyle name="Comma 6" xfId="134" xr:uid="{FF8D1476-571F-4040-AFE6-EF4D5B618693}"/>
    <cellStyle name="Comma 6 2" xfId="273" xr:uid="{BB49D43D-9EF0-45C2-B809-0075721E1AA9}"/>
    <cellStyle name="Comma 6 2 2" xfId="389" xr:uid="{376D3C19-2375-43F9-8A93-FE68D445C1BD}"/>
    <cellStyle name="Comma 6 2 2 2" xfId="608" xr:uid="{6429935E-1AE4-4471-AB1B-A09F4D2FA262}"/>
    <cellStyle name="Comma 6 2 3" xfId="498" xr:uid="{9828D1C8-ECEB-4145-A3E1-B47B7FC160DE}"/>
    <cellStyle name="Comma 6 3" xfId="305" xr:uid="{2DC8E214-251F-4068-BBBF-67DB2C52A7DA}"/>
    <cellStyle name="Comma 6 3 2" xfId="524" xr:uid="{35053C8A-6649-46A9-9F3D-5719299E3024}"/>
    <cellStyle name="Comma 6 4" xfId="414" xr:uid="{53BFAC2E-413F-49B7-9EF2-EB17C76DCECA}"/>
    <cellStyle name="Comma 6 5" xfId="182" xr:uid="{9E1276B8-1815-463E-9730-DD46F409048E}"/>
    <cellStyle name="Comma 7" xfId="173" xr:uid="{45AB1CD9-1FE6-404B-A94E-64A501E11BEF}"/>
    <cellStyle name="Comma 8" xfId="295" xr:uid="{29BD2C15-5E88-4445-838E-BD86AE00098A}"/>
    <cellStyle name="Comma 9" xfId="41" xr:uid="{4B6FD427-DD7A-49CB-B51B-5B5544474D8D}"/>
    <cellStyle name="Comma0" xfId="86" xr:uid="{523C3BF0-3782-4540-990F-B60E3304607C}"/>
    <cellStyle name="Comma0 2" xfId="87" xr:uid="{0D85393A-2774-49A7-82BF-B2FC533F2DAF}"/>
    <cellStyle name="Comma0 2 2" xfId="88" xr:uid="{4B801F12-E741-4F15-83CC-918225F3201D}"/>
    <cellStyle name="Currency [0] 2" xfId="619" xr:uid="{220CD0C8-60A5-4F1D-9B30-B1FD1A60464D}"/>
    <cellStyle name="Currency [0] 3" xfId="615" xr:uid="{2373BF84-E3C9-47C7-B904-1DD6CD2BDB35}"/>
    <cellStyle name="Currency 2" xfId="130" xr:uid="{29023670-52AA-4C26-8D53-618A2F997476}"/>
    <cellStyle name="Currency 2 2" xfId="618" xr:uid="{71BC17E8-58FD-4987-A5DB-42AAC0E57172}"/>
    <cellStyle name="Currency 3" xfId="614" xr:uid="{C23E64AE-1A79-4BE6-91FC-148C549F92A1}"/>
    <cellStyle name="Currency 4" xfId="43" xr:uid="{AC815A64-A94F-4648-A0D9-3CABA766A6DB}"/>
    <cellStyle name="Currency0" xfId="89" xr:uid="{261E30AB-0376-4D7A-8DEA-524E26DFBBA1}"/>
    <cellStyle name="Currency0 2" xfId="90" xr:uid="{737289E1-2700-4A26-81A2-9D3BBB49BD50}"/>
    <cellStyle name="Currency0 2 2" xfId="91" xr:uid="{55FACB51-2E82-4704-BBC3-4F3B1F0D28BC}"/>
    <cellStyle name="Date" xfId="92" xr:uid="{BE74A9B0-927C-490C-ABC3-B0164E05F26D}"/>
    <cellStyle name="Date 2" xfId="93" xr:uid="{5A3160F4-0F45-492E-B102-A2AD4E674D20}"/>
    <cellStyle name="Date 2 2" xfId="94" xr:uid="{169D3FD6-11B1-4831-8E56-9BE88DF93D64}"/>
    <cellStyle name="Explanatory Text" xfId="19" builtinId="53" customBuiltin="1"/>
    <cellStyle name="Explanatory Text 2" xfId="95" xr:uid="{026DC5E6-B92C-43DA-8C38-EC1B8CCFF2CC}"/>
    <cellStyle name="Fixed" xfId="96" xr:uid="{1EDA0A9E-CDF8-41C9-A65B-B298501D571D}"/>
    <cellStyle name="Fixed 2" xfId="97" xr:uid="{AC021904-BCD4-4032-99E6-D88D6894C932}"/>
    <cellStyle name="Fixed 2 2" xfId="98" xr:uid="{75CA1194-48EA-47CE-976A-1909F91E7948}"/>
    <cellStyle name="Good" xfId="11" builtinId="26" customBuiltin="1"/>
    <cellStyle name="Good 2" xfId="99" xr:uid="{D219010D-2D15-4EF6-880E-D59424A59FE9}"/>
    <cellStyle name="Heading 1" xfId="7" builtinId="16" customBuiltin="1"/>
    <cellStyle name="Heading 1 2" xfId="100" xr:uid="{A682D8E6-C81F-4D42-B790-688BBBE06BB6}"/>
    <cellStyle name="Heading 1 2 2" xfId="101" xr:uid="{C6F1399A-EF9E-4040-81C7-FEEE46924BCB}"/>
    <cellStyle name="Heading 1 2 3" xfId="155" xr:uid="{46F8D284-9EF4-4476-80D3-1ED3ABE94D96}"/>
    <cellStyle name="Heading 1 3" xfId="102" xr:uid="{99E63C55-0F6A-4910-A356-E74FD2A94DBB}"/>
    <cellStyle name="Heading 1 3 2" xfId="103" xr:uid="{9A8B4102-7805-43BC-B8C1-72C2D8E0E2FE}"/>
    <cellStyle name="Heading 2" xfId="8" builtinId="17" customBuiltin="1"/>
    <cellStyle name="Heading 2 2" xfId="104" xr:uid="{936221AE-4573-46B5-8849-43A847C0426E}"/>
    <cellStyle name="Heading 2 2 2" xfId="105" xr:uid="{F3814233-6E14-4CCC-AA89-A127C45DDB03}"/>
    <cellStyle name="Heading 2 2 3" xfId="156" xr:uid="{C28F9F8A-E6A2-4BF8-8C1D-4FC3B9E9F9CA}"/>
    <cellStyle name="Heading 2 3" xfId="106" xr:uid="{CB7A9B72-FFEF-4FBD-A323-E7A202CE39AC}"/>
    <cellStyle name="Heading 2 3 2" xfId="107" xr:uid="{5979EAA8-EE7F-413B-AB5E-6B8680F69895}"/>
    <cellStyle name="Heading 3" xfId="9" builtinId="18" customBuiltin="1"/>
    <cellStyle name="Heading 3 2" xfId="108" xr:uid="{58071CC0-F240-4CAE-97AC-A050892BBDD8}"/>
    <cellStyle name="Heading 4" xfId="10" builtinId="19" customBuiltin="1"/>
    <cellStyle name="Heading 4 2" xfId="109" xr:uid="{BD3AACFA-E62F-46C5-B032-AF5068C30251}"/>
    <cellStyle name="Hyperlink" xfId="2" builtinId="8"/>
    <cellStyle name="Hyperlink 2" xfId="621" xr:uid="{8341B68C-2AE4-49CE-AE62-0066F4B42F4C}"/>
    <cellStyle name="Hyperlink 3" xfId="617" xr:uid="{15878AC2-893E-4BB8-A4B3-6A8D3FC1ACF0}"/>
    <cellStyle name="Input" xfId="13" builtinId="20" customBuiltin="1"/>
    <cellStyle name="Input 2" xfId="110" xr:uid="{26A81F30-0C64-44DD-B2D9-DF00BD328725}"/>
    <cellStyle name="Linked Cell" xfId="16" builtinId="24" customBuiltin="1"/>
    <cellStyle name="Linked Cell 2" xfId="111" xr:uid="{C78F4F64-C47F-44B1-806A-BD0DC3549549}"/>
    <cellStyle name="Neutral 2" xfId="112" xr:uid="{FD1F4B03-AD66-4B15-82F7-47FC1F08360E}"/>
    <cellStyle name="Neutral 3" xfId="42" xr:uid="{3CA64274-2FF3-4428-A07D-98778E323DD7}"/>
    <cellStyle name="Normal" xfId="0" builtinId="0"/>
    <cellStyle name="Normal 10" xfId="613" xr:uid="{207DAF99-B1F5-4877-8803-DAD390F88406}"/>
    <cellStyle name="Normal 2" xfId="4" xr:uid="{4078A994-D8E4-4F9E-95C0-2FECD4A48337}"/>
    <cellStyle name="Normal 2 2" xfId="53" xr:uid="{02CB0A84-3046-4FED-807A-43F746EC4702}"/>
    <cellStyle name="Normal 2 3" xfId="265" xr:uid="{CBE940C1-902C-4EEB-96BA-7B25036711A2}"/>
    <cellStyle name="Normal 2 4" xfId="220" xr:uid="{9AD1CFDB-9624-4C1A-807E-6CB26E243982}"/>
    <cellStyle name="Normal 2 5" xfId="279" xr:uid="{D0B54DBB-5D46-44D6-80D3-3F7452B7AB74}"/>
    <cellStyle name="Normal 2 6" xfId="50" xr:uid="{015D79B1-7E10-4F17-B00A-B410E016BEE9}"/>
    <cellStyle name="Normal 3" xfId="5" xr:uid="{24A86A04-9CEA-4507-A074-8534572F6DBA}"/>
    <cellStyle name="Normal 3 10" xfId="174" xr:uid="{A2ACF030-4F7C-42B5-81B5-F92CEEE3B66C}"/>
    <cellStyle name="Normal 3 11" xfId="54" xr:uid="{E89EDF3F-17CE-447B-AA6F-1B1B28AD0E5C}"/>
    <cellStyle name="Normal 3 2" xfId="55" xr:uid="{891CDA27-9CBC-4216-B769-E00E587DA744}"/>
    <cellStyle name="Normal 3 3" xfId="128" xr:uid="{F26A0615-61F5-458E-984D-93FC5885E811}"/>
    <cellStyle name="Normal 3 3 2" xfId="154" xr:uid="{030C2436-E54C-4CB4-A64F-3D99388D6343}"/>
    <cellStyle name="Normal 3 3 2 2" xfId="229" xr:uid="{770F01E2-47F1-4FDA-8B2A-C3BF829AA963}"/>
    <cellStyle name="Normal 3 3 2 2 2" xfId="277" xr:uid="{3BFD2E80-D494-48D4-85F1-3B1A0B636B04}"/>
    <cellStyle name="Normal 3 3 2 2 2 2" xfId="393" xr:uid="{384BACDF-43B0-48D4-8FD7-3F50204AB690}"/>
    <cellStyle name="Normal 3 3 2 2 2 2 2" xfId="612" xr:uid="{1DACB9FE-E3E8-4575-82C9-E9BF942725E9}"/>
    <cellStyle name="Normal 3 3 2 2 2 3" xfId="502" xr:uid="{AE935A46-C94C-4ED0-84C4-8AA02CE5CCE5}"/>
    <cellStyle name="Normal 3 3 2 3" xfId="325" xr:uid="{9D740A46-E170-4D84-946E-33F30A7E82CD}"/>
    <cellStyle name="Normal 3 3 2 3 2" xfId="544" xr:uid="{E828FA5C-28E6-42BA-8403-E7267792541A}"/>
    <cellStyle name="Normal 3 3 2 4" xfId="434" xr:uid="{EBF576B6-0D1F-400F-8315-3AF91072C628}"/>
    <cellStyle name="Normal 3 3 2 5" xfId="202" xr:uid="{A93EFBA9-838E-4CE2-B5AA-6F5EB24F6CE2}"/>
    <cellStyle name="Normal 3 3 3" xfId="222" xr:uid="{B2CB3D33-8F7F-441D-AE6C-DCB38002AE20}"/>
    <cellStyle name="Normal 3 3 3 2" xfId="343" xr:uid="{DB5617B3-D183-43DC-BFB3-2BF99F9BFFA6}"/>
    <cellStyle name="Normal 3 3 3 2 2" xfId="562" xr:uid="{D3BAD2F4-ABC7-421D-9952-DB86CE5618D0}"/>
    <cellStyle name="Normal 3 3 3 3" xfId="452" xr:uid="{93E2B9D2-0897-4624-947D-9B765D438BB3}"/>
    <cellStyle name="Normal 3 4" xfId="244" xr:uid="{588F1CD2-83F8-4192-B85A-247F28A12E3A}"/>
    <cellStyle name="Normal 3 4 2" xfId="362" xr:uid="{8306468C-8368-48DD-A926-0FB91C122394}"/>
    <cellStyle name="Normal 3 4 2 2" xfId="581" xr:uid="{6C90326D-7086-4155-8150-BD513DC5F206}"/>
    <cellStyle name="Normal 3 4 3" xfId="471" xr:uid="{B66BC754-37F8-4FE7-87F6-141B8BE7CF99}"/>
    <cellStyle name="Normal 3 5" xfId="264" xr:uid="{C0152146-935D-477B-B455-25A32710A7EB}"/>
    <cellStyle name="Normal 3 5 2" xfId="381" xr:uid="{80955FF7-7359-4C84-8019-AE8A7EDCF15D}"/>
    <cellStyle name="Normal 3 5 2 2" xfId="600" xr:uid="{3230F492-3838-4366-BE51-35B39AB77387}"/>
    <cellStyle name="Normal 3 5 3" xfId="490" xr:uid="{3A343092-474F-4342-A8DB-1F18DDF50900}"/>
    <cellStyle name="Normal 3 6" xfId="257" xr:uid="{C85EA891-25C6-41A9-B416-E5449B8B680B}"/>
    <cellStyle name="Normal 3 7" xfId="203" xr:uid="{7E55DE7B-0D1B-4549-B59D-86B52C276878}"/>
    <cellStyle name="Normal 3 7 2" xfId="326" xr:uid="{CEFB1EAB-0C06-4B56-8D66-341DD1D76F9D}"/>
    <cellStyle name="Normal 3 7 2 2" xfId="545" xr:uid="{9AA34974-B92C-4E6C-BA59-66E18C516F9C}"/>
    <cellStyle name="Normal 3 7 3" xfId="435" xr:uid="{F5C464CE-029A-43CF-9CF7-9A9B6D8FBCBB}"/>
    <cellStyle name="Normal 3 8" xfId="297" xr:uid="{75339B2E-A737-446E-B188-9905740D7C36}"/>
    <cellStyle name="Normal 3 8 2" xfId="516" xr:uid="{E669778B-AC66-4B74-B690-709F6483733D}"/>
    <cellStyle name="Normal 3 9" xfId="406" xr:uid="{4795C349-717B-43D2-B7F7-6FB3C547B3FC}"/>
    <cellStyle name="Normal 4" xfId="113" xr:uid="{F8EAB42E-4E79-405C-8E18-34C76E31B4AE}"/>
    <cellStyle name="Normal 4 2" xfId="149" xr:uid="{E8AF3360-E4B8-498B-981F-0E9A8790B67C}"/>
    <cellStyle name="Normal 4 2 2" xfId="246" xr:uid="{FE3570BA-47B3-46D0-A463-BEC7D48A386E}"/>
    <cellStyle name="Normal 4 2 2 2" xfId="364" xr:uid="{2C44C91E-2042-4853-B3AA-BE98AD7A748A}"/>
    <cellStyle name="Normal 4 2 2 2 2" xfId="583" xr:uid="{A7B64266-28B2-4592-B6A4-53C4A7DF6F10}"/>
    <cellStyle name="Normal 4 2 2 3" xfId="473" xr:uid="{FD5413FB-1825-43B5-A708-6EFC35AEBAFA}"/>
    <cellStyle name="Normal 4 2 3" xfId="320" xr:uid="{1947F22C-EA36-40D6-B563-611EFCE7DEA1}"/>
    <cellStyle name="Normal 4 2 3 2" xfId="539" xr:uid="{EC5E8B8D-E7F4-4750-8E1B-BB35D5B0B060}"/>
    <cellStyle name="Normal 4 2 4" xfId="429" xr:uid="{BD0A91B8-34D4-4936-AC15-EB18318C61C5}"/>
    <cellStyle name="Normal 4 2 5" xfId="197" xr:uid="{7E70425A-3800-4C2C-ADE7-2AFAC350D04D}"/>
    <cellStyle name="Normal 4 3" xfId="267" xr:uid="{29DA9DF9-1A0B-45D6-B488-1F09A614E007}"/>
    <cellStyle name="Normal 4 3 2" xfId="383" xr:uid="{4B2A0405-D3AB-4661-B711-4CD83BD10A8F}"/>
    <cellStyle name="Normal 4 3 2 2" xfId="602" xr:uid="{99C4B952-9B48-49D0-AE1D-6600B13DB353}"/>
    <cellStyle name="Normal 4 3 3" xfId="492" xr:uid="{D7D5E7C0-C529-4611-B2C1-653E9ACDDE52}"/>
    <cellStyle name="Normal 4 4" xfId="224" xr:uid="{AFEE1804-0FD1-4B27-9C00-A8489E4C6A82}"/>
    <cellStyle name="Normal 4 4 2" xfId="345" xr:uid="{1F5F3823-F091-4AA8-B1C4-E3F29C4F187E}"/>
    <cellStyle name="Normal 4 4 2 2" xfId="564" xr:uid="{5374F302-D90B-4DC8-8BB9-87E6C5B0DF07}"/>
    <cellStyle name="Normal 4 4 3" xfId="454" xr:uid="{E586E5C3-9458-46DE-B603-FA1945627004}"/>
    <cellStyle name="Normal 4 5" xfId="205" xr:uid="{AE3E16CC-DF16-4C38-8E7E-8C44E59E65FD}"/>
    <cellStyle name="Normal 4 5 2" xfId="328" xr:uid="{7BFFC1A9-20F4-4D53-BAF5-5CABE1B60CA9}"/>
    <cellStyle name="Normal 4 5 2 2" xfId="547" xr:uid="{E0783B9A-6A61-4B0A-B321-7FFFED930A21}"/>
    <cellStyle name="Normal 4 5 3" xfId="437" xr:uid="{7A894D04-A3A4-4467-8E7C-D298A0D148DE}"/>
    <cellStyle name="Normal 4 6" xfId="299" xr:uid="{1F195343-D31E-4F7C-80C4-B18278E43415}"/>
    <cellStyle name="Normal 4 6 2" xfId="518" xr:uid="{059ADED9-4D25-402C-B783-279652B35895}"/>
    <cellStyle name="Normal 4 7" xfId="408" xr:uid="{187FAB7B-5806-43D8-AA47-621F025344B0}"/>
    <cellStyle name="Normal 4 8" xfId="176" xr:uid="{7D3C1933-5345-4A9C-A419-1092F1A2EEB2}"/>
    <cellStyle name="Normal 5" xfId="114" xr:uid="{F670F083-5466-4494-9C49-0FB47DA5922B}"/>
    <cellStyle name="Normal 5 2" xfId="131" xr:uid="{B0CA2E86-FA21-4A4C-A524-1EF5B34337C4}"/>
    <cellStyle name="Normal 5 2 2" xfId="157" xr:uid="{F7CD2BE0-FBD9-4A23-87A8-D99917D8E1D3}"/>
    <cellStyle name="Normal 5 2 2 2" xfId="249" xr:uid="{2FD2D39B-B07F-4322-9FFC-7B6DC59DAF56}"/>
    <cellStyle name="Normal 5 2 2 2 2" xfId="278" xr:uid="{60A8E40B-5C66-4696-8B6B-CB90EAAA58FE}"/>
    <cellStyle name="Normal 5 2 2 2 3" xfId="367" xr:uid="{391726E7-8241-49D9-AB25-2F519052890D}"/>
    <cellStyle name="Normal 5 2 2 2 3 2" xfId="586" xr:uid="{4659F665-F706-45CF-9C9C-5BA2556BD0E9}"/>
    <cellStyle name="Normal 5 2 2 2 4" xfId="476" xr:uid="{94053630-C49D-4AE0-B579-977FD2EC6D97}"/>
    <cellStyle name="Normal 5 2 3" xfId="270" xr:uid="{D9B6402F-832E-42B5-9409-1A9B318EE199}"/>
    <cellStyle name="Normal 5 2 3 2" xfId="386" xr:uid="{43B3A09E-C218-4DA5-9E56-0595C44DB715}"/>
    <cellStyle name="Normal 5 2 3 2 2" xfId="605" xr:uid="{08AA1612-7255-40BF-99AC-028A137AF552}"/>
    <cellStyle name="Normal 5 2 3 3" xfId="495" xr:uid="{8A443D84-46A7-4D2F-8939-05A6C4E1C780}"/>
    <cellStyle name="Normal 5 2 4" xfId="230" xr:uid="{99789E51-4481-486D-BAEA-F8533637C826}"/>
    <cellStyle name="Normal 5 2 4 2" xfId="348" xr:uid="{38571F29-A1A2-49BF-BA9A-D81F49A5D48A}"/>
    <cellStyle name="Normal 5 2 4 2 2" xfId="567" xr:uid="{38573AA6-4E6D-409B-9828-0E59F8EB8A5B}"/>
    <cellStyle name="Normal 5 2 4 3" xfId="457" xr:uid="{E8F188E9-A97A-46E6-A66A-8008363AB54B}"/>
    <cellStyle name="Normal 5 2 5" xfId="302" xr:uid="{8FC33FEE-61CF-4C2A-A4CD-960F26F42B75}"/>
    <cellStyle name="Normal 5 2 5 2" xfId="521" xr:uid="{E06B576A-6D28-435E-B6F0-C88C7614E07B}"/>
    <cellStyle name="Normal 5 2 6" xfId="411" xr:uid="{D23271DA-2FE9-401C-A4E4-090020BB81D7}"/>
    <cellStyle name="Normal 5 2 7" xfId="179" xr:uid="{7FB51D9E-585A-4AC8-8C46-3086C2AC16E6}"/>
    <cellStyle name="Normal 5 3" xfId="152" xr:uid="{96D9341C-3F7E-4021-8B73-4405CC9F1F87}"/>
    <cellStyle name="Normal 5 3 2" xfId="276" xr:uid="{CF12172E-8AE2-497E-B24B-1BE2BFE1099D}"/>
    <cellStyle name="Normal 5 3 2 2" xfId="392" xr:uid="{ADC5BAA2-3A99-40D4-8702-1380209C3103}"/>
    <cellStyle name="Normal 5 3 2 2 2" xfId="611" xr:uid="{48502E02-DFD7-40AB-AA79-537897E8A98A}"/>
    <cellStyle name="Normal 5 3 2 3" xfId="501" xr:uid="{8AC6F35F-9D47-4FE3-A7A7-42B896987906}"/>
    <cellStyle name="Normal 5 3 3" xfId="323" xr:uid="{A08FE3A0-D12F-415F-A3E8-7597C76E49D7}"/>
    <cellStyle name="Normal 5 3 3 2" xfId="542" xr:uid="{B1988DFD-A1D4-4DE5-B93C-90DEFF09DE6D}"/>
    <cellStyle name="Normal 5 3 4" xfId="432" xr:uid="{299E5802-DDFD-4EDE-8372-3ABC73918B2A}"/>
    <cellStyle name="Normal 5 3 5" xfId="200" xr:uid="{327D6015-D537-485F-AE8B-54087E22930C}"/>
    <cellStyle name="Normal 6" xfId="133" xr:uid="{38D35E58-129F-4FCC-AAF1-982354EAEBED}"/>
    <cellStyle name="Normal 6 2" xfId="272" xr:uid="{EBD2C674-55B0-4EBC-95B5-2F996788B15D}"/>
    <cellStyle name="Normal 6 2 2" xfId="388" xr:uid="{ECCB0461-0369-408C-93B6-7675CF084222}"/>
    <cellStyle name="Normal 6 2 2 2" xfId="607" xr:uid="{3B972DB6-349B-44F2-A6CB-A2CD606DCD34}"/>
    <cellStyle name="Normal 6 2 3" xfId="497" xr:uid="{9DACA71C-042D-4CA1-B012-D7479910B1E8}"/>
    <cellStyle name="Normal 6 3" xfId="304" xr:uid="{5FC52BDD-3251-4A95-B33C-5CF11F523DD2}"/>
    <cellStyle name="Normal 6 3 2" xfId="523" xr:uid="{23DBB7F0-80BD-4DAA-AB39-09950339D591}"/>
    <cellStyle name="Normal 6 4" xfId="413" xr:uid="{D5031604-449B-4E6E-838B-03E6E03AF268}"/>
    <cellStyle name="Normal 6 5" xfId="181" xr:uid="{D3D3189C-0C35-46AA-B4AE-D1F403BE3A08}"/>
    <cellStyle name="Normal 7" xfId="172" xr:uid="{A7D10207-8CFA-47E0-A4A9-83F91B207AED}"/>
    <cellStyle name="Normal 8" xfId="294" xr:uid="{EF92DDC0-7DCB-433D-8E79-76CE48BDE853}"/>
    <cellStyle name="Normal 9" xfId="281" xr:uid="{BBC0F6BC-7376-4E5B-B282-CDD18736E510}"/>
    <cellStyle name="Normal 9 2" xfId="503" xr:uid="{33B29298-340A-4E11-9B85-5678B803EAE7}"/>
    <cellStyle name="Note 2" xfId="115" xr:uid="{D0831B3C-E63E-43D5-BB7F-59CDEF8BD04B}"/>
    <cellStyle name="Note 2 2" xfId="116" xr:uid="{C8006A61-AA84-4193-B70D-65DDC9D4F318}"/>
    <cellStyle name="Note 2 3" xfId="117" xr:uid="{E09F8EDA-C8A0-4B74-98F7-8A9070F7E963}"/>
    <cellStyle name="Note 2 3 2" xfId="129" xr:uid="{01B5B974-FAAF-45A0-BAD7-9306583E6D66}"/>
    <cellStyle name="Note 2 3 3" xfId="225" xr:uid="{ED56677B-5A2A-43C0-95F3-F6D7AE692EEB}"/>
    <cellStyle name="Note 2 4" xfId="158" xr:uid="{F58A75A0-DCBD-4500-A207-796640BBE2B3}"/>
    <cellStyle name="Note 3" xfId="118" xr:uid="{8A318AD3-6EF2-47DB-B95D-1976F6FB8EF9}"/>
    <cellStyle name="Note 3 2" xfId="150" xr:uid="{77DAE37D-255A-46C5-95C5-FA6DDEFB9691}"/>
    <cellStyle name="Note 3 2 2" xfId="247" xr:uid="{00E067CF-BE0D-464A-A447-51A30D77DF91}"/>
    <cellStyle name="Note 3 2 2 2" xfId="365" xr:uid="{014A8F22-EE1B-457A-A138-A60C1E209050}"/>
    <cellStyle name="Note 3 2 2 2 2" xfId="584" xr:uid="{44EEE2D2-13E2-45E4-81AA-1CA84B788279}"/>
    <cellStyle name="Note 3 2 2 3" xfId="474" xr:uid="{672D7066-4C77-4025-A0BA-DFA137636BB4}"/>
    <cellStyle name="Note 3 2 3" xfId="321" xr:uid="{C25EEC01-DDA9-416D-990D-212A7B71D2E8}"/>
    <cellStyle name="Note 3 2 3 2" xfId="540" xr:uid="{6298532B-27D1-4883-975C-5617202B5FD8}"/>
    <cellStyle name="Note 3 2 4" xfId="430" xr:uid="{A1A76F4E-6554-47BB-95D4-6088E294EC42}"/>
    <cellStyle name="Note 3 2 5" xfId="198" xr:uid="{CFEAB71F-3083-4C38-BA10-ECA6FBF5416D}"/>
    <cellStyle name="Note 3 3" xfId="268" xr:uid="{9892D49E-7DDE-4F7F-BBEA-81403707EC45}"/>
    <cellStyle name="Note 3 3 2" xfId="384" xr:uid="{1A29BCB5-7D5C-444F-B793-98C9CD50F0D8}"/>
    <cellStyle name="Note 3 3 2 2" xfId="603" xr:uid="{9AAA3472-58EE-4D21-ACAD-D3CF7F6DF453}"/>
    <cellStyle name="Note 3 3 3" xfId="493" xr:uid="{283CAEF9-1EE0-4CEE-8B46-F6DECB99B9FE}"/>
    <cellStyle name="Note 3 4" xfId="226" xr:uid="{C2657D96-7CCE-4044-9AE4-4F543C284B75}"/>
    <cellStyle name="Note 3 4 2" xfId="346" xr:uid="{803C3ECA-98A9-4CEC-A12C-97B0E093D63D}"/>
    <cellStyle name="Note 3 4 2 2" xfId="565" xr:uid="{488EBB53-36C7-46A2-96B5-976878C3EF6B}"/>
    <cellStyle name="Note 3 4 3" xfId="455" xr:uid="{93C8947A-5693-4564-A772-DAD9ADBC8FBC}"/>
    <cellStyle name="Note 3 5" xfId="206" xr:uid="{7B1D865B-1836-472F-B7FC-D6B6FCDFE96A}"/>
    <cellStyle name="Note 3 5 2" xfId="329" xr:uid="{5AE869AF-FF8E-4B83-A7B7-5AA2E8F10801}"/>
    <cellStyle name="Note 3 5 2 2" xfId="548" xr:uid="{DBD05442-4228-4184-8C07-31E97EF7E6BB}"/>
    <cellStyle name="Note 3 5 3" xfId="438" xr:uid="{BDE5B136-5823-4654-AB5A-FDCF3484748E}"/>
    <cellStyle name="Note 3 6" xfId="300" xr:uid="{F34D161C-2889-4C13-B006-6CB46F5D99D6}"/>
    <cellStyle name="Note 3 6 2" xfId="519" xr:uid="{54F6A7E8-7EE1-4C98-96AB-7B6288A5ABDB}"/>
    <cellStyle name="Note 3 7" xfId="409" xr:uid="{D1C396CF-9B1A-4AFB-9B0B-7106481DBD0D}"/>
    <cellStyle name="Note 3 8" xfId="177" xr:uid="{73CB82E2-ADAA-40D3-91AD-B8083F11BD1B}"/>
    <cellStyle name="Note 4" xfId="135" xr:uid="{D25BE147-959B-4B63-8AFF-17A131F73414}"/>
    <cellStyle name="Note 4 2" xfId="274" xr:uid="{AD3F40FE-2575-4B33-973B-7EA3981315BA}"/>
    <cellStyle name="Note 4 2 2" xfId="390" xr:uid="{900FBE45-B7D6-4E3A-B429-F95F7E843162}"/>
    <cellStyle name="Note 4 2 2 2" xfId="609" xr:uid="{266D964B-FE9F-44CE-9DD8-A7A1C3A8A0DA}"/>
    <cellStyle name="Note 4 2 3" xfId="499" xr:uid="{0E37A597-1764-4EC1-A281-3DE20D59B50A}"/>
    <cellStyle name="Note 4 3" xfId="306" xr:uid="{AC9846BB-0EAB-4952-8496-594A25174157}"/>
    <cellStyle name="Note 4 3 2" xfId="525" xr:uid="{0F4241B4-AD1A-4DC2-A56B-EA362CB1CC09}"/>
    <cellStyle name="Note 4 4" xfId="415" xr:uid="{5AF2704F-8D38-466E-8648-35B344447B30}"/>
    <cellStyle name="Note 4 5" xfId="183" xr:uid="{793243B5-6DB0-42B5-9C2C-363570B1B3F6}"/>
    <cellStyle name="Output" xfId="14" builtinId="21" customBuiltin="1"/>
    <cellStyle name="Output 2" xfId="119" xr:uid="{5FD117BB-67EF-48A9-87C5-62833DA5367A}"/>
    <cellStyle name="Percent" xfId="3" builtinId="5"/>
    <cellStyle name="Percent 2" xfId="52" xr:uid="{358CAE1F-5C8A-4137-9D94-499ECF4BC7DA}"/>
    <cellStyle name="Percent 2 2" xfId="120" xr:uid="{A094ABE5-F3A5-45D8-BDB4-B7B2B484D7FB}"/>
    <cellStyle name="Percent 2 2 2" xfId="248" xr:uid="{124C4932-235E-4ECA-8430-0DDFE2AF7A89}"/>
    <cellStyle name="Percent 2 2 2 2" xfId="366" xr:uid="{C1BFC643-A007-46C3-8938-CA547E83060F}"/>
    <cellStyle name="Percent 2 2 2 2 2" xfId="585" xr:uid="{C2E51E42-FE52-4634-9CAE-A853A557D720}"/>
    <cellStyle name="Percent 2 2 2 3" xfId="475" xr:uid="{4D35135A-EFB3-428E-BD10-3B18224A0443}"/>
    <cellStyle name="Percent 2 2 3" xfId="269" xr:uid="{602AB998-8284-4321-B2A6-39F87A06527B}"/>
    <cellStyle name="Percent 2 2 3 2" xfId="385" xr:uid="{C8409D47-090D-4CEF-9A16-7E8FAB6A6A37}"/>
    <cellStyle name="Percent 2 2 3 2 2" xfId="604" xr:uid="{112685ED-FB2A-4715-8FE8-5D50AC3CE0B3}"/>
    <cellStyle name="Percent 2 2 3 3" xfId="494" xr:uid="{93F8D880-BF31-4072-8320-068A52B77852}"/>
    <cellStyle name="Percent 2 2 4" xfId="227" xr:uid="{835ABC23-0292-4354-8786-750817A131A5}"/>
    <cellStyle name="Percent 2 2 4 2" xfId="347" xr:uid="{0C52F316-C7ED-45F0-8664-7326A4510769}"/>
    <cellStyle name="Percent 2 2 4 2 2" xfId="566" xr:uid="{2CF4C263-9DE1-4794-8FC1-AF849B57B06E}"/>
    <cellStyle name="Percent 2 2 4 3" xfId="456" xr:uid="{5C60E2EE-23B9-4125-AC09-2E123B3ECEDB}"/>
    <cellStyle name="Percent 2 2 5" xfId="301" xr:uid="{D891A1DD-CABE-43BA-9D2E-5CAF5F0556CE}"/>
    <cellStyle name="Percent 2 2 5 2" xfId="520" xr:uid="{183B1E70-6AFC-4189-8C00-19F85BAF7464}"/>
    <cellStyle name="Percent 2 2 6" xfId="410" xr:uid="{B3BD0B58-BFED-4479-9B7D-D02AD982548A}"/>
    <cellStyle name="Percent 2 2 7" xfId="178" xr:uid="{365D7BA5-4CEE-4786-AF3F-B904E1ABC1AB}"/>
    <cellStyle name="Percent 2 3" xfId="151" xr:uid="{4F9156A6-809A-46EF-8861-9BB1F37BE3D7}"/>
    <cellStyle name="Percent 2 3 2" xfId="221" xr:uid="{AF24A7F9-94D8-42F7-B056-0DD5333D9504}"/>
    <cellStyle name="Percent 2 3 3" xfId="275" xr:uid="{C8C45A09-7713-4DBB-8D3A-968612926A33}"/>
    <cellStyle name="Percent 2 3 3 2" xfId="391" xr:uid="{D00283E8-7E96-42E9-97B2-0F46F80EA7ED}"/>
    <cellStyle name="Percent 2 3 3 2 2" xfId="610" xr:uid="{A9F7388D-4295-45AF-A535-9ADD6EF1BC7F}"/>
    <cellStyle name="Percent 2 3 3 3" xfId="500" xr:uid="{EF5F3AD0-489E-41E7-97FD-7E3A1336B25C}"/>
    <cellStyle name="Percent 2 3 4" xfId="322" xr:uid="{17F2EA2C-D6A6-4A4D-BFD9-1113715B8043}"/>
    <cellStyle name="Percent 2 3 4 2" xfId="541" xr:uid="{DFECED44-9B48-477C-8406-E2718A05DEF8}"/>
    <cellStyle name="Percent 2 3 5" xfId="431" xr:uid="{6717D75A-9451-424A-8AC8-D42A3512C06D}"/>
    <cellStyle name="Percent 2 3 6" xfId="199" xr:uid="{C45D3021-C312-417B-8AE0-E1432603E91E}"/>
    <cellStyle name="Percent 2 4" xfId="207" xr:uid="{3E81D2B5-3867-447C-B412-E39622021610}"/>
    <cellStyle name="Percent 2 4 2" xfId="330" xr:uid="{FEE4FC9B-5A16-4CCD-91FC-D80F9419D95E}"/>
    <cellStyle name="Percent 2 4 2 2" xfId="549" xr:uid="{92F1F66E-C510-46EA-835A-55EDEA130797}"/>
    <cellStyle name="Percent 2 4 3" xfId="439" xr:uid="{3EF5C8AB-B145-4753-BFF2-B8F0C924C8D9}"/>
    <cellStyle name="Percent 3" xfId="121" xr:uid="{638D81FC-4E1E-47F4-9ED3-6D32B5E9D9FC}"/>
    <cellStyle name="Percent 3 2" xfId="228" xr:uid="{7AD1CBE1-6BDD-4BF6-B4B6-B8AFB16B4392}"/>
    <cellStyle name="Percent 4" xfId="296" xr:uid="{3C05E66E-41D3-4FF5-B0C3-4E73068C4638}"/>
    <cellStyle name="Percent 5" xfId="39" xr:uid="{94730E27-95DF-48DC-BECB-8877FF2408B9}"/>
    <cellStyle name="Title 2" xfId="122" xr:uid="{6210F638-E567-4D72-995C-E07A8930D2C6}"/>
    <cellStyle name="Title 3" xfId="40" xr:uid="{AF8D2199-C602-46D9-BC36-AC3B5B173D5B}"/>
    <cellStyle name="Total" xfId="20" builtinId="25" customBuiltin="1"/>
    <cellStyle name="Total 2" xfId="123" xr:uid="{2B9BBC64-803F-4D73-BE9B-492FACBC7D42}"/>
    <cellStyle name="Total 2 2" xfId="124" xr:uid="{3F004BB4-88E8-44F6-A1AC-5E5A4B3BFBFE}"/>
    <cellStyle name="Total 2 3" xfId="159" xr:uid="{975AFB72-BA3F-438D-B30C-193B30FCD58F}"/>
    <cellStyle name="Total 3" xfId="125" xr:uid="{4E6A4EEF-73D2-40E3-BFF3-D2387C7D7D69}"/>
    <cellStyle name="Total 3 2" xfId="126" xr:uid="{61912EA7-E5AA-41C1-B8CC-115E8ED02172}"/>
    <cellStyle name="Warning Text" xfId="18" builtinId="11" customBuiltin="1"/>
    <cellStyle name="Warning Text 2" xfId="127" xr:uid="{728C95D9-314E-4B36-ABC7-27B39AD0D3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2" transitionEvaluation="1" transitionEntry="1" codeName="Sheet1">
    <tabColor rgb="FFFFFF00"/>
    <pageSetUpPr autoPageBreaks="0"/>
  </sheetPr>
  <dimension ref="A1:CF719"/>
  <sheetViews>
    <sheetView topLeftCell="A72" workbookViewId="0">
      <selection activeCell="CK568" sqref="CK568"/>
    </sheetView>
  </sheetViews>
  <sheetFormatPr defaultColWidth="11.75" defaultRowHeight="12.65" customHeight="1" x14ac:dyDescent="0.35"/>
  <cols>
    <col min="1" max="1" width="26.3125" style="180" customWidth="1"/>
    <col min="2" max="2" width="15.5625" style="180" customWidth="1"/>
    <col min="3" max="3" width="14.75" style="180" customWidth="1"/>
    <col min="4" max="4" width="13.25" style="180" customWidth="1"/>
    <col min="5" max="18" width="11.75" style="180" customWidth="1"/>
    <col min="19" max="19" width="11.75" style="180"/>
    <col min="20" max="55" width="11.75" style="180" customWidth="1"/>
    <col min="56" max="56" width="11.75" style="180"/>
    <col min="57" max="82" width="11.75" style="180" customWidth="1"/>
    <col min="83" max="16384" width="11.75" style="180"/>
  </cols>
  <sheetData>
    <row r="1" spans="1:6" ht="12.75" customHeight="1" x14ac:dyDescent="0.35">
      <c r="A1" s="229" t="s">
        <v>969</v>
      </c>
      <c r="B1" s="230"/>
      <c r="C1" s="230"/>
      <c r="D1" s="230"/>
      <c r="E1" s="230"/>
      <c r="F1" s="230"/>
    </row>
    <row r="2" spans="1:6" ht="12.75" customHeight="1" x14ac:dyDescent="0.35">
      <c r="A2" s="230" t="s">
        <v>970</v>
      </c>
      <c r="B2" s="230"/>
      <c r="C2" s="231"/>
      <c r="D2" s="230"/>
      <c r="E2" s="230"/>
      <c r="F2" s="230"/>
    </row>
    <row r="3" spans="1:6" ht="12.75" customHeight="1" x14ac:dyDescent="0.35">
      <c r="A3" s="199"/>
      <c r="C3" s="232"/>
    </row>
    <row r="4" spans="1:6" ht="12.75" customHeight="1" x14ac:dyDescent="0.35">
      <c r="C4" s="232"/>
    </row>
    <row r="5" spans="1:6" ht="12.75" customHeight="1" x14ac:dyDescent="0.35">
      <c r="A5" s="199" t="s">
        <v>996</v>
      </c>
      <c r="C5" s="232"/>
    </row>
    <row r="6" spans="1:6" ht="12.75" customHeight="1" x14ac:dyDescent="0.35">
      <c r="A6" s="199" t="s">
        <v>0</v>
      </c>
      <c r="C6" s="232"/>
    </row>
    <row r="7" spans="1:6" ht="12.75" customHeight="1" x14ac:dyDescent="0.35">
      <c r="A7" s="199" t="s">
        <v>1</v>
      </c>
      <c r="C7" s="232"/>
    </row>
    <row r="8" spans="1:6" ht="12.75" customHeight="1" x14ac:dyDescent="0.35">
      <c r="C8" s="232"/>
    </row>
    <row r="9" spans="1:6" ht="12.75" customHeight="1" x14ac:dyDescent="0.35">
      <c r="C9" s="232"/>
    </row>
    <row r="10" spans="1:6" ht="12.75" customHeight="1" x14ac:dyDescent="0.35">
      <c r="A10" s="198" t="s">
        <v>965</v>
      </c>
      <c r="C10" s="232"/>
    </row>
    <row r="11" spans="1:6" ht="12.75" customHeight="1" x14ac:dyDescent="0.35">
      <c r="A11" s="198" t="s">
        <v>968</v>
      </c>
      <c r="C11" s="232"/>
    </row>
    <row r="12" spans="1:6" ht="12.75" customHeight="1" x14ac:dyDescent="0.35">
      <c r="C12" s="232"/>
    </row>
    <row r="13" spans="1:6" ht="12.75" customHeight="1" x14ac:dyDescent="0.35">
      <c r="C13" s="232"/>
    </row>
    <row r="14" spans="1:6" ht="12.75" customHeight="1" x14ac:dyDescent="0.35">
      <c r="A14" s="199" t="s">
        <v>2</v>
      </c>
      <c r="C14" s="232"/>
    </row>
    <row r="15" spans="1:6" ht="12.75" customHeight="1" x14ac:dyDescent="0.35">
      <c r="A15" s="199"/>
      <c r="C15" s="232"/>
    </row>
    <row r="16" spans="1:6" ht="12.75" customHeight="1" x14ac:dyDescent="0.35">
      <c r="A16" s="180" t="s">
        <v>1007</v>
      </c>
      <c r="C16" s="232"/>
      <c r="F16" s="272" t="s">
        <v>997</v>
      </c>
    </row>
    <row r="17" spans="1:6" ht="12.75" customHeight="1" x14ac:dyDescent="0.35">
      <c r="A17" s="180" t="s">
        <v>967</v>
      </c>
      <c r="C17" s="272" t="s">
        <v>997</v>
      </c>
    </row>
    <row r="18" spans="1:6" ht="12.75" customHeight="1" x14ac:dyDescent="0.35">
      <c r="A18" s="224"/>
      <c r="C18" s="232"/>
    </row>
    <row r="19" spans="1:6" ht="12.75" customHeight="1" x14ac:dyDescent="0.35">
      <c r="C19" s="232"/>
    </row>
    <row r="20" spans="1:6" ht="12.75" customHeight="1" x14ac:dyDescent="0.35">
      <c r="A20" s="268" t="s">
        <v>971</v>
      </c>
      <c r="B20" s="268"/>
      <c r="C20" s="273"/>
      <c r="D20" s="268"/>
      <c r="E20" s="268"/>
      <c r="F20" s="268"/>
    </row>
    <row r="21" spans="1:6" ht="22.5" customHeight="1" x14ac:dyDescent="0.35">
      <c r="A21" s="199"/>
      <c r="C21" s="232"/>
    </row>
    <row r="22" spans="1:6" ht="12.65" customHeight="1" x14ac:dyDescent="0.35">
      <c r="A22" s="233" t="s">
        <v>991</v>
      </c>
      <c r="B22" s="234"/>
      <c r="C22" s="235"/>
      <c r="D22" s="233"/>
      <c r="E22" s="233"/>
    </row>
    <row r="23" spans="1:6" ht="12.65" customHeight="1" x14ac:dyDescent="0.35">
      <c r="B23" s="199"/>
      <c r="C23" s="232"/>
    </row>
    <row r="24" spans="1:6" ht="12.65" customHeight="1" x14ac:dyDescent="0.35">
      <c r="A24" s="236" t="s">
        <v>3</v>
      </c>
      <c r="C24" s="232"/>
    </row>
    <row r="25" spans="1:6" ht="12.65" customHeight="1" x14ac:dyDescent="0.35">
      <c r="A25" s="198" t="s">
        <v>972</v>
      </c>
      <c r="C25" s="232"/>
    </row>
    <row r="26" spans="1:6" ht="12.65" customHeight="1" x14ac:dyDescent="0.35">
      <c r="A26" s="199" t="s">
        <v>4</v>
      </c>
      <c r="C26" s="232"/>
    </row>
    <row r="27" spans="1:6" ht="12.65" customHeight="1" x14ac:dyDescent="0.35">
      <c r="A27" s="198" t="s">
        <v>973</v>
      </c>
      <c r="C27" s="232"/>
    </row>
    <row r="28" spans="1:6" ht="12.65" customHeight="1" x14ac:dyDescent="0.35">
      <c r="A28" s="199" t="s">
        <v>5</v>
      </c>
      <c r="C28" s="232"/>
    </row>
    <row r="29" spans="1:6" ht="12.65" customHeight="1" x14ac:dyDescent="0.35">
      <c r="A29" s="198"/>
      <c r="C29" s="232"/>
    </row>
    <row r="30" spans="1:6" ht="12.65" customHeight="1" x14ac:dyDescent="0.35">
      <c r="A30" s="180" t="s">
        <v>6</v>
      </c>
      <c r="C30" s="232"/>
    </row>
    <row r="31" spans="1:6" ht="12.65" customHeight="1" x14ac:dyDescent="0.35">
      <c r="A31" s="199" t="s">
        <v>7</v>
      </c>
      <c r="C31" s="232"/>
    </row>
    <row r="32" spans="1:6" ht="12.65" customHeight="1" x14ac:dyDescent="0.35">
      <c r="A32" s="199" t="s">
        <v>8</v>
      </c>
      <c r="C32" s="232"/>
    </row>
    <row r="33" spans="1:83" ht="12.65" customHeight="1" x14ac:dyDescent="0.35">
      <c r="A33" s="198" t="s">
        <v>974</v>
      </c>
      <c r="C33" s="232"/>
    </row>
    <row r="34" spans="1:83" ht="12.65" customHeight="1" x14ac:dyDescent="0.35">
      <c r="A34" s="199" t="s">
        <v>9</v>
      </c>
      <c r="C34" s="232"/>
    </row>
    <row r="35" spans="1:83" ht="12.65" customHeight="1" x14ac:dyDescent="0.35">
      <c r="A35" s="199"/>
      <c r="C35" s="232"/>
    </row>
    <row r="36" spans="1:83" ht="12.65" customHeight="1" x14ac:dyDescent="0.35">
      <c r="A36" s="198" t="s">
        <v>975</v>
      </c>
      <c r="C36" s="232"/>
    </row>
    <row r="37" spans="1:83" ht="12.65" customHeight="1" x14ac:dyDescent="0.35">
      <c r="A37" s="199" t="s">
        <v>966</v>
      </c>
      <c r="C37" s="232"/>
    </row>
    <row r="38" spans="1:83" ht="12" customHeight="1" x14ac:dyDescent="0.35">
      <c r="A38" s="198"/>
      <c r="C38" s="232"/>
    </row>
    <row r="39" spans="1:83" ht="12.65" customHeight="1" x14ac:dyDescent="0.35">
      <c r="A39" s="199"/>
      <c r="C39" s="232"/>
    </row>
    <row r="40" spans="1:83" ht="12" customHeight="1" x14ac:dyDescent="0.35">
      <c r="A40" s="199"/>
      <c r="C40" s="232"/>
    </row>
    <row r="41" spans="1:83" ht="12" customHeight="1" x14ac:dyDescent="0.35">
      <c r="A41" s="199"/>
      <c r="C41" s="237"/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</row>
    <row r="42" spans="1:83" ht="12" customHeight="1" x14ac:dyDescent="0.35">
      <c r="A42" s="199"/>
      <c r="C42" s="237"/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9"/>
    </row>
    <row r="43" spans="1:83" ht="12" customHeight="1" x14ac:dyDescent="0.35">
      <c r="A43" s="199"/>
      <c r="C43" s="232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0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931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5" customHeight="1" x14ac:dyDescent="0.35">
      <c r="A48" s="175" t="s">
        <v>205</v>
      </c>
      <c r="B48" s="356">
        <v>6452514</v>
      </c>
      <c r="C48" s="241">
        <f>ROUND(((B48/CE61)*C61),0)</f>
        <v>0</v>
      </c>
      <c r="D48" s="241">
        <f>ROUND(((B48/CE61)*D61),0)</f>
        <v>0</v>
      </c>
      <c r="E48" s="195">
        <f>ROUND(((B48/CE61)*E61),0)</f>
        <v>145987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42301</v>
      </c>
      <c r="K48" s="195">
        <f>ROUND(((B48/CE61)*K61),0)</f>
        <v>0</v>
      </c>
      <c r="L48" s="195">
        <f>ROUND(((B48/CE61)*L61),0)</f>
        <v>92260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298444</v>
      </c>
      <c r="P48" s="195">
        <f>ROUND(((B48/CE61)*P61),0)</f>
        <v>306518</v>
      </c>
      <c r="Q48" s="195">
        <f>ROUND(((B48/CE61)*Q61),0)</f>
        <v>0</v>
      </c>
      <c r="R48" s="195">
        <f>ROUND(((B48/CE61)*R61),0)</f>
        <v>0</v>
      </c>
      <c r="S48" s="195">
        <f>ROUND(((B48/CE61)*S61),0)</f>
        <v>37788</v>
      </c>
      <c r="T48" s="195">
        <f>ROUND(((B48/CE61)*T61),0)</f>
        <v>0</v>
      </c>
      <c r="U48" s="195">
        <f>ROUND(((B48/CE61)*U61),0)</f>
        <v>279012</v>
      </c>
      <c r="V48" s="195">
        <f>ROUND(((B48/CE61)*V61),0)</f>
        <v>0</v>
      </c>
      <c r="W48" s="195">
        <f>ROUND(((B48/CE61)*W61),0)</f>
        <v>14024</v>
      </c>
      <c r="X48" s="195">
        <f>ROUND(((B48/CE61)*X61),0)</f>
        <v>192976</v>
      </c>
      <c r="Y48" s="195">
        <f>ROUND(((B48/CE61)*Y61),0)</f>
        <v>122664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50752</v>
      </c>
      <c r="AC48" s="195">
        <f>ROUND(((B48/CE61)*AC61),0)</f>
        <v>131505</v>
      </c>
      <c r="AD48" s="195">
        <f>ROUND(((B48/CE61)*AD61),0)</f>
        <v>0</v>
      </c>
      <c r="AE48" s="195">
        <f>ROUND(((B48/CE61)*AE61),0)</f>
        <v>0</v>
      </c>
      <c r="AF48" s="195">
        <f>ROUND(((B48/CE61)*AF61),0)</f>
        <v>0</v>
      </c>
      <c r="AG48" s="195">
        <f>ROUND(((B48/CE61)*AG61),0)</f>
        <v>721502</v>
      </c>
      <c r="AH48" s="195">
        <f>ROUND(((B48/CE61)*AH61),0)</f>
        <v>209859</v>
      </c>
      <c r="AI48" s="195">
        <f>ROUND(((B48/CE61)*AI61),0)</f>
        <v>52240</v>
      </c>
      <c r="AJ48" s="195">
        <f>ROUND(((B48/CE61)*AJ61),0)</f>
        <v>2159199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36345</v>
      </c>
      <c r="AP48" s="195">
        <f>ROUND(((B48/CE61)*AP61),0)</f>
        <v>75478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96837</v>
      </c>
      <c r="AZ48" s="195">
        <f>ROUND(((B48/CE61)*AZ61),0)</f>
        <v>0</v>
      </c>
      <c r="BA48" s="195">
        <f>ROUND(((B48/CE61)*BA61),0)</f>
        <v>24458</v>
      </c>
      <c r="BB48" s="195">
        <f>ROUND(((B48/CE61)*BB61),0)</f>
        <v>47510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82254</v>
      </c>
      <c r="BF48" s="195">
        <f>ROUND(((B48/CE61)*BF61),0)</f>
        <v>83027</v>
      </c>
      <c r="BG48" s="195">
        <f>ROUND(((B48/CE61)*BG61),0)</f>
        <v>0</v>
      </c>
      <c r="BH48" s="195">
        <f>ROUND(((B48/CE61)*BH61),0)</f>
        <v>133360</v>
      </c>
      <c r="BI48" s="195">
        <f>ROUND(((B48/CE61)*BI61),0)</f>
        <v>0</v>
      </c>
      <c r="BJ48" s="195">
        <f>ROUND(((B48/CE61)*BJ61),0)</f>
        <v>121053</v>
      </c>
      <c r="BK48" s="195">
        <f>ROUND(((B48/CE61)*BK61),0)</f>
        <v>252008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177760</v>
      </c>
      <c r="BO48" s="195">
        <f>ROUND(((B48/CE61)*BO61),0)</f>
        <v>14042</v>
      </c>
      <c r="BP48" s="195">
        <f>ROUND(((B48/CE61)*BP61),0)</f>
        <v>45620</v>
      </c>
      <c r="BQ48" s="195">
        <f>ROUND(((B48/CE61)*BQ61),0)</f>
        <v>0</v>
      </c>
      <c r="BR48" s="195">
        <f>ROUND(((B48/CE61)*BR61),0)</f>
        <v>74266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84712</v>
      </c>
      <c r="BW48" s="195">
        <f>ROUND(((B48/CE61)*BW61),0)</f>
        <v>42139</v>
      </c>
      <c r="BX48" s="195">
        <f>ROUND(((B48/CE61)*BX61),0)</f>
        <v>0</v>
      </c>
      <c r="BY48" s="195">
        <f>ROUND(((B48/CE61)*BY61),0)</f>
        <v>204611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6452511</v>
      </c>
    </row>
    <row r="49" spans="1:84" ht="12.65" customHeight="1" x14ac:dyDescent="0.35">
      <c r="A49" s="175" t="s">
        <v>206</v>
      </c>
      <c r="B49" s="195">
        <f>B47+B48</f>
        <v>6452514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349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5" customHeight="1" x14ac:dyDescent="0.35">
      <c r="A52" s="171" t="s">
        <v>208</v>
      </c>
      <c r="B52" s="349">
        <v>2754873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116815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33849</v>
      </c>
      <c r="K52" s="195">
        <f>ROUND((B52/(CE76+CF76)*K76),0)</f>
        <v>0</v>
      </c>
      <c r="L52" s="195">
        <f>ROUND((B52/(CE76+CF76)*L76),0)</f>
        <v>73821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64358</v>
      </c>
      <c r="P52" s="195">
        <f>ROUND((B52/(CE76+CF76)*P76),0)</f>
        <v>184089</v>
      </c>
      <c r="Q52" s="195">
        <f>ROUND((B52/(CE76+CF76)*Q76),0)</f>
        <v>0</v>
      </c>
      <c r="R52" s="195">
        <f>ROUND((B52/(CE76+CF76)*R76),0)</f>
        <v>4268</v>
      </c>
      <c r="S52" s="195">
        <f>ROUND((B52/(CE76+CF76)*S76),0)</f>
        <v>38170</v>
      </c>
      <c r="T52" s="195">
        <f>ROUND((B52/(CE76+CF76)*T76),0)</f>
        <v>0</v>
      </c>
      <c r="U52" s="195">
        <f>ROUND((B52/(CE76+CF76)*U76),0)</f>
        <v>42861</v>
      </c>
      <c r="V52" s="195">
        <f>ROUND((B52/(CE76+CF76)*V76),0)</f>
        <v>0</v>
      </c>
      <c r="W52" s="195">
        <f>ROUND((B52/(CE76+CF76)*W76),0)</f>
        <v>5911</v>
      </c>
      <c r="X52" s="195">
        <f>ROUND((B52/(CE76+CF76)*X76),0)</f>
        <v>81482</v>
      </c>
      <c r="Y52" s="195">
        <f>ROUND((B52/(CE76+CF76)*Y76),0)</f>
        <v>51794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10523</v>
      </c>
      <c r="AC52" s="195">
        <f>ROUND((B52/(CE76+CF76)*AC76),0)</f>
        <v>23856</v>
      </c>
      <c r="AD52" s="195">
        <f>ROUND((B52/(CE76+CF76)*AD76),0)</f>
        <v>0</v>
      </c>
      <c r="AE52" s="195">
        <f>ROUND((B52/(CE76+CF76)*AE76),0)</f>
        <v>85723</v>
      </c>
      <c r="AF52" s="195">
        <f>ROUND((B52/(CE76+CF76)*AF76),0)</f>
        <v>0</v>
      </c>
      <c r="AG52" s="195">
        <f>ROUND((B52/(CE76+CF76)*AG76),0)</f>
        <v>82250</v>
      </c>
      <c r="AH52" s="195">
        <f>ROUND((B52/(CE76+CF76)*AH76),0)</f>
        <v>35280</v>
      </c>
      <c r="AI52" s="195">
        <f>ROUND((B52/(CE76+CF76)*AI76),0)</f>
        <v>16991</v>
      </c>
      <c r="AJ52" s="195">
        <f>ROUND((B52/(CE76+CF76)*AJ76),0)</f>
        <v>832285</v>
      </c>
      <c r="AK52" s="195">
        <f>ROUND((B52/(CE76+CF76)*AK76),0)</f>
        <v>17813</v>
      </c>
      <c r="AL52" s="195">
        <f>ROUND((B52/(CE76+CF76)*AL76),0)</f>
        <v>10444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29078</v>
      </c>
      <c r="AP52" s="195">
        <f>ROUND((B52/(CE76+CF76)*AP76),0)</f>
        <v>58368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57255</v>
      </c>
      <c r="AZ52" s="195">
        <f>ROUND((B52/(CE76+CF76)*AZ76),0)</f>
        <v>0</v>
      </c>
      <c r="BA52" s="195">
        <f>ROUND((B52/(CE76+CF76)*BA76),0)</f>
        <v>23538</v>
      </c>
      <c r="BB52" s="195">
        <f>ROUND((B52/(CE76+CF76)*BB76),0)</f>
        <v>6971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166197</v>
      </c>
      <c r="BF52" s="195">
        <f>ROUND((B52/(CE76+CF76)*BF76),0)</f>
        <v>22266</v>
      </c>
      <c r="BG52" s="195">
        <f>ROUND((B52/(CE76+CF76)*BG76),0)</f>
        <v>0</v>
      </c>
      <c r="BH52" s="195">
        <f>ROUND((B52/(CE76+CF76)*BH76),0)</f>
        <v>18343</v>
      </c>
      <c r="BI52" s="195">
        <f>ROUND((B52/(CE76+CF76)*BI76),0)</f>
        <v>0</v>
      </c>
      <c r="BJ52" s="195">
        <f>ROUND((B52/(CE76+CF76)*BJ76),0)</f>
        <v>19721</v>
      </c>
      <c r="BK52" s="195">
        <f>ROUND((B52/(CE76+CF76)*BK76),0)</f>
        <v>13624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458143</v>
      </c>
      <c r="BO52" s="195">
        <f>ROUND((B52/(CE76+CF76)*BO76),0)</f>
        <v>0</v>
      </c>
      <c r="BP52" s="195">
        <f>ROUND((B52/(CE76+CF76)*BP76),0)</f>
        <v>16302</v>
      </c>
      <c r="BQ52" s="195">
        <f>ROUND((B52/(CE76+CF76)*BQ76),0)</f>
        <v>0</v>
      </c>
      <c r="BR52" s="195">
        <f>ROUND((B52/(CE76+CF76)*BR76),0)</f>
        <v>6812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26454</v>
      </c>
      <c r="BW52" s="195">
        <f>ROUND((B52/(CE76+CF76)*BW76),0)</f>
        <v>4347</v>
      </c>
      <c r="BX52" s="195">
        <f>ROUND((B52/(CE76+CF76)*BX76),0)</f>
        <v>9224</v>
      </c>
      <c r="BY52" s="195">
        <f>ROUND((B52/(CE76+CF76)*BY76),0)</f>
        <v>5646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2754872</v>
      </c>
    </row>
    <row r="53" spans="1:84" ht="12.65" customHeight="1" x14ac:dyDescent="0.35">
      <c r="A53" s="175" t="s">
        <v>206</v>
      </c>
      <c r="B53" s="195">
        <f>B51+B52</f>
        <v>2754873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2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931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0" t="s">
        <v>220</v>
      </c>
      <c r="S58" s="243" t="s">
        <v>221</v>
      </c>
      <c r="T58" s="243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3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949</v>
      </c>
      <c r="AU58" s="170" t="s">
        <v>228</v>
      </c>
      <c r="AV58" s="243" t="s">
        <v>221</v>
      </c>
      <c r="AW58" s="243" t="s">
        <v>221</v>
      </c>
      <c r="AX58" s="243" t="s">
        <v>221</v>
      </c>
      <c r="AY58" s="170" t="s">
        <v>231</v>
      </c>
      <c r="AZ58" s="170" t="s">
        <v>231</v>
      </c>
      <c r="BA58" s="243" t="s">
        <v>221</v>
      </c>
      <c r="BB58" s="243" t="s">
        <v>221</v>
      </c>
      <c r="BC58" s="243" t="s">
        <v>221</v>
      </c>
      <c r="BD58" s="243" t="s">
        <v>221</v>
      </c>
      <c r="BE58" s="170" t="s">
        <v>232</v>
      </c>
      <c r="BF58" s="243" t="s">
        <v>221</v>
      </c>
      <c r="BG58" s="243" t="s">
        <v>221</v>
      </c>
      <c r="BH58" s="243" t="s">
        <v>221</v>
      </c>
      <c r="BI58" s="243" t="s">
        <v>221</v>
      </c>
      <c r="BJ58" s="243" t="s">
        <v>221</v>
      </c>
      <c r="BK58" s="243" t="s">
        <v>221</v>
      </c>
      <c r="BL58" s="243" t="s">
        <v>221</v>
      </c>
      <c r="BM58" s="243" t="s">
        <v>221</v>
      </c>
      <c r="BN58" s="243" t="s">
        <v>221</v>
      </c>
      <c r="BO58" s="243" t="s">
        <v>221</v>
      </c>
      <c r="BP58" s="243" t="s">
        <v>221</v>
      </c>
      <c r="BQ58" s="243" t="s">
        <v>221</v>
      </c>
      <c r="BR58" s="243" t="s">
        <v>221</v>
      </c>
      <c r="BS58" s="243" t="s">
        <v>221</v>
      </c>
      <c r="BT58" s="243" t="s">
        <v>221</v>
      </c>
      <c r="BU58" s="243" t="s">
        <v>221</v>
      </c>
      <c r="BV58" s="243" t="s">
        <v>221</v>
      </c>
      <c r="BW58" s="243" t="s">
        <v>221</v>
      </c>
      <c r="BX58" s="243" t="s">
        <v>221</v>
      </c>
      <c r="BY58" s="243" t="s">
        <v>221</v>
      </c>
      <c r="BZ58" s="243" t="s">
        <v>221</v>
      </c>
      <c r="CA58" s="243" t="s">
        <v>221</v>
      </c>
      <c r="CB58" s="243" t="s">
        <v>221</v>
      </c>
      <c r="CC58" s="243" t="s">
        <v>221</v>
      </c>
      <c r="CD58" s="243" t="s">
        <v>221</v>
      </c>
      <c r="CE58" s="243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184">
        <v>2249</v>
      </c>
      <c r="F59" s="184"/>
      <c r="G59" s="184"/>
      <c r="H59" s="184"/>
      <c r="I59" s="184"/>
      <c r="J59" s="349">
        <v>696</v>
      </c>
      <c r="K59" s="184"/>
      <c r="L59" s="349">
        <v>1518</v>
      </c>
      <c r="M59" s="184"/>
      <c r="N59" s="184"/>
      <c r="O59" s="349">
        <v>696</v>
      </c>
      <c r="P59" s="349">
        <v>103979</v>
      </c>
      <c r="Q59" s="185"/>
      <c r="R59" s="349"/>
      <c r="S59" s="349"/>
      <c r="T59" s="244"/>
      <c r="U59" s="289">
        <v>141216</v>
      </c>
      <c r="V59" s="185"/>
      <c r="W59" s="185">
        <v>1074</v>
      </c>
      <c r="X59" s="185">
        <v>4001</v>
      </c>
      <c r="Y59" s="185">
        <v>20472</v>
      </c>
      <c r="Z59" s="185"/>
      <c r="AA59" s="185"/>
      <c r="AB59" s="349"/>
      <c r="AC59" s="349"/>
      <c r="AD59" s="185"/>
      <c r="AE59" s="349">
        <v>11636</v>
      </c>
      <c r="AF59" s="185"/>
      <c r="AG59" s="349">
        <v>9662</v>
      </c>
      <c r="AH59" s="349">
        <v>1767</v>
      </c>
      <c r="AI59" s="349">
        <v>2966</v>
      </c>
      <c r="AJ59" s="349">
        <v>50856</v>
      </c>
      <c r="AK59" s="349">
        <v>1513</v>
      </c>
      <c r="AL59" s="349">
        <v>2617</v>
      </c>
      <c r="AM59" s="185"/>
      <c r="AN59" s="185"/>
      <c r="AO59" s="348">
        <f>598*24</f>
        <v>14352</v>
      </c>
      <c r="AP59" s="349">
        <v>675</v>
      </c>
      <c r="AQ59" s="185"/>
      <c r="AR59" s="185"/>
      <c r="AS59" s="185"/>
      <c r="AT59" s="185"/>
      <c r="AU59" s="185"/>
      <c r="AV59" s="244"/>
      <c r="AW59" s="244"/>
      <c r="AX59" s="244"/>
      <c r="AY59" s="185">
        <v>18950</v>
      </c>
      <c r="AZ59" s="185"/>
      <c r="BA59" s="244">
        <v>181548</v>
      </c>
      <c r="BB59" s="244"/>
      <c r="BC59" s="244"/>
      <c r="BD59" s="244"/>
      <c r="BE59" s="185">
        <v>103931</v>
      </c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4"/>
      <c r="BY59" s="244"/>
      <c r="BZ59" s="244"/>
      <c r="CA59" s="244"/>
      <c r="CB59" s="244"/>
      <c r="CC59" s="244"/>
      <c r="CD59" s="245"/>
      <c r="CE59" s="195"/>
    </row>
    <row r="60" spans="1:84" ht="12.65" customHeight="1" x14ac:dyDescent="0.35">
      <c r="A60" s="246" t="s">
        <v>234</v>
      </c>
      <c r="B60" s="175"/>
      <c r="C60" s="186"/>
      <c r="D60" s="187"/>
      <c r="E60" s="187">
        <v>19.36</v>
      </c>
      <c r="F60" s="219"/>
      <c r="G60" s="187"/>
      <c r="H60" s="187"/>
      <c r="I60" s="187"/>
      <c r="J60" s="355">
        <v>6</v>
      </c>
      <c r="K60" s="187"/>
      <c r="L60" s="353">
        <v>12.24</v>
      </c>
      <c r="M60" s="353"/>
      <c r="N60" s="353"/>
      <c r="O60" s="353">
        <v>23.28</v>
      </c>
      <c r="P60" s="353">
        <v>31.1</v>
      </c>
      <c r="Q60" s="217"/>
      <c r="R60" s="353"/>
      <c r="S60" s="353">
        <v>4.99</v>
      </c>
      <c r="T60" s="217"/>
      <c r="U60" s="310">
        <v>31.25</v>
      </c>
      <c r="V60" s="217"/>
      <c r="W60" s="217">
        <v>1.1499999999999999</v>
      </c>
      <c r="X60" s="217">
        <v>15.89</v>
      </c>
      <c r="Y60" s="217">
        <v>10.1</v>
      </c>
      <c r="Z60" s="217"/>
      <c r="AA60" s="217"/>
      <c r="AB60" s="353">
        <v>3.22</v>
      </c>
      <c r="AC60" s="353">
        <v>17.010000000000002</v>
      </c>
      <c r="AD60" s="217"/>
      <c r="AE60" s="353"/>
      <c r="AF60" s="217"/>
      <c r="AG60" s="353">
        <v>37.79</v>
      </c>
      <c r="AH60" s="353">
        <v>25.78</v>
      </c>
      <c r="AI60" s="353">
        <v>3.37</v>
      </c>
      <c r="AJ60" s="353">
        <v>81.31</v>
      </c>
      <c r="AK60" s="353"/>
      <c r="AL60" s="353"/>
      <c r="AM60" s="217"/>
      <c r="AN60" s="217"/>
      <c r="AO60" s="217">
        <v>4.43</v>
      </c>
      <c r="AP60" s="353">
        <v>2.5499999999999998</v>
      </c>
      <c r="AQ60" s="217"/>
      <c r="AR60" s="217"/>
      <c r="AS60" s="217"/>
      <c r="AT60" s="217"/>
      <c r="AU60" s="217"/>
      <c r="AV60" s="217"/>
      <c r="AW60" s="217"/>
      <c r="AX60" s="217"/>
      <c r="AY60" s="217">
        <v>14.65</v>
      </c>
      <c r="AZ60" s="217"/>
      <c r="BA60" s="217">
        <v>3.84</v>
      </c>
      <c r="BB60" s="217">
        <v>2.11</v>
      </c>
      <c r="BC60" s="217"/>
      <c r="BD60" s="217">
        <v>0</v>
      </c>
      <c r="BE60" s="217">
        <v>8.4</v>
      </c>
      <c r="BF60" s="217">
        <v>15.13</v>
      </c>
      <c r="BG60" s="217"/>
      <c r="BH60" s="217">
        <v>9.4600000000000009</v>
      </c>
      <c r="BI60" s="217"/>
      <c r="BJ60" s="217">
        <v>5.53</v>
      </c>
      <c r="BK60" s="217">
        <v>28.37</v>
      </c>
      <c r="BL60" s="217"/>
      <c r="BM60" s="217"/>
      <c r="BN60" s="217">
        <v>2.52</v>
      </c>
      <c r="BO60" s="217">
        <v>0.74</v>
      </c>
      <c r="BP60" s="217">
        <v>3.08</v>
      </c>
      <c r="BQ60" s="217"/>
      <c r="BR60" s="217">
        <v>4.38</v>
      </c>
      <c r="BS60" s="217"/>
      <c r="BT60" s="217"/>
      <c r="BU60" s="217"/>
      <c r="BV60" s="217">
        <v>7.46</v>
      </c>
      <c r="BW60" s="217">
        <v>2.08</v>
      </c>
      <c r="BX60" s="217">
        <v>0</v>
      </c>
      <c r="BY60" s="217">
        <v>16.03</v>
      </c>
      <c r="BZ60" s="217"/>
      <c r="CA60" s="217"/>
      <c r="CB60" s="217"/>
      <c r="CC60" s="217"/>
      <c r="CD60" s="245" t="s">
        <v>221</v>
      </c>
      <c r="CE60" s="247">
        <f>SUM(C60:CD60)</f>
        <v>454.5999999999998</v>
      </c>
    </row>
    <row r="61" spans="1:84" ht="12.65" customHeight="1" x14ac:dyDescent="0.35">
      <c r="A61" s="171" t="s">
        <v>235</v>
      </c>
      <c r="B61" s="175"/>
      <c r="C61" s="184"/>
      <c r="D61" s="184"/>
      <c r="E61" s="349">
        <v>662073</v>
      </c>
      <c r="F61" s="185"/>
      <c r="G61" s="184"/>
      <c r="H61" s="184"/>
      <c r="I61" s="185"/>
      <c r="J61" s="348">
        <v>191841</v>
      </c>
      <c r="K61" s="185"/>
      <c r="L61" s="348">
        <v>418413</v>
      </c>
      <c r="M61" s="184"/>
      <c r="N61" s="184"/>
      <c r="O61" s="349">
        <v>1353484</v>
      </c>
      <c r="P61" s="349">
        <v>1390102</v>
      </c>
      <c r="Q61" s="185"/>
      <c r="R61" s="349"/>
      <c r="S61" s="289">
        <v>171374</v>
      </c>
      <c r="T61" s="185"/>
      <c r="U61" s="289">
        <v>1265358</v>
      </c>
      <c r="V61" s="185"/>
      <c r="W61" s="185">
        <v>63600</v>
      </c>
      <c r="X61" s="348">
        <v>875174</v>
      </c>
      <c r="Y61" s="348">
        <v>556300</v>
      </c>
      <c r="Z61" s="185"/>
      <c r="AA61" s="185"/>
      <c r="AB61" s="349">
        <v>230168</v>
      </c>
      <c r="AC61" s="349">
        <v>596395</v>
      </c>
      <c r="AD61" s="185"/>
      <c r="AE61" s="349"/>
      <c r="AF61" s="185"/>
      <c r="AG61" s="349">
        <v>3272109</v>
      </c>
      <c r="AH61" s="349">
        <v>951741</v>
      </c>
      <c r="AI61" s="349">
        <v>236917</v>
      </c>
      <c r="AJ61" s="349">
        <v>9792266</v>
      </c>
      <c r="AK61" s="349"/>
      <c r="AL61" s="349"/>
      <c r="AM61" s="185"/>
      <c r="AN61" s="185"/>
      <c r="AO61" s="185">
        <v>164830</v>
      </c>
      <c r="AP61" s="349">
        <v>342303</v>
      </c>
      <c r="AQ61" s="185"/>
      <c r="AR61" s="185"/>
      <c r="AS61" s="185"/>
      <c r="AT61" s="185"/>
      <c r="AU61" s="185"/>
      <c r="AV61" s="185"/>
      <c r="AW61" s="185"/>
      <c r="AX61" s="185"/>
      <c r="AY61" s="185">
        <v>439171</v>
      </c>
      <c r="AZ61" s="185"/>
      <c r="BA61" s="185">
        <v>110922</v>
      </c>
      <c r="BB61" s="185">
        <v>215465</v>
      </c>
      <c r="BC61" s="185"/>
      <c r="BD61" s="185">
        <v>0</v>
      </c>
      <c r="BE61" s="185">
        <v>373031</v>
      </c>
      <c r="BF61" s="185">
        <v>376538</v>
      </c>
      <c r="BG61" s="185"/>
      <c r="BH61" s="185">
        <v>604806</v>
      </c>
      <c r="BI61" s="185"/>
      <c r="BJ61" s="185">
        <v>548991</v>
      </c>
      <c r="BK61" s="185">
        <v>1142892</v>
      </c>
      <c r="BL61" s="185"/>
      <c r="BM61" s="185"/>
      <c r="BN61" s="185">
        <v>806164</v>
      </c>
      <c r="BO61" s="185">
        <v>63681</v>
      </c>
      <c r="BP61" s="185">
        <v>206895</v>
      </c>
      <c r="BQ61" s="185"/>
      <c r="BR61" s="185">
        <v>336807</v>
      </c>
      <c r="BS61" s="185"/>
      <c r="BT61" s="185"/>
      <c r="BU61" s="185"/>
      <c r="BV61" s="185">
        <v>384182</v>
      </c>
      <c r="BW61" s="185">
        <v>191105</v>
      </c>
      <c r="BX61" s="185">
        <v>0</v>
      </c>
      <c r="BY61" s="185">
        <v>927940</v>
      </c>
      <c r="BZ61" s="185"/>
      <c r="CA61" s="185"/>
      <c r="CB61" s="185"/>
      <c r="CC61" s="185"/>
      <c r="CD61" s="245" t="s">
        <v>221</v>
      </c>
      <c r="CE61" s="195">
        <f t="shared" ref="CE61:CE70" si="0">SUM(C61:CD61)</f>
        <v>29263038</v>
      </c>
      <c r="CF61" s="248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145987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42301</v>
      </c>
      <c r="K62" s="195">
        <f t="shared" si="1"/>
        <v>0</v>
      </c>
      <c r="L62" s="195">
        <f t="shared" si="1"/>
        <v>92260</v>
      </c>
      <c r="M62" s="195">
        <f t="shared" si="1"/>
        <v>0</v>
      </c>
      <c r="N62" s="195">
        <f t="shared" si="1"/>
        <v>0</v>
      </c>
      <c r="O62" s="195">
        <f t="shared" si="1"/>
        <v>298444</v>
      </c>
      <c r="P62" s="299">
        <f t="shared" si="1"/>
        <v>306518</v>
      </c>
      <c r="Q62" s="195">
        <f t="shared" si="1"/>
        <v>0</v>
      </c>
      <c r="R62" s="299">
        <f t="shared" si="1"/>
        <v>0</v>
      </c>
      <c r="S62" s="299">
        <f t="shared" si="1"/>
        <v>37788</v>
      </c>
      <c r="T62" s="195">
        <f t="shared" si="1"/>
        <v>0</v>
      </c>
      <c r="U62" s="299">
        <f t="shared" si="1"/>
        <v>279012</v>
      </c>
      <c r="V62" s="195">
        <f t="shared" si="1"/>
        <v>0</v>
      </c>
      <c r="W62" s="195">
        <f t="shared" si="1"/>
        <v>14024</v>
      </c>
      <c r="X62" s="195">
        <f t="shared" si="1"/>
        <v>192976</v>
      </c>
      <c r="Y62" s="195">
        <f t="shared" si="1"/>
        <v>122664</v>
      </c>
      <c r="Z62" s="195">
        <f t="shared" si="1"/>
        <v>0</v>
      </c>
      <c r="AA62" s="195">
        <f t="shared" si="1"/>
        <v>0</v>
      </c>
      <c r="AB62" s="299">
        <f t="shared" si="1"/>
        <v>50752</v>
      </c>
      <c r="AC62" s="299">
        <f t="shared" si="1"/>
        <v>131505</v>
      </c>
      <c r="AD62" s="195">
        <f t="shared" si="1"/>
        <v>0</v>
      </c>
      <c r="AE62" s="299">
        <f t="shared" si="1"/>
        <v>0</v>
      </c>
      <c r="AF62" s="195">
        <f t="shared" si="1"/>
        <v>0</v>
      </c>
      <c r="AG62" s="299">
        <f t="shared" si="1"/>
        <v>721502</v>
      </c>
      <c r="AH62" s="299">
        <f t="shared" si="1"/>
        <v>209859</v>
      </c>
      <c r="AI62" s="299">
        <f t="shared" si="1"/>
        <v>52240</v>
      </c>
      <c r="AJ62" s="299">
        <f t="shared" si="1"/>
        <v>2159199</v>
      </c>
      <c r="AK62" s="299">
        <f t="shared" si="1"/>
        <v>0</v>
      </c>
      <c r="AL62" s="299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36345</v>
      </c>
      <c r="AP62" s="299">
        <f t="shared" si="1"/>
        <v>75478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96837</v>
      </c>
      <c r="AZ62" s="195">
        <f>ROUND(AZ47+AZ48,0)</f>
        <v>0</v>
      </c>
      <c r="BA62" s="195">
        <f>ROUND(BA47+BA48,0)</f>
        <v>24458</v>
      </c>
      <c r="BB62" s="195">
        <f t="shared" si="1"/>
        <v>47510</v>
      </c>
      <c r="BC62" s="195">
        <f t="shared" si="1"/>
        <v>0</v>
      </c>
      <c r="BD62" s="195">
        <f t="shared" si="1"/>
        <v>0</v>
      </c>
      <c r="BE62" s="195">
        <f t="shared" si="1"/>
        <v>82254</v>
      </c>
      <c r="BF62" s="195">
        <f t="shared" si="1"/>
        <v>83027</v>
      </c>
      <c r="BG62" s="195">
        <f t="shared" si="1"/>
        <v>0</v>
      </c>
      <c r="BH62" s="195">
        <f t="shared" si="1"/>
        <v>133360</v>
      </c>
      <c r="BI62" s="195">
        <f t="shared" si="1"/>
        <v>0</v>
      </c>
      <c r="BJ62" s="195">
        <f t="shared" si="1"/>
        <v>121053</v>
      </c>
      <c r="BK62" s="195">
        <f t="shared" si="1"/>
        <v>252008</v>
      </c>
      <c r="BL62" s="195">
        <f t="shared" si="1"/>
        <v>0</v>
      </c>
      <c r="BM62" s="195">
        <f t="shared" si="1"/>
        <v>0</v>
      </c>
      <c r="BN62" s="195">
        <f t="shared" si="1"/>
        <v>177760</v>
      </c>
      <c r="BO62" s="195">
        <f t="shared" ref="BO62:CC62" si="2">ROUND(BO47+BO48,0)</f>
        <v>14042</v>
      </c>
      <c r="BP62" s="195">
        <f t="shared" si="2"/>
        <v>45620</v>
      </c>
      <c r="BQ62" s="195">
        <f t="shared" si="2"/>
        <v>0</v>
      </c>
      <c r="BR62" s="195">
        <f t="shared" si="2"/>
        <v>74266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84712</v>
      </c>
      <c r="BW62" s="195">
        <f t="shared" si="2"/>
        <v>42139</v>
      </c>
      <c r="BX62" s="195">
        <f t="shared" si="2"/>
        <v>0</v>
      </c>
      <c r="BY62" s="195">
        <f t="shared" si="2"/>
        <v>204611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0</v>
      </c>
      <c r="CD62" s="245" t="s">
        <v>221</v>
      </c>
      <c r="CE62" s="195">
        <f t="shared" si="0"/>
        <v>6452511</v>
      </c>
      <c r="CF62" s="248"/>
    </row>
    <row r="63" spans="1:84" ht="12.65" customHeight="1" x14ac:dyDescent="0.35">
      <c r="A63" s="275" t="s">
        <v>236</v>
      </c>
      <c r="B63" s="175"/>
      <c r="C63" s="184"/>
      <c r="D63" s="184"/>
      <c r="E63" s="349">
        <v>1052911</v>
      </c>
      <c r="F63" s="348"/>
      <c r="G63" s="349"/>
      <c r="H63" s="349"/>
      <c r="I63" s="348"/>
      <c r="J63" s="348">
        <v>305090</v>
      </c>
      <c r="K63" s="348"/>
      <c r="L63" s="348">
        <v>665412</v>
      </c>
      <c r="M63" s="184"/>
      <c r="N63" s="184"/>
      <c r="O63" s="349">
        <v>207000</v>
      </c>
      <c r="P63" s="349">
        <v>59250</v>
      </c>
      <c r="Q63" s="185"/>
      <c r="R63" s="349">
        <v>934111</v>
      </c>
      <c r="S63" s="349"/>
      <c r="T63" s="185"/>
      <c r="U63" s="289">
        <v>8250</v>
      </c>
      <c r="V63" s="185"/>
      <c r="W63" s="185">
        <v>42172</v>
      </c>
      <c r="X63" s="348">
        <v>580307</v>
      </c>
      <c r="Y63" s="348">
        <v>368870</v>
      </c>
      <c r="Z63" s="185"/>
      <c r="AA63" s="185"/>
      <c r="AB63" s="349">
        <v>0</v>
      </c>
      <c r="AC63" s="349">
        <v>250</v>
      </c>
      <c r="AD63" s="185"/>
      <c r="AE63" s="349">
        <v>1343027</v>
      </c>
      <c r="AF63" s="185"/>
      <c r="AG63" s="349">
        <v>129522</v>
      </c>
      <c r="AH63" s="349"/>
      <c r="AI63" s="349"/>
      <c r="AJ63" s="349">
        <v>176149</v>
      </c>
      <c r="AK63" s="349">
        <v>257795</v>
      </c>
      <c r="AL63" s="349">
        <v>218446</v>
      </c>
      <c r="AM63" s="185"/>
      <c r="AN63" s="185"/>
      <c r="AO63" s="185">
        <v>262132</v>
      </c>
      <c r="AP63" s="349">
        <v>0</v>
      </c>
      <c r="AQ63" s="185"/>
      <c r="AR63" s="185"/>
      <c r="AS63" s="185"/>
      <c r="AT63" s="185"/>
      <c r="AU63" s="185"/>
      <c r="AV63" s="185"/>
      <c r="AW63" s="185"/>
      <c r="AX63" s="185"/>
      <c r="AY63" s="185">
        <v>9144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189489</v>
      </c>
      <c r="BK63" s="185">
        <v>80535</v>
      </c>
      <c r="BL63" s="185"/>
      <c r="BM63" s="185"/>
      <c r="BN63" s="185">
        <v>207576</v>
      </c>
      <c r="BO63" s="185"/>
      <c r="BP63" s="185"/>
      <c r="BQ63" s="185"/>
      <c r="BR63" s="185">
        <v>84786</v>
      </c>
      <c r="BS63" s="185"/>
      <c r="BT63" s="185"/>
      <c r="BU63" s="185"/>
      <c r="BV63" s="185">
        <v>91141</v>
      </c>
      <c r="BW63" s="185">
        <v>189259</v>
      </c>
      <c r="BX63" s="185"/>
      <c r="BY63" s="185">
        <v>0</v>
      </c>
      <c r="BZ63" s="185"/>
      <c r="CA63" s="185"/>
      <c r="CB63" s="185"/>
      <c r="CC63" s="185"/>
      <c r="CD63" s="245" t="s">
        <v>221</v>
      </c>
      <c r="CE63" s="195">
        <f t="shared" si="0"/>
        <v>7462624</v>
      </c>
      <c r="CF63" s="248"/>
    </row>
    <row r="64" spans="1:84" ht="12.65" customHeight="1" x14ac:dyDescent="0.35">
      <c r="A64" s="171" t="s">
        <v>237</v>
      </c>
      <c r="B64" s="175"/>
      <c r="C64" s="184"/>
      <c r="D64" s="184"/>
      <c r="E64" s="185">
        <v>88603</v>
      </c>
      <c r="F64" s="185"/>
      <c r="G64" s="184"/>
      <c r="H64" s="184"/>
      <c r="I64" s="185"/>
      <c r="J64" s="185">
        <v>25673</v>
      </c>
      <c r="K64" s="185"/>
      <c r="L64" s="185">
        <v>55995</v>
      </c>
      <c r="M64" s="184"/>
      <c r="N64" s="184"/>
      <c r="O64" s="349">
        <v>199693</v>
      </c>
      <c r="P64" s="349">
        <v>2178851</v>
      </c>
      <c r="Q64" s="185"/>
      <c r="R64" s="349">
        <v>2744</v>
      </c>
      <c r="S64" s="349">
        <v>-158137</v>
      </c>
      <c r="T64" s="185"/>
      <c r="U64" s="289">
        <v>1114168</v>
      </c>
      <c r="V64" s="185"/>
      <c r="W64" s="185">
        <v>8279</v>
      </c>
      <c r="X64" s="185">
        <v>113923</v>
      </c>
      <c r="Y64" s="185">
        <v>72414</v>
      </c>
      <c r="Z64" s="185"/>
      <c r="AA64" s="185"/>
      <c r="AB64" s="349">
        <v>1155000</v>
      </c>
      <c r="AC64" s="349">
        <v>74430</v>
      </c>
      <c r="AD64" s="185"/>
      <c r="AE64" s="349">
        <v>23399</v>
      </c>
      <c r="AF64" s="185"/>
      <c r="AG64" s="349">
        <v>145968</v>
      </c>
      <c r="AH64" s="349">
        <v>43746</v>
      </c>
      <c r="AI64" s="349">
        <v>33825</v>
      </c>
      <c r="AJ64" s="349">
        <v>727264</v>
      </c>
      <c r="AK64" s="349">
        <v>1398</v>
      </c>
      <c r="AL64" s="349">
        <v>3449</v>
      </c>
      <c r="AM64" s="185"/>
      <c r="AN64" s="185"/>
      <c r="AO64" s="185">
        <v>22058</v>
      </c>
      <c r="AP64" s="349">
        <v>992</v>
      </c>
      <c r="AQ64" s="185"/>
      <c r="AR64" s="185"/>
      <c r="AS64" s="185"/>
      <c r="AT64" s="185"/>
      <c r="AU64" s="185"/>
      <c r="AV64" s="185"/>
      <c r="AW64" s="185"/>
      <c r="AX64" s="185"/>
      <c r="AY64" s="185">
        <v>228969</v>
      </c>
      <c r="AZ64" s="185"/>
      <c r="BA64" s="185">
        <v>54373</v>
      </c>
      <c r="BB64" s="185">
        <v>407</v>
      </c>
      <c r="BC64" s="185"/>
      <c r="BD64" s="185">
        <v>0</v>
      </c>
      <c r="BE64" s="185">
        <v>32410</v>
      </c>
      <c r="BF64" s="185">
        <v>26549</v>
      </c>
      <c r="BG64" s="185"/>
      <c r="BH64" s="185">
        <v>1349672</v>
      </c>
      <c r="BI64" s="185"/>
      <c r="BJ64" s="185">
        <v>5317</v>
      </c>
      <c r="BK64" s="185">
        <v>67541</v>
      </c>
      <c r="BL64" s="185"/>
      <c r="BM64" s="185"/>
      <c r="BN64" s="185">
        <v>-51039</v>
      </c>
      <c r="BO64" s="185">
        <v>125</v>
      </c>
      <c r="BP64" s="185">
        <v>260014</v>
      </c>
      <c r="BQ64" s="185"/>
      <c r="BR64" s="185">
        <v>203140</v>
      </c>
      <c r="BS64" s="185"/>
      <c r="BT64" s="185"/>
      <c r="BU64" s="185"/>
      <c r="BV64" s="185">
        <v>3803</v>
      </c>
      <c r="BW64" s="185">
        <v>103627</v>
      </c>
      <c r="BX64" s="185">
        <v>2118</v>
      </c>
      <c r="BY64" s="185">
        <v>1072</v>
      </c>
      <c r="BZ64" s="185"/>
      <c r="CA64" s="185"/>
      <c r="CB64" s="185"/>
      <c r="CC64" s="185"/>
      <c r="CD64" s="245" t="s">
        <v>221</v>
      </c>
      <c r="CE64" s="195">
        <f t="shared" si="0"/>
        <v>8221833</v>
      </c>
      <c r="CF64" s="248"/>
    </row>
    <row r="65" spans="1:84" ht="12.65" customHeight="1" x14ac:dyDescent="0.35">
      <c r="A65" s="171" t="s">
        <v>238</v>
      </c>
      <c r="B65" s="175"/>
      <c r="C65" s="349"/>
      <c r="D65" s="349"/>
      <c r="E65" s="349">
        <v>0</v>
      </c>
      <c r="F65" s="349"/>
      <c r="G65" s="349"/>
      <c r="H65" s="349"/>
      <c r="I65" s="348"/>
      <c r="J65" s="349"/>
      <c r="K65" s="348"/>
      <c r="L65" s="348"/>
      <c r="M65" s="349"/>
      <c r="N65" s="349"/>
      <c r="O65" s="349"/>
      <c r="P65" s="349"/>
      <c r="Q65" s="348"/>
      <c r="R65" s="349"/>
      <c r="S65" s="349">
        <v>4437</v>
      </c>
      <c r="T65" s="348"/>
      <c r="U65" s="348"/>
      <c r="V65" s="348"/>
      <c r="W65" s="348"/>
      <c r="X65" s="348"/>
      <c r="Y65" s="348"/>
      <c r="Z65" s="348"/>
      <c r="AA65" s="348"/>
      <c r="AB65" s="349"/>
      <c r="AC65" s="349"/>
      <c r="AD65" s="348"/>
      <c r="AE65" s="349">
        <v>10413</v>
      </c>
      <c r="AF65" s="185"/>
      <c r="AG65" s="349"/>
      <c r="AH65" s="349">
        <v>30062</v>
      </c>
      <c r="AI65" s="349"/>
      <c r="AJ65" s="349">
        <v>66439</v>
      </c>
      <c r="AK65" s="349">
        <v>970</v>
      </c>
      <c r="AL65" s="349">
        <v>476</v>
      </c>
      <c r="AM65" s="185"/>
      <c r="AN65" s="185"/>
      <c r="AO65" s="185"/>
      <c r="AP65" s="349">
        <v>2961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>
        <v>0</v>
      </c>
      <c r="BC65" s="185"/>
      <c r="BD65" s="185">
        <v>0</v>
      </c>
      <c r="BE65" s="185">
        <v>287590</v>
      </c>
      <c r="BF65" s="185"/>
      <c r="BG65" s="185"/>
      <c r="BH65" s="185">
        <v>172427</v>
      </c>
      <c r="BI65" s="185"/>
      <c r="BJ65" s="185"/>
      <c r="BK65" s="185"/>
      <c r="BL65" s="185"/>
      <c r="BM65" s="185"/>
      <c r="BN65" s="185"/>
      <c r="BO65" s="185"/>
      <c r="BP65" s="185" t="s">
        <v>1011</v>
      </c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5" t="s">
        <v>221</v>
      </c>
      <c r="CE65" s="195">
        <f t="shared" si="0"/>
        <v>575775</v>
      </c>
      <c r="CF65" s="248"/>
    </row>
    <row r="66" spans="1:84" ht="12.65" customHeight="1" x14ac:dyDescent="0.35">
      <c r="A66" s="171" t="s">
        <v>239</v>
      </c>
      <c r="B66" s="175"/>
      <c r="C66" s="184"/>
      <c r="D66" s="184"/>
      <c r="E66" s="184">
        <v>15827</v>
      </c>
      <c r="F66" s="184"/>
      <c r="G66" s="184"/>
      <c r="H66" s="184"/>
      <c r="I66" s="184"/>
      <c r="J66" s="184">
        <v>4586</v>
      </c>
      <c r="K66" s="185"/>
      <c r="L66" s="185">
        <v>10002</v>
      </c>
      <c r="M66" s="184"/>
      <c r="N66" s="184"/>
      <c r="O66" s="348">
        <v>21883</v>
      </c>
      <c r="P66" s="348">
        <v>126059</v>
      </c>
      <c r="Q66" s="185"/>
      <c r="R66" s="348">
        <v>8425</v>
      </c>
      <c r="S66" s="348">
        <v>2283</v>
      </c>
      <c r="T66" s="184"/>
      <c r="U66" s="289">
        <v>630593</v>
      </c>
      <c r="V66" s="185"/>
      <c r="W66" s="185">
        <v>17760</v>
      </c>
      <c r="X66" s="185">
        <v>244377</v>
      </c>
      <c r="Y66" s="185">
        <v>155337</v>
      </c>
      <c r="Z66" s="185"/>
      <c r="AA66" s="185"/>
      <c r="AB66" s="348">
        <v>138846</v>
      </c>
      <c r="AC66" s="348">
        <v>3847</v>
      </c>
      <c r="AD66" s="185"/>
      <c r="AE66" s="348">
        <v>31176</v>
      </c>
      <c r="AF66" s="185"/>
      <c r="AG66" s="348">
        <v>4690</v>
      </c>
      <c r="AH66" s="348">
        <v>89570</v>
      </c>
      <c r="AI66" s="348">
        <v>7141</v>
      </c>
      <c r="AJ66" s="348">
        <v>219322</v>
      </c>
      <c r="AK66" s="348">
        <v>1880</v>
      </c>
      <c r="AL66" s="348">
        <v>4965</v>
      </c>
      <c r="AM66" s="185"/>
      <c r="AN66" s="185"/>
      <c r="AO66" s="185">
        <v>3941</v>
      </c>
      <c r="AP66" s="348">
        <v>1988</v>
      </c>
      <c r="AQ66" s="185"/>
      <c r="AR66" s="185"/>
      <c r="AS66" s="185"/>
      <c r="AT66" s="185"/>
      <c r="AU66" s="185"/>
      <c r="AV66" s="185"/>
      <c r="AW66" s="185"/>
      <c r="AX66" s="185"/>
      <c r="AY66" s="185">
        <v>8084</v>
      </c>
      <c r="AZ66" s="185"/>
      <c r="BA66" s="185">
        <v>2342</v>
      </c>
      <c r="BB66" s="185">
        <v>19455</v>
      </c>
      <c r="BC66" s="185"/>
      <c r="BD66" s="185">
        <v>0</v>
      </c>
      <c r="BE66" s="185">
        <v>154851</v>
      </c>
      <c r="BF66" s="185">
        <v>2288</v>
      </c>
      <c r="BG66" s="185"/>
      <c r="BH66" s="185">
        <v>120797</v>
      </c>
      <c r="BI66" s="185"/>
      <c r="BJ66" s="185">
        <v>6088</v>
      </c>
      <c r="BK66" s="185">
        <v>160636</v>
      </c>
      <c r="BL66" s="185"/>
      <c r="BM66" s="185"/>
      <c r="BN66" s="185">
        <v>83387</v>
      </c>
      <c r="BO66" s="185"/>
      <c r="BP66" s="185">
        <v>841925</v>
      </c>
      <c r="BQ66" s="185"/>
      <c r="BR66" s="185">
        <v>46370</v>
      </c>
      <c r="BS66" s="185"/>
      <c r="BT66" s="185"/>
      <c r="BU66" s="185"/>
      <c r="BV66" s="185">
        <v>53484</v>
      </c>
      <c r="BW66" s="185">
        <v>26423</v>
      </c>
      <c r="BX66" s="185">
        <v>9500</v>
      </c>
      <c r="BY66" s="185">
        <v>72634</v>
      </c>
      <c r="BZ66" s="185"/>
      <c r="CA66" s="185"/>
      <c r="CB66" s="185"/>
      <c r="CC66" s="185"/>
      <c r="CD66" s="245" t="s">
        <v>221</v>
      </c>
      <c r="CE66" s="195">
        <f t="shared" si="0"/>
        <v>3352762</v>
      </c>
      <c r="CF66" s="248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116815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33849</v>
      </c>
      <c r="K67" s="195">
        <f t="shared" si="3"/>
        <v>0</v>
      </c>
      <c r="L67" s="195">
        <f t="shared" si="3"/>
        <v>73821</v>
      </c>
      <c r="M67" s="195">
        <f t="shared" si="3"/>
        <v>0</v>
      </c>
      <c r="N67" s="195">
        <f t="shared" si="3"/>
        <v>0</v>
      </c>
      <c r="O67" s="195">
        <f t="shared" si="3"/>
        <v>64358</v>
      </c>
      <c r="P67" s="299">
        <f t="shared" si="3"/>
        <v>184089</v>
      </c>
      <c r="Q67" s="195">
        <f t="shared" si="3"/>
        <v>0</v>
      </c>
      <c r="R67" s="299">
        <f t="shared" si="3"/>
        <v>4268</v>
      </c>
      <c r="S67" s="299">
        <f t="shared" si="3"/>
        <v>38170</v>
      </c>
      <c r="T67" s="195">
        <f t="shared" si="3"/>
        <v>0</v>
      </c>
      <c r="U67" s="299">
        <f t="shared" si="3"/>
        <v>42861</v>
      </c>
      <c r="V67" s="195">
        <f t="shared" si="3"/>
        <v>0</v>
      </c>
      <c r="W67" s="195">
        <f t="shared" si="3"/>
        <v>5911</v>
      </c>
      <c r="X67" s="195">
        <f t="shared" si="3"/>
        <v>81482</v>
      </c>
      <c r="Y67" s="195">
        <f t="shared" si="3"/>
        <v>51794</v>
      </c>
      <c r="Z67" s="195">
        <f t="shared" si="3"/>
        <v>0</v>
      </c>
      <c r="AA67" s="195">
        <f t="shared" si="3"/>
        <v>0</v>
      </c>
      <c r="AB67" s="299">
        <f t="shared" si="3"/>
        <v>10523</v>
      </c>
      <c r="AC67" s="299">
        <f t="shared" si="3"/>
        <v>23856</v>
      </c>
      <c r="AD67" s="195">
        <f t="shared" si="3"/>
        <v>0</v>
      </c>
      <c r="AE67" s="299">
        <f t="shared" si="3"/>
        <v>85723</v>
      </c>
      <c r="AF67" s="195">
        <f t="shared" si="3"/>
        <v>0</v>
      </c>
      <c r="AG67" s="299">
        <f t="shared" si="3"/>
        <v>82250</v>
      </c>
      <c r="AH67" s="299">
        <f t="shared" si="3"/>
        <v>35280</v>
      </c>
      <c r="AI67" s="299">
        <f t="shared" si="3"/>
        <v>16991</v>
      </c>
      <c r="AJ67" s="299">
        <f t="shared" si="3"/>
        <v>832285</v>
      </c>
      <c r="AK67" s="299">
        <f t="shared" si="3"/>
        <v>17813</v>
      </c>
      <c r="AL67" s="299">
        <f t="shared" si="3"/>
        <v>10444</v>
      </c>
      <c r="AM67" s="195">
        <f t="shared" si="3"/>
        <v>0</v>
      </c>
      <c r="AN67" s="195">
        <f t="shared" si="3"/>
        <v>0</v>
      </c>
      <c r="AO67" s="195">
        <f t="shared" si="3"/>
        <v>29078</v>
      </c>
      <c r="AP67" s="299">
        <f t="shared" si="3"/>
        <v>58368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57255</v>
      </c>
      <c r="AZ67" s="195">
        <f>ROUND(AZ51+AZ52,0)</f>
        <v>0</v>
      </c>
      <c r="BA67" s="195">
        <f>ROUND(BA51+BA52,0)</f>
        <v>23538</v>
      </c>
      <c r="BB67" s="195">
        <f t="shared" si="3"/>
        <v>6971</v>
      </c>
      <c r="BC67" s="195">
        <f t="shared" si="3"/>
        <v>0</v>
      </c>
      <c r="BD67" s="195">
        <f t="shared" si="3"/>
        <v>0</v>
      </c>
      <c r="BE67" s="195">
        <f t="shared" si="3"/>
        <v>166197</v>
      </c>
      <c r="BF67" s="195">
        <f t="shared" si="3"/>
        <v>22266</v>
      </c>
      <c r="BG67" s="195">
        <f t="shared" si="3"/>
        <v>0</v>
      </c>
      <c r="BH67" s="195">
        <f t="shared" si="3"/>
        <v>18343</v>
      </c>
      <c r="BI67" s="195">
        <f t="shared" si="3"/>
        <v>0</v>
      </c>
      <c r="BJ67" s="195">
        <f t="shared" si="3"/>
        <v>19721</v>
      </c>
      <c r="BK67" s="195">
        <f t="shared" si="3"/>
        <v>13624</v>
      </c>
      <c r="BL67" s="195">
        <f t="shared" si="3"/>
        <v>0</v>
      </c>
      <c r="BM67" s="195">
        <f t="shared" si="3"/>
        <v>0</v>
      </c>
      <c r="BN67" s="195">
        <f t="shared" si="3"/>
        <v>458143</v>
      </c>
      <c r="BO67" s="195">
        <f t="shared" si="3"/>
        <v>0</v>
      </c>
      <c r="BP67" s="195">
        <f t="shared" si="3"/>
        <v>16302</v>
      </c>
      <c r="BQ67" s="195">
        <f t="shared" ref="BQ67:CC67" si="4">ROUND(BQ51+BQ52,0)</f>
        <v>0</v>
      </c>
      <c r="BR67" s="195">
        <f t="shared" si="4"/>
        <v>6812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26454</v>
      </c>
      <c r="BW67" s="195">
        <f t="shared" si="4"/>
        <v>4347</v>
      </c>
      <c r="BX67" s="195">
        <f t="shared" si="4"/>
        <v>9224</v>
      </c>
      <c r="BY67" s="195">
        <f t="shared" si="4"/>
        <v>5646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5" t="s">
        <v>221</v>
      </c>
      <c r="CE67" s="195">
        <f t="shared" si="0"/>
        <v>2754872</v>
      </c>
      <c r="CF67" s="248"/>
    </row>
    <row r="68" spans="1:84" ht="12.65" customHeight="1" x14ac:dyDescent="0.35">
      <c r="A68" s="171" t="s">
        <v>240</v>
      </c>
      <c r="B68" s="175"/>
      <c r="C68" s="184"/>
      <c r="D68" s="184"/>
      <c r="E68" s="184">
        <v>34481</v>
      </c>
      <c r="F68" s="184"/>
      <c r="G68" s="184"/>
      <c r="H68" s="184"/>
      <c r="I68" s="184"/>
      <c r="J68" s="184">
        <v>9991</v>
      </c>
      <c r="K68" s="185"/>
      <c r="L68" s="185">
        <v>21791</v>
      </c>
      <c r="M68" s="184"/>
      <c r="N68" s="184"/>
      <c r="O68" s="349">
        <v>18416</v>
      </c>
      <c r="P68" s="349">
        <v>521085</v>
      </c>
      <c r="Q68" s="185"/>
      <c r="R68" s="349">
        <v>0</v>
      </c>
      <c r="S68" s="349">
        <v>8104</v>
      </c>
      <c r="T68" s="185"/>
      <c r="U68" s="289">
        <v>95249</v>
      </c>
      <c r="V68" s="185"/>
      <c r="W68" s="185">
        <v>6456</v>
      </c>
      <c r="X68" s="185">
        <v>88835</v>
      </c>
      <c r="Y68" s="185">
        <v>56468</v>
      </c>
      <c r="Z68" s="185"/>
      <c r="AA68" s="185"/>
      <c r="AB68" s="349">
        <v>3713</v>
      </c>
      <c r="AC68" s="349">
        <v>15179</v>
      </c>
      <c r="AD68" s="185"/>
      <c r="AE68" s="349">
        <v>229640</v>
      </c>
      <c r="AF68" s="185"/>
      <c r="AG68" s="349">
        <v>32152</v>
      </c>
      <c r="AH68" s="349">
        <v>1500</v>
      </c>
      <c r="AI68" s="349">
        <v>5020</v>
      </c>
      <c r="AJ68" s="349">
        <v>711102</v>
      </c>
      <c r="AK68" s="349">
        <v>11497</v>
      </c>
      <c r="AL68" s="349">
        <v>5725</v>
      </c>
      <c r="AM68" s="185"/>
      <c r="AN68" s="185"/>
      <c r="AO68" s="185">
        <v>8584</v>
      </c>
      <c r="AP68" s="349">
        <v>56325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>
        <v>0</v>
      </c>
      <c r="BE68" s="185">
        <v>2552</v>
      </c>
      <c r="BF68" s="185"/>
      <c r="BG68" s="185"/>
      <c r="BH68" s="185">
        <v>117249</v>
      </c>
      <c r="BI68" s="185"/>
      <c r="BJ68" s="185">
        <v>0</v>
      </c>
      <c r="BK68" s="185">
        <v>8316</v>
      </c>
      <c r="BL68" s="185"/>
      <c r="BM68" s="185"/>
      <c r="BN68" s="185">
        <v>1843</v>
      </c>
      <c r="BO68" s="185"/>
      <c r="BP68" s="185">
        <v>736</v>
      </c>
      <c r="BQ68" s="185"/>
      <c r="BR68" s="185"/>
      <c r="BS68" s="185"/>
      <c r="BT68" s="185"/>
      <c r="BU68" s="185"/>
      <c r="BV68" s="185">
        <v>1822</v>
      </c>
      <c r="BW68" s="185">
        <v>1381</v>
      </c>
      <c r="BX68" s="185"/>
      <c r="BY68" s="185">
        <v>1</v>
      </c>
      <c r="BZ68" s="185"/>
      <c r="CA68" s="185"/>
      <c r="CB68" s="185"/>
      <c r="CC68" s="185"/>
      <c r="CD68" s="245" t="s">
        <v>221</v>
      </c>
      <c r="CE68" s="195">
        <f t="shared" si="0"/>
        <v>2075213</v>
      </c>
      <c r="CF68" s="248"/>
    </row>
    <row r="69" spans="1:84" ht="12.65" customHeight="1" x14ac:dyDescent="0.35">
      <c r="A69" s="171" t="s">
        <v>241</v>
      </c>
      <c r="B69" s="175"/>
      <c r="C69" s="184"/>
      <c r="D69" s="184"/>
      <c r="E69" s="185">
        <v>8940</v>
      </c>
      <c r="F69" s="185"/>
      <c r="G69" s="184"/>
      <c r="H69" s="184"/>
      <c r="I69" s="185"/>
      <c r="J69" s="185">
        <v>2591</v>
      </c>
      <c r="K69" s="185"/>
      <c r="L69" s="185">
        <v>5650</v>
      </c>
      <c r="M69" s="184"/>
      <c r="N69" s="184"/>
      <c r="O69" s="349">
        <v>15160</v>
      </c>
      <c r="P69" s="349">
        <v>149171</v>
      </c>
      <c r="Q69" s="185"/>
      <c r="R69" s="349">
        <v>3218</v>
      </c>
      <c r="S69" s="349">
        <v>127842</v>
      </c>
      <c r="T69" s="184"/>
      <c r="U69" s="288">
        <v>15703</v>
      </c>
      <c r="V69" s="185"/>
      <c r="W69" s="184">
        <v>1010</v>
      </c>
      <c r="X69" s="185">
        <v>13896</v>
      </c>
      <c r="Y69" s="185">
        <v>8833</v>
      </c>
      <c r="Z69" s="185"/>
      <c r="AA69" s="185"/>
      <c r="AB69" s="349">
        <v>3729</v>
      </c>
      <c r="AC69" s="349">
        <v>11003</v>
      </c>
      <c r="AD69" s="185"/>
      <c r="AE69" s="349">
        <v>8652</v>
      </c>
      <c r="AF69" s="185"/>
      <c r="AG69" s="349">
        <v>32629</v>
      </c>
      <c r="AH69" s="349">
        <v>9566</v>
      </c>
      <c r="AI69" s="349">
        <v>4614</v>
      </c>
      <c r="AJ69" s="349">
        <v>149776</v>
      </c>
      <c r="AK69" s="349">
        <v>0</v>
      </c>
      <c r="AL69" s="349">
        <v>0</v>
      </c>
      <c r="AM69" s="185"/>
      <c r="AN69" s="185"/>
      <c r="AO69" s="184">
        <v>2226</v>
      </c>
      <c r="AP69" s="349">
        <v>2361</v>
      </c>
      <c r="AQ69" s="184"/>
      <c r="AR69" s="184"/>
      <c r="AS69" s="184"/>
      <c r="AT69" s="184"/>
      <c r="AU69" s="185"/>
      <c r="AV69" s="185"/>
      <c r="AW69" s="185"/>
      <c r="AX69" s="185"/>
      <c r="AY69" s="185">
        <v>10682</v>
      </c>
      <c r="AZ69" s="185"/>
      <c r="BA69" s="185">
        <v>140</v>
      </c>
      <c r="BB69" s="185">
        <v>2232</v>
      </c>
      <c r="BC69" s="185"/>
      <c r="BD69" s="185">
        <v>0</v>
      </c>
      <c r="BE69" s="185">
        <v>5254</v>
      </c>
      <c r="BF69" s="185">
        <v>1732</v>
      </c>
      <c r="BG69" s="185"/>
      <c r="BH69" s="220">
        <v>32952</v>
      </c>
      <c r="BI69" s="185"/>
      <c r="BJ69" s="185">
        <v>119208</v>
      </c>
      <c r="BK69" s="185">
        <v>70486</v>
      </c>
      <c r="BL69" s="185"/>
      <c r="BM69" s="185"/>
      <c r="BN69" s="185">
        <v>404876</v>
      </c>
      <c r="BO69" s="185">
        <v>95</v>
      </c>
      <c r="BP69" s="185">
        <v>50122</v>
      </c>
      <c r="BQ69" s="185"/>
      <c r="BR69" s="185">
        <v>188265</v>
      </c>
      <c r="BS69" s="185"/>
      <c r="BT69" s="185"/>
      <c r="BU69" s="185"/>
      <c r="BV69" s="185">
        <v>11659</v>
      </c>
      <c r="BW69" s="185">
        <v>791</v>
      </c>
      <c r="BX69" s="185">
        <v>1150</v>
      </c>
      <c r="BY69" s="185">
        <v>7603</v>
      </c>
      <c r="BZ69" s="185"/>
      <c r="CA69" s="185"/>
      <c r="CB69" s="185"/>
      <c r="CC69" s="185"/>
      <c r="CD69" s="188">
        <v>1279182</v>
      </c>
      <c r="CE69" s="195">
        <f t="shared" si="0"/>
        <v>2762999</v>
      </c>
      <c r="CF69" s="248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349"/>
      <c r="P70" s="349"/>
      <c r="Q70" s="184"/>
      <c r="R70" s="349"/>
      <c r="S70" s="349"/>
      <c r="T70" s="184"/>
      <c r="U70" s="288"/>
      <c r="V70" s="184"/>
      <c r="W70" s="184"/>
      <c r="X70" s="185"/>
      <c r="Y70" s="185"/>
      <c r="Z70" s="185"/>
      <c r="AA70" s="185"/>
      <c r="AB70" s="349"/>
      <c r="AC70" s="349"/>
      <c r="AD70" s="185"/>
      <c r="AE70" s="349"/>
      <c r="AF70" s="185"/>
      <c r="AG70" s="349"/>
      <c r="AH70" s="349"/>
      <c r="AI70" s="349"/>
      <c r="AJ70" s="349"/>
      <c r="AK70" s="349"/>
      <c r="AL70" s="349"/>
      <c r="AM70" s="185"/>
      <c r="AN70" s="185"/>
      <c r="AO70" s="185"/>
      <c r="AP70" s="349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0</v>
      </c>
      <c r="CF70" s="248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2125637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615922</v>
      </c>
      <c r="K71" s="195">
        <f t="shared" si="5"/>
        <v>0</v>
      </c>
      <c r="L71" s="195">
        <f t="shared" si="5"/>
        <v>1343344</v>
      </c>
      <c r="M71" s="195">
        <f t="shared" si="5"/>
        <v>0</v>
      </c>
      <c r="N71" s="195">
        <f t="shared" si="5"/>
        <v>0</v>
      </c>
      <c r="O71" s="195">
        <f t="shared" si="5"/>
        <v>2178438</v>
      </c>
      <c r="P71" s="299">
        <f t="shared" si="5"/>
        <v>4915125</v>
      </c>
      <c r="Q71" s="195">
        <f t="shared" si="5"/>
        <v>0</v>
      </c>
      <c r="R71" s="299">
        <f t="shared" si="5"/>
        <v>952766</v>
      </c>
      <c r="S71" s="299">
        <f t="shared" si="5"/>
        <v>231861</v>
      </c>
      <c r="T71" s="195">
        <f t="shared" si="5"/>
        <v>0</v>
      </c>
      <c r="U71" s="299">
        <f t="shared" si="5"/>
        <v>3451194</v>
      </c>
      <c r="V71" s="195">
        <f t="shared" si="5"/>
        <v>0</v>
      </c>
      <c r="W71" s="195">
        <f t="shared" si="5"/>
        <v>159212</v>
      </c>
      <c r="X71" s="195">
        <f t="shared" si="5"/>
        <v>2190970</v>
      </c>
      <c r="Y71" s="195">
        <f t="shared" si="5"/>
        <v>1392680</v>
      </c>
      <c r="Z71" s="195">
        <f t="shared" si="5"/>
        <v>0</v>
      </c>
      <c r="AA71" s="195">
        <f t="shared" si="5"/>
        <v>0</v>
      </c>
      <c r="AB71" s="299">
        <f t="shared" si="5"/>
        <v>1592731</v>
      </c>
      <c r="AC71" s="299">
        <f t="shared" si="5"/>
        <v>856465</v>
      </c>
      <c r="AD71" s="195">
        <f t="shared" si="5"/>
        <v>0</v>
      </c>
      <c r="AE71" s="299">
        <f t="shared" si="5"/>
        <v>1732030</v>
      </c>
      <c r="AF71" s="195">
        <f t="shared" si="5"/>
        <v>0</v>
      </c>
      <c r="AG71" s="299">
        <f t="shared" si="5"/>
        <v>4420822</v>
      </c>
      <c r="AH71" s="299">
        <f t="shared" si="5"/>
        <v>1371324</v>
      </c>
      <c r="AI71" s="299">
        <f t="shared" si="5"/>
        <v>356748</v>
      </c>
      <c r="AJ71" s="299">
        <f t="shared" ref="AJ71:BO71" si="6">SUM(AJ61:AJ69)-AJ70</f>
        <v>14833802</v>
      </c>
      <c r="AK71" s="299">
        <f t="shared" si="6"/>
        <v>291353</v>
      </c>
      <c r="AL71" s="299">
        <f t="shared" si="6"/>
        <v>243505</v>
      </c>
      <c r="AM71" s="195">
        <f t="shared" si="6"/>
        <v>0</v>
      </c>
      <c r="AN71" s="195">
        <f t="shared" si="6"/>
        <v>0</v>
      </c>
      <c r="AO71" s="195">
        <f t="shared" si="6"/>
        <v>529194</v>
      </c>
      <c r="AP71" s="299">
        <f t="shared" si="6"/>
        <v>540776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850142</v>
      </c>
      <c r="AZ71" s="195">
        <f t="shared" si="6"/>
        <v>0</v>
      </c>
      <c r="BA71" s="195">
        <f t="shared" si="6"/>
        <v>215773</v>
      </c>
      <c r="BB71" s="195">
        <f t="shared" si="6"/>
        <v>292040</v>
      </c>
      <c r="BC71" s="195">
        <f t="shared" si="6"/>
        <v>0</v>
      </c>
      <c r="BD71" s="195">
        <f t="shared" si="6"/>
        <v>0</v>
      </c>
      <c r="BE71" s="195">
        <f t="shared" si="6"/>
        <v>1104139</v>
      </c>
      <c r="BF71" s="195">
        <f t="shared" si="6"/>
        <v>512400</v>
      </c>
      <c r="BG71" s="195">
        <f t="shared" si="6"/>
        <v>0</v>
      </c>
      <c r="BH71" s="195">
        <f t="shared" si="6"/>
        <v>2549606</v>
      </c>
      <c r="BI71" s="195">
        <f t="shared" si="6"/>
        <v>0</v>
      </c>
      <c r="BJ71" s="195">
        <f t="shared" si="6"/>
        <v>1009867</v>
      </c>
      <c r="BK71" s="195">
        <f t="shared" si="6"/>
        <v>1796038</v>
      </c>
      <c r="BL71" s="195">
        <f t="shared" si="6"/>
        <v>0</v>
      </c>
      <c r="BM71" s="195">
        <f t="shared" si="6"/>
        <v>0</v>
      </c>
      <c r="BN71" s="195">
        <f t="shared" si="6"/>
        <v>2088710</v>
      </c>
      <c r="BO71" s="195">
        <f t="shared" si="6"/>
        <v>77943</v>
      </c>
      <c r="BP71" s="195">
        <f t="shared" ref="BP71:CC71" si="7">SUM(BP61:BP69)-BP70</f>
        <v>1421614</v>
      </c>
      <c r="BQ71" s="195">
        <f t="shared" si="7"/>
        <v>0</v>
      </c>
      <c r="BR71" s="195">
        <f t="shared" si="7"/>
        <v>940446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657257</v>
      </c>
      <c r="BW71" s="195">
        <f t="shared" si="7"/>
        <v>559072</v>
      </c>
      <c r="BX71" s="195">
        <f t="shared" si="7"/>
        <v>21992</v>
      </c>
      <c r="BY71" s="195">
        <f t="shared" si="7"/>
        <v>1219507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0</v>
      </c>
      <c r="CD71" s="241">
        <f>CD69-CD70</f>
        <v>1279182</v>
      </c>
      <c r="CE71" s="195">
        <f>SUM(CE61:CE69)-CE70</f>
        <v>62921627</v>
      </c>
      <c r="CF71" s="248"/>
    </row>
    <row r="72" spans="1:84" ht="12.65" customHeight="1" x14ac:dyDescent="0.35">
      <c r="A72" s="171" t="s">
        <v>244</v>
      </c>
      <c r="B72" s="175"/>
      <c r="C72" s="245" t="s">
        <v>221</v>
      </c>
      <c r="D72" s="245" t="s">
        <v>221</v>
      </c>
      <c r="E72" s="245" t="s">
        <v>221</v>
      </c>
      <c r="F72" s="245" t="s">
        <v>221</v>
      </c>
      <c r="G72" s="245" t="s">
        <v>221</v>
      </c>
      <c r="H72" s="245" t="s">
        <v>221</v>
      </c>
      <c r="I72" s="245" t="s">
        <v>221</v>
      </c>
      <c r="J72" s="245" t="s">
        <v>221</v>
      </c>
      <c r="K72" s="249" t="s">
        <v>221</v>
      </c>
      <c r="L72" s="245" t="s">
        <v>221</v>
      </c>
      <c r="M72" s="245" t="s">
        <v>221</v>
      </c>
      <c r="N72" s="245" t="s">
        <v>221</v>
      </c>
      <c r="O72" s="245" t="s">
        <v>221</v>
      </c>
      <c r="P72" s="325" t="s">
        <v>221</v>
      </c>
      <c r="Q72" s="245" t="s">
        <v>221</v>
      </c>
      <c r="R72" s="325" t="s">
        <v>221</v>
      </c>
      <c r="S72" s="325" t="s">
        <v>221</v>
      </c>
      <c r="T72" s="245" t="s">
        <v>221</v>
      </c>
      <c r="U72" s="325" t="s">
        <v>221</v>
      </c>
      <c r="V72" s="245" t="s">
        <v>221</v>
      </c>
      <c r="W72" s="245" t="s">
        <v>221</v>
      </c>
      <c r="X72" s="245" t="s">
        <v>221</v>
      </c>
      <c r="Y72" s="245" t="s">
        <v>221</v>
      </c>
      <c r="Z72" s="245" t="s">
        <v>221</v>
      </c>
      <c r="AA72" s="245" t="s">
        <v>221</v>
      </c>
      <c r="AB72" s="325" t="s">
        <v>221</v>
      </c>
      <c r="AC72" s="325" t="s">
        <v>221</v>
      </c>
      <c r="AD72" s="245" t="s">
        <v>221</v>
      </c>
      <c r="AE72" s="325" t="s">
        <v>221</v>
      </c>
      <c r="AF72" s="245" t="s">
        <v>221</v>
      </c>
      <c r="AG72" s="325" t="s">
        <v>221</v>
      </c>
      <c r="AH72" s="325" t="s">
        <v>221</v>
      </c>
      <c r="AI72" s="325" t="s">
        <v>221</v>
      </c>
      <c r="AJ72" s="325" t="s">
        <v>221</v>
      </c>
      <c r="AK72" s="325" t="s">
        <v>221</v>
      </c>
      <c r="AL72" s="325" t="s">
        <v>221</v>
      </c>
      <c r="AM72" s="245" t="s">
        <v>221</v>
      </c>
      <c r="AN72" s="245" t="s">
        <v>221</v>
      </c>
      <c r="AO72" s="245" t="s">
        <v>221</v>
      </c>
      <c r="AP72" s="325" t="s">
        <v>221</v>
      </c>
      <c r="AQ72" s="245" t="s">
        <v>221</v>
      </c>
      <c r="AR72" s="245" t="s">
        <v>221</v>
      </c>
      <c r="AS72" s="245" t="s">
        <v>221</v>
      </c>
      <c r="AT72" s="245" t="s">
        <v>221</v>
      </c>
      <c r="AU72" s="245" t="s">
        <v>221</v>
      </c>
      <c r="AV72" s="245" t="s">
        <v>221</v>
      </c>
      <c r="AW72" s="245" t="s">
        <v>221</v>
      </c>
      <c r="AX72" s="245" t="s">
        <v>221</v>
      </c>
      <c r="AY72" s="245" t="s">
        <v>221</v>
      </c>
      <c r="AZ72" s="245" t="s">
        <v>221</v>
      </c>
      <c r="BA72" s="245" t="s">
        <v>221</v>
      </c>
      <c r="BB72" s="245" t="s">
        <v>221</v>
      </c>
      <c r="BC72" s="245" t="s">
        <v>221</v>
      </c>
      <c r="BD72" s="245" t="s">
        <v>221</v>
      </c>
      <c r="BE72" s="245" t="s">
        <v>221</v>
      </c>
      <c r="BF72" s="245" t="s">
        <v>221</v>
      </c>
      <c r="BG72" s="245" t="s">
        <v>221</v>
      </c>
      <c r="BH72" s="245" t="s">
        <v>221</v>
      </c>
      <c r="BI72" s="245" t="s">
        <v>221</v>
      </c>
      <c r="BJ72" s="245" t="s">
        <v>221</v>
      </c>
      <c r="BK72" s="245" t="s">
        <v>221</v>
      </c>
      <c r="BL72" s="245" t="s">
        <v>221</v>
      </c>
      <c r="BM72" s="245" t="s">
        <v>221</v>
      </c>
      <c r="BN72" s="245" t="s">
        <v>221</v>
      </c>
      <c r="BO72" s="245" t="s">
        <v>221</v>
      </c>
      <c r="BP72" s="245" t="s">
        <v>221</v>
      </c>
      <c r="BQ72" s="245" t="s">
        <v>221</v>
      </c>
      <c r="BR72" s="245" t="s">
        <v>221</v>
      </c>
      <c r="BS72" s="245" t="s">
        <v>221</v>
      </c>
      <c r="BT72" s="245" t="s">
        <v>221</v>
      </c>
      <c r="BU72" s="245" t="s">
        <v>221</v>
      </c>
      <c r="BV72" s="245" t="s">
        <v>221</v>
      </c>
      <c r="BW72" s="245" t="s">
        <v>221</v>
      </c>
      <c r="BX72" s="245" t="s">
        <v>221</v>
      </c>
      <c r="BY72" s="245" t="s">
        <v>221</v>
      </c>
      <c r="BZ72" s="245" t="s">
        <v>221</v>
      </c>
      <c r="CA72" s="245" t="s">
        <v>221</v>
      </c>
      <c r="CB72" s="245" t="s">
        <v>221</v>
      </c>
      <c r="CC72" s="245" t="s">
        <v>221</v>
      </c>
      <c r="CD72" s="245" t="s">
        <v>221</v>
      </c>
      <c r="CE72" s="188">
        <v>856225</v>
      </c>
      <c r="CF72" s="248"/>
    </row>
    <row r="73" spans="1:84" ht="12.65" customHeight="1" x14ac:dyDescent="0.35">
      <c r="A73" s="171" t="s">
        <v>245</v>
      </c>
      <c r="B73" s="175"/>
      <c r="C73" s="184"/>
      <c r="D73" s="184"/>
      <c r="E73" s="185">
        <v>5157604</v>
      </c>
      <c r="F73" s="185"/>
      <c r="G73" s="184">
        <v>0</v>
      </c>
      <c r="H73" s="184"/>
      <c r="I73" s="185"/>
      <c r="J73" s="185">
        <v>1494460</v>
      </c>
      <c r="K73" s="185"/>
      <c r="L73" s="289">
        <v>3259469</v>
      </c>
      <c r="M73" s="184"/>
      <c r="N73" s="184"/>
      <c r="O73" s="349">
        <v>2754437</v>
      </c>
      <c r="P73" s="349">
        <v>5044343</v>
      </c>
      <c r="Q73" s="185"/>
      <c r="R73" s="349">
        <v>2642869</v>
      </c>
      <c r="S73" s="349">
        <v>1065878</v>
      </c>
      <c r="T73" s="185"/>
      <c r="U73" s="289">
        <v>3065688</v>
      </c>
      <c r="V73" s="185"/>
      <c r="W73" s="185">
        <v>60660</v>
      </c>
      <c r="X73" s="289">
        <v>834717</v>
      </c>
      <c r="Y73" s="289">
        <v>530585</v>
      </c>
      <c r="Z73" s="185"/>
      <c r="AA73" s="185"/>
      <c r="AB73" s="349">
        <v>2569814</v>
      </c>
      <c r="AC73" s="349">
        <v>1553282</v>
      </c>
      <c r="AD73" s="185"/>
      <c r="AE73" s="349">
        <v>546122</v>
      </c>
      <c r="AF73" s="185"/>
      <c r="AG73" s="349">
        <v>753963</v>
      </c>
      <c r="AH73" s="349">
        <v>0</v>
      </c>
      <c r="AI73" s="349">
        <v>566</v>
      </c>
      <c r="AJ73" s="349">
        <v>1378788</v>
      </c>
      <c r="AK73" s="349">
        <v>328282</v>
      </c>
      <c r="AL73" s="349">
        <v>84725</v>
      </c>
      <c r="AM73" s="185"/>
      <c r="AN73" s="185"/>
      <c r="AO73" s="289">
        <v>1284033</v>
      </c>
      <c r="AP73" s="349">
        <v>0</v>
      </c>
      <c r="AQ73" s="185"/>
      <c r="AR73" s="185"/>
      <c r="AS73" s="185"/>
      <c r="AT73" s="185"/>
      <c r="AU73" s="185"/>
      <c r="AV73" s="185"/>
      <c r="AW73" s="245" t="s">
        <v>221</v>
      </c>
      <c r="AX73" s="245" t="s">
        <v>221</v>
      </c>
      <c r="AY73" s="245" t="s">
        <v>221</v>
      </c>
      <c r="AZ73" s="245" t="s">
        <v>221</v>
      </c>
      <c r="BA73" s="245" t="s">
        <v>221</v>
      </c>
      <c r="BB73" s="245" t="s">
        <v>221</v>
      </c>
      <c r="BC73" s="245" t="s">
        <v>221</v>
      </c>
      <c r="BD73" s="245" t="s">
        <v>221</v>
      </c>
      <c r="BE73" s="245" t="s">
        <v>221</v>
      </c>
      <c r="BF73" s="245" t="s">
        <v>221</v>
      </c>
      <c r="BG73" s="245" t="s">
        <v>221</v>
      </c>
      <c r="BH73" s="245" t="s">
        <v>221</v>
      </c>
      <c r="BI73" s="245" t="s">
        <v>221</v>
      </c>
      <c r="BJ73" s="245" t="s">
        <v>221</v>
      </c>
      <c r="BK73" s="245" t="s">
        <v>221</v>
      </c>
      <c r="BL73" s="245" t="s">
        <v>221</v>
      </c>
      <c r="BM73" s="245" t="s">
        <v>221</v>
      </c>
      <c r="BN73" s="245" t="s">
        <v>221</v>
      </c>
      <c r="BO73" s="245" t="s">
        <v>221</v>
      </c>
      <c r="BP73" s="245" t="s">
        <v>221</v>
      </c>
      <c r="BQ73" s="245" t="s">
        <v>221</v>
      </c>
      <c r="BR73" s="245" t="s">
        <v>221</v>
      </c>
      <c r="BS73" s="245" t="s">
        <v>221</v>
      </c>
      <c r="BT73" s="245" t="s">
        <v>221</v>
      </c>
      <c r="BU73" s="245" t="s">
        <v>221</v>
      </c>
      <c r="BV73" s="245" t="s">
        <v>221</v>
      </c>
      <c r="BW73" s="245" t="s">
        <v>221</v>
      </c>
      <c r="BX73" s="245" t="s">
        <v>221</v>
      </c>
      <c r="BY73" s="245" t="s">
        <v>221</v>
      </c>
      <c r="BZ73" s="245" t="s">
        <v>221</v>
      </c>
      <c r="CA73" s="245" t="s">
        <v>221</v>
      </c>
      <c r="CB73" s="245" t="s">
        <v>221</v>
      </c>
      <c r="CC73" s="245" t="s">
        <v>221</v>
      </c>
      <c r="CD73" s="245" t="s">
        <v>221</v>
      </c>
      <c r="CE73" s="195">
        <f t="shared" ref="CE73:CE80" si="8">SUM(C73:CD73)</f>
        <v>34410285</v>
      </c>
      <c r="CF73" s="248"/>
    </row>
    <row r="74" spans="1:84" ht="12.65" customHeight="1" x14ac:dyDescent="0.35">
      <c r="A74" s="171" t="s">
        <v>246</v>
      </c>
      <c r="B74" s="175"/>
      <c r="C74" s="184"/>
      <c r="D74" s="184"/>
      <c r="E74" s="185">
        <v>1664125</v>
      </c>
      <c r="F74" s="185"/>
      <c r="G74" s="184">
        <v>0</v>
      </c>
      <c r="H74" s="184"/>
      <c r="I74" s="184"/>
      <c r="J74" s="185">
        <v>482194</v>
      </c>
      <c r="K74" s="185"/>
      <c r="L74" s="289">
        <v>1051683</v>
      </c>
      <c r="M74" s="184"/>
      <c r="N74" s="184"/>
      <c r="O74" s="349">
        <v>447186</v>
      </c>
      <c r="P74" s="349">
        <v>16687126</v>
      </c>
      <c r="Q74" s="185"/>
      <c r="R74" s="349">
        <v>3783137</v>
      </c>
      <c r="S74" s="349">
        <v>2644972</v>
      </c>
      <c r="T74" s="185"/>
      <c r="U74" s="289">
        <v>14504511</v>
      </c>
      <c r="V74" s="185"/>
      <c r="W74" s="185">
        <v>1104249</v>
      </c>
      <c r="X74" s="289">
        <v>15195147</v>
      </c>
      <c r="Y74" s="289">
        <v>9658731</v>
      </c>
      <c r="Z74" s="185"/>
      <c r="AA74" s="185"/>
      <c r="AB74" s="349">
        <v>3677319</v>
      </c>
      <c r="AC74" s="349">
        <v>1339426</v>
      </c>
      <c r="AD74" s="185"/>
      <c r="AE74" s="349">
        <v>5561010</v>
      </c>
      <c r="AF74" s="185"/>
      <c r="AG74" s="349">
        <v>15917825</v>
      </c>
      <c r="AH74" s="349">
        <v>2444982</v>
      </c>
      <c r="AI74" s="349">
        <v>1475120</v>
      </c>
      <c r="AJ74" s="349">
        <v>10132596</v>
      </c>
      <c r="AK74" s="349">
        <v>370509</v>
      </c>
      <c r="AL74" s="349">
        <v>879944</v>
      </c>
      <c r="AM74" s="185"/>
      <c r="AN74" s="185"/>
      <c r="AO74" s="289">
        <v>414299</v>
      </c>
      <c r="AP74" s="349">
        <v>278212</v>
      </c>
      <c r="AQ74" s="185"/>
      <c r="AR74" s="185"/>
      <c r="AS74" s="185"/>
      <c r="AT74" s="185"/>
      <c r="AU74" s="185"/>
      <c r="AV74" s="185"/>
      <c r="AW74" s="245" t="s">
        <v>221</v>
      </c>
      <c r="AX74" s="245" t="s">
        <v>221</v>
      </c>
      <c r="AY74" s="245" t="s">
        <v>221</v>
      </c>
      <c r="AZ74" s="245" t="s">
        <v>221</v>
      </c>
      <c r="BA74" s="245" t="s">
        <v>221</v>
      </c>
      <c r="BB74" s="245" t="s">
        <v>221</v>
      </c>
      <c r="BC74" s="245" t="s">
        <v>221</v>
      </c>
      <c r="BD74" s="245" t="s">
        <v>221</v>
      </c>
      <c r="BE74" s="245" t="s">
        <v>221</v>
      </c>
      <c r="BF74" s="245" t="s">
        <v>221</v>
      </c>
      <c r="BG74" s="245" t="s">
        <v>221</v>
      </c>
      <c r="BH74" s="245" t="s">
        <v>221</v>
      </c>
      <c r="BI74" s="245" t="s">
        <v>221</v>
      </c>
      <c r="BJ74" s="245" t="s">
        <v>221</v>
      </c>
      <c r="BK74" s="245" t="s">
        <v>221</v>
      </c>
      <c r="BL74" s="245" t="s">
        <v>221</v>
      </c>
      <c r="BM74" s="245" t="s">
        <v>221</v>
      </c>
      <c r="BN74" s="245" t="s">
        <v>221</v>
      </c>
      <c r="BO74" s="245" t="s">
        <v>221</v>
      </c>
      <c r="BP74" s="245" t="s">
        <v>221</v>
      </c>
      <c r="BQ74" s="245" t="s">
        <v>221</v>
      </c>
      <c r="BR74" s="245" t="s">
        <v>221</v>
      </c>
      <c r="BS74" s="245" t="s">
        <v>221</v>
      </c>
      <c r="BT74" s="245" t="s">
        <v>221</v>
      </c>
      <c r="BU74" s="245" t="s">
        <v>221</v>
      </c>
      <c r="BV74" s="245" t="s">
        <v>221</v>
      </c>
      <c r="BW74" s="245" t="s">
        <v>221</v>
      </c>
      <c r="BX74" s="245" t="s">
        <v>221</v>
      </c>
      <c r="BY74" s="245" t="s">
        <v>221</v>
      </c>
      <c r="BZ74" s="245" t="s">
        <v>221</v>
      </c>
      <c r="CA74" s="245" t="s">
        <v>221</v>
      </c>
      <c r="CB74" s="245" t="s">
        <v>221</v>
      </c>
      <c r="CC74" s="245" t="s">
        <v>221</v>
      </c>
      <c r="CD74" s="245" t="s">
        <v>221</v>
      </c>
      <c r="CE74" s="195">
        <f t="shared" si="8"/>
        <v>109714303</v>
      </c>
      <c r="CF74" s="248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6821729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1976654</v>
      </c>
      <c r="K75" s="195">
        <f t="shared" si="9"/>
        <v>0</v>
      </c>
      <c r="L75" s="195">
        <f t="shared" si="9"/>
        <v>4311152</v>
      </c>
      <c r="M75" s="195">
        <f t="shared" si="9"/>
        <v>0</v>
      </c>
      <c r="N75" s="195">
        <f t="shared" si="9"/>
        <v>0</v>
      </c>
      <c r="O75" s="195">
        <f t="shared" si="9"/>
        <v>3201623</v>
      </c>
      <c r="P75" s="299">
        <f t="shared" si="9"/>
        <v>21731469</v>
      </c>
      <c r="Q75" s="195">
        <f t="shared" si="9"/>
        <v>0</v>
      </c>
      <c r="R75" s="299">
        <f t="shared" si="9"/>
        <v>6426006</v>
      </c>
      <c r="S75" s="299">
        <f t="shared" si="9"/>
        <v>3710850</v>
      </c>
      <c r="T75" s="195">
        <f t="shared" si="9"/>
        <v>0</v>
      </c>
      <c r="U75" s="299">
        <f t="shared" si="9"/>
        <v>17570199</v>
      </c>
      <c r="V75" s="195">
        <f t="shared" si="9"/>
        <v>0</v>
      </c>
      <c r="W75" s="195">
        <f t="shared" si="9"/>
        <v>1164909</v>
      </c>
      <c r="X75" s="195">
        <f t="shared" si="9"/>
        <v>16029864</v>
      </c>
      <c r="Y75" s="195">
        <f t="shared" si="9"/>
        <v>10189316</v>
      </c>
      <c r="Z75" s="195">
        <f t="shared" si="9"/>
        <v>0</v>
      </c>
      <c r="AA75" s="195">
        <f t="shared" si="9"/>
        <v>0</v>
      </c>
      <c r="AB75" s="299">
        <f t="shared" si="9"/>
        <v>6247133</v>
      </c>
      <c r="AC75" s="299">
        <f t="shared" si="9"/>
        <v>2892708</v>
      </c>
      <c r="AD75" s="195">
        <f t="shared" si="9"/>
        <v>0</v>
      </c>
      <c r="AE75" s="299">
        <f t="shared" si="9"/>
        <v>6107132</v>
      </c>
      <c r="AF75" s="195">
        <f t="shared" si="9"/>
        <v>0</v>
      </c>
      <c r="AG75" s="299">
        <f t="shared" si="9"/>
        <v>16671788</v>
      </c>
      <c r="AH75" s="299">
        <f t="shared" si="9"/>
        <v>2444982</v>
      </c>
      <c r="AI75" s="299">
        <f t="shared" si="9"/>
        <v>1475686</v>
      </c>
      <c r="AJ75" s="299">
        <f t="shared" si="9"/>
        <v>11511384</v>
      </c>
      <c r="AK75" s="299">
        <f t="shared" si="9"/>
        <v>698791</v>
      </c>
      <c r="AL75" s="299">
        <f t="shared" si="9"/>
        <v>964669</v>
      </c>
      <c r="AM75" s="195">
        <f t="shared" si="9"/>
        <v>0</v>
      </c>
      <c r="AN75" s="195">
        <f t="shared" si="9"/>
        <v>0</v>
      </c>
      <c r="AO75" s="195">
        <f t="shared" si="9"/>
        <v>1698332</v>
      </c>
      <c r="AP75" s="299">
        <f t="shared" si="9"/>
        <v>278212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5" t="s">
        <v>221</v>
      </c>
      <c r="AX75" s="245" t="s">
        <v>221</v>
      </c>
      <c r="AY75" s="245" t="s">
        <v>221</v>
      </c>
      <c r="AZ75" s="245" t="s">
        <v>221</v>
      </c>
      <c r="BA75" s="245" t="s">
        <v>221</v>
      </c>
      <c r="BB75" s="245" t="s">
        <v>221</v>
      </c>
      <c r="BC75" s="245" t="s">
        <v>221</v>
      </c>
      <c r="BD75" s="245" t="s">
        <v>221</v>
      </c>
      <c r="BE75" s="245" t="s">
        <v>221</v>
      </c>
      <c r="BF75" s="245" t="s">
        <v>221</v>
      </c>
      <c r="BG75" s="245" t="s">
        <v>221</v>
      </c>
      <c r="BH75" s="245" t="s">
        <v>221</v>
      </c>
      <c r="BI75" s="245" t="s">
        <v>221</v>
      </c>
      <c r="BJ75" s="245" t="s">
        <v>221</v>
      </c>
      <c r="BK75" s="245" t="s">
        <v>221</v>
      </c>
      <c r="BL75" s="245" t="s">
        <v>221</v>
      </c>
      <c r="BM75" s="245" t="s">
        <v>221</v>
      </c>
      <c r="BN75" s="245" t="s">
        <v>221</v>
      </c>
      <c r="BO75" s="245" t="s">
        <v>221</v>
      </c>
      <c r="BP75" s="245" t="s">
        <v>221</v>
      </c>
      <c r="BQ75" s="245" t="s">
        <v>221</v>
      </c>
      <c r="BR75" s="245" t="s">
        <v>221</v>
      </c>
      <c r="BS75" s="245" t="s">
        <v>221</v>
      </c>
      <c r="BT75" s="245" t="s">
        <v>221</v>
      </c>
      <c r="BU75" s="245" t="s">
        <v>221</v>
      </c>
      <c r="BV75" s="245" t="s">
        <v>221</v>
      </c>
      <c r="BW75" s="245" t="s">
        <v>221</v>
      </c>
      <c r="BX75" s="245" t="s">
        <v>221</v>
      </c>
      <c r="BY75" s="245" t="s">
        <v>221</v>
      </c>
      <c r="BZ75" s="245" t="s">
        <v>221</v>
      </c>
      <c r="CA75" s="245" t="s">
        <v>221</v>
      </c>
      <c r="CB75" s="245" t="s">
        <v>221</v>
      </c>
      <c r="CC75" s="245" t="s">
        <v>221</v>
      </c>
      <c r="CD75" s="245" t="s">
        <v>221</v>
      </c>
      <c r="CE75" s="195">
        <f t="shared" si="8"/>
        <v>144124588</v>
      </c>
      <c r="CF75" s="248"/>
    </row>
    <row r="76" spans="1:84" ht="12.65" customHeight="1" x14ac:dyDescent="0.35">
      <c r="A76" s="171" t="s">
        <v>248</v>
      </c>
      <c r="B76" s="175"/>
      <c r="C76" s="184"/>
      <c r="D76" s="184"/>
      <c r="E76" s="348">
        <v>4407</v>
      </c>
      <c r="F76" s="185"/>
      <c r="G76" s="184"/>
      <c r="H76" s="184"/>
      <c r="I76" s="185"/>
      <c r="J76" s="348">
        <v>1277</v>
      </c>
      <c r="K76" s="185"/>
      <c r="L76" s="348">
        <v>2785</v>
      </c>
      <c r="M76" s="185"/>
      <c r="N76" s="185"/>
      <c r="O76" s="348">
        <v>2428</v>
      </c>
      <c r="P76" s="348">
        <v>6945</v>
      </c>
      <c r="Q76" s="185"/>
      <c r="R76" s="348">
        <v>161</v>
      </c>
      <c r="S76" s="348">
        <v>1440</v>
      </c>
      <c r="T76" s="185"/>
      <c r="U76" s="348">
        <v>1617</v>
      </c>
      <c r="V76" s="185"/>
      <c r="W76" s="348">
        <v>223</v>
      </c>
      <c r="X76" s="348">
        <v>3074</v>
      </c>
      <c r="Y76" s="348">
        <v>1954</v>
      </c>
      <c r="Z76" s="185"/>
      <c r="AA76" s="185"/>
      <c r="AB76" s="348">
        <v>397</v>
      </c>
      <c r="AC76" s="348">
        <v>900</v>
      </c>
      <c r="AD76" s="185"/>
      <c r="AE76" s="348">
        <v>3234</v>
      </c>
      <c r="AF76" s="185"/>
      <c r="AG76" s="348">
        <v>3103</v>
      </c>
      <c r="AH76" s="348">
        <v>1331</v>
      </c>
      <c r="AI76" s="348">
        <v>641</v>
      </c>
      <c r="AJ76" s="348">
        <v>31399</v>
      </c>
      <c r="AK76" s="348">
        <v>672</v>
      </c>
      <c r="AL76" s="348">
        <v>394</v>
      </c>
      <c r="AM76" s="185"/>
      <c r="AN76" s="185"/>
      <c r="AO76" s="185">
        <v>1097</v>
      </c>
      <c r="AP76" s="348">
        <v>2202</v>
      </c>
      <c r="AQ76" s="185"/>
      <c r="AR76" s="185"/>
      <c r="AS76" s="185"/>
      <c r="AT76" s="185"/>
      <c r="AU76" s="185"/>
      <c r="AV76" s="185"/>
      <c r="AW76" s="185"/>
      <c r="AX76" s="185"/>
      <c r="AY76" s="185">
        <v>2160</v>
      </c>
      <c r="AZ76" s="185"/>
      <c r="BA76" s="185">
        <v>888</v>
      </c>
      <c r="BB76" s="185">
        <v>263</v>
      </c>
      <c r="BC76" s="185"/>
      <c r="BD76" s="185"/>
      <c r="BE76" s="185">
        <v>6270</v>
      </c>
      <c r="BF76" s="185">
        <v>840</v>
      </c>
      <c r="BG76" s="185"/>
      <c r="BH76" s="185">
        <v>692</v>
      </c>
      <c r="BI76" s="185"/>
      <c r="BJ76" s="185">
        <v>744</v>
      </c>
      <c r="BK76" s="185">
        <v>514</v>
      </c>
      <c r="BL76" s="185"/>
      <c r="BM76" s="185"/>
      <c r="BN76" s="185">
        <v>17284</v>
      </c>
      <c r="BO76" s="185"/>
      <c r="BP76" s="185">
        <v>615</v>
      </c>
      <c r="BQ76" s="185"/>
      <c r="BR76" s="185">
        <v>257</v>
      </c>
      <c r="BS76" s="185"/>
      <c r="BT76" s="185"/>
      <c r="BU76" s="185"/>
      <c r="BV76" s="185">
        <v>998</v>
      </c>
      <c r="BW76" s="185">
        <v>164</v>
      </c>
      <c r="BX76" s="185">
        <v>348</v>
      </c>
      <c r="BY76" s="185">
        <v>213</v>
      </c>
      <c r="BZ76" s="185"/>
      <c r="CA76" s="185"/>
      <c r="CB76" s="185"/>
      <c r="CC76" s="185"/>
      <c r="CD76" s="245" t="s">
        <v>221</v>
      </c>
      <c r="CE76" s="195">
        <f t="shared" si="8"/>
        <v>103931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349"/>
      <c r="D77" s="349"/>
      <c r="E77" s="349">
        <v>10075</v>
      </c>
      <c r="F77" s="349"/>
      <c r="G77" s="349"/>
      <c r="H77" s="349"/>
      <c r="I77" s="349"/>
      <c r="J77" s="353">
        <v>0</v>
      </c>
      <c r="K77" s="349"/>
      <c r="L77" s="353">
        <v>6367</v>
      </c>
      <c r="M77" s="349"/>
      <c r="N77" s="349"/>
      <c r="O77" s="353"/>
      <c r="P77" s="353"/>
      <c r="Q77" s="349"/>
      <c r="R77" s="353"/>
      <c r="S77" s="353"/>
      <c r="T77" s="349"/>
      <c r="U77" s="349"/>
      <c r="V77" s="349"/>
      <c r="W77" s="349"/>
      <c r="X77" s="349"/>
      <c r="Y77" s="349"/>
      <c r="Z77" s="349"/>
      <c r="AA77" s="349"/>
      <c r="AB77" s="353"/>
      <c r="AC77" s="353"/>
      <c r="AD77" s="349"/>
      <c r="AE77" s="353"/>
      <c r="AF77" s="349"/>
      <c r="AG77" s="353"/>
      <c r="AH77" s="353"/>
      <c r="AI77" s="353"/>
      <c r="AJ77" s="353"/>
      <c r="AK77" s="353"/>
      <c r="AL77" s="353"/>
      <c r="AM77" s="349"/>
      <c r="AN77" s="349"/>
      <c r="AO77" s="353">
        <v>2508</v>
      </c>
      <c r="AP77" s="353"/>
      <c r="AQ77" s="349"/>
      <c r="AR77" s="349"/>
      <c r="AS77" s="349"/>
      <c r="AT77" s="349"/>
      <c r="AU77" s="349"/>
      <c r="AV77" s="349"/>
      <c r="AW77" s="349"/>
      <c r="AX77" s="325" t="s">
        <v>221</v>
      </c>
      <c r="AY77" s="325" t="s">
        <v>221</v>
      </c>
      <c r="AZ77" s="349"/>
      <c r="BA77" s="349"/>
      <c r="BB77" s="349"/>
      <c r="BC77" s="349"/>
      <c r="BD77" s="325" t="s">
        <v>221</v>
      </c>
      <c r="BE77" s="325" t="s">
        <v>221</v>
      </c>
      <c r="BF77" s="349"/>
      <c r="BG77" s="325" t="s">
        <v>221</v>
      </c>
      <c r="BH77" s="349"/>
      <c r="BI77" s="349"/>
      <c r="BJ77" s="325" t="s">
        <v>221</v>
      </c>
      <c r="BK77" s="349"/>
      <c r="BL77" s="349"/>
      <c r="BM77" s="349"/>
      <c r="BN77" s="325" t="s">
        <v>221</v>
      </c>
      <c r="BO77" s="325" t="s">
        <v>221</v>
      </c>
      <c r="BP77" s="325" t="s">
        <v>221</v>
      </c>
      <c r="BQ77" s="325" t="s">
        <v>221</v>
      </c>
      <c r="BR77" s="349"/>
      <c r="BS77" s="349"/>
      <c r="BT77" s="349"/>
      <c r="BU77" s="349"/>
      <c r="BV77" s="349"/>
      <c r="BW77" s="349"/>
      <c r="BX77" s="349"/>
      <c r="BY77" s="349"/>
      <c r="BZ77" s="349"/>
      <c r="CA77" s="349"/>
      <c r="CB77" s="349"/>
      <c r="CC77" s="245" t="s">
        <v>221</v>
      </c>
      <c r="CD77" s="245" t="s">
        <v>221</v>
      </c>
      <c r="CE77" s="331">
        <f>SUM(C77:CD77)</f>
        <v>18950</v>
      </c>
      <c r="CF77" s="331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1128</v>
      </c>
      <c r="F78" s="184"/>
      <c r="G78" s="184"/>
      <c r="H78" s="184"/>
      <c r="I78" s="184"/>
      <c r="J78" s="184">
        <v>327</v>
      </c>
      <c r="K78" s="184"/>
      <c r="L78" s="184">
        <v>713</v>
      </c>
      <c r="M78" s="184"/>
      <c r="N78" s="184"/>
      <c r="O78" s="349">
        <v>622</v>
      </c>
      <c r="P78" s="349">
        <v>1778</v>
      </c>
      <c r="Q78" s="349"/>
      <c r="R78" s="349">
        <v>41</v>
      </c>
      <c r="S78" s="349">
        <v>369</v>
      </c>
      <c r="T78" s="184"/>
      <c r="U78" s="288">
        <v>414</v>
      </c>
      <c r="V78" s="184"/>
      <c r="W78" s="184">
        <v>57</v>
      </c>
      <c r="X78" s="184">
        <v>787</v>
      </c>
      <c r="Y78" s="184">
        <v>500</v>
      </c>
      <c r="Z78" s="184"/>
      <c r="AA78" s="184"/>
      <c r="AB78" s="349">
        <v>102</v>
      </c>
      <c r="AC78" s="349">
        <v>230</v>
      </c>
      <c r="AD78" s="349"/>
      <c r="AE78" s="349">
        <v>828</v>
      </c>
      <c r="AF78" s="184"/>
      <c r="AG78" s="349">
        <v>794</v>
      </c>
      <c r="AH78" s="349">
        <v>341</v>
      </c>
      <c r="AI78" s="349">
        <v>164</v>
      </c>
      <c r="AJ78" s="349">
        <v>8037</v>
      </c>
      <c r="AK78" s="349">
        <v>172</v>
      </c>
      <c r="AL78" s="349">
        <v>101</v>
      </c>
      <c r="AM78" s="184"/>
      <c r="AN78" s="184"/>
      <c r="AO78" s="184">
        <v>281</v>
      </c>
      <c r="AP78" s="349"/>
      <c r="AQ78" s="184"/>
      <c r="AR78" s="184"/>
      <c r="AS78" s="184"/>
      <c r="AT78" s="184"/>
      <c r="AU78" s="184"/>
      <c r="AV78" s="184"/>
      <c r="AW78" s="184"/>
      <c r="AX78" s="245" t="s">
        <v>221</v>
      </c>
      <c r="AY78" s="245" t="s">
        <v>221</v>
      </c>
      <c r="AZ78" s="245" t="s">
        <v>221</v>
      </c>
      <c r="BA78" s="184">
        <v>227</v>
      </c>
      <c r="BB78" s="184">
        <v>67</v>
      </c>
      <c r="BC78" s="184"/>
      <c r="BD78" s="245" t="s">
        <v>221</v>
      </c>
      <c r="BE78" s="245" t="s">
        <v>221</v>
      </c>
      <c r="BF78" s="245" t="s">
        <v>221</v>
      </c>
      <c r="BG78" s="245" t="s">
        <v>221</v>
      </c>
      <c r="BH78" s="184">
        <v>0</v>
      </c>
      <c r="BI78" s="184"/>
      <c r="BJ78" s="245" t="s">
        <v>221</v>
      </c>
      <c r="BK78" s="184">
        <v>132</v>
      </c>
      <c r="BL78" s="184"/>
      <c r="BM78" s="184"/>
      <c r="BN78" s="325" t="s">
        <v>221</v>
      </c>
      <c r="BO78" s="325" t="s">
        <v>221</v>
      </c>
      <c r="BP78" s="325" t="s">
        <v>221</v>
      </c>
      <c r="BQ78" s="245" t="s">
        <v>221</v>
      </c>
      <c r="BR78" s="245" t="s">
        <v>221</v>
      </c>
      <c r="BS78" s="184"/>
      <c r="BT78" s="184"/>
      <c r="BU78" s="184"/>
      <c r="BV78" s="184">
        <v>255</v>
      </c>
      <c r="BW78" s="184"/>
      <c r="BX78" s="184"/>
      <c r="BY78" s="184">
        <v>54</v>
      </c>
      <c r="BZ78" s="184"/>
      <c r="CA78" s="184"/>
      <c r="CB78" s="184"/>
      <c r="CC78" s="245" t="s">
        <v>221</v>
      </c>
      <c r="CD78" s="245" t="s">
        <v>221</v>
      </c>
      <c r="CE78" s="195">
        <f t="shared" si="8"/>
        <v>18521</v>
      </c>
      <c r="CF78" s="195"/>
    </row>
    <row r="79" spans="1:84" ht="12.65" customHeight="1" x14ac:dyDescent="0.35">
      <c r="A79" s="171" t="s">
        <v>251</v>
      </c>
      <c r="B79" s="175"/>
      <c r="C79" s="221"/>
      <c r="D79" s="221"/>
      <c r="E79" s="184">
        <v>40277</v>
      </c>
      <c r="F79" s="184"/>
      <c r="G79" s="184"/>
      <c r="H79" s="184"/>
      <c r="I79" s="184"/>
      <c r="J79" s="184">
        <v>11670</v>
      </c>
      <c r="K79" s="184"/>
      <c r="L79" s="184">
        <v>25454</v>
      </c>
      <c r="M79" s="184"/>
      <c r="N79" s="184"/>
      <c r="O79" s="349">
        <v>17652</v>
      </c>
      <c r="P79" s="349">
        <v>13726</v>
      </c>
      <c r="Q79" s="184"/>
      <c r="R79" s="349"/>
      <c r="S79" s="349"/>
      <c r="T79" s="184"/>
      <c r="U79" s="288">
        <v>344</v>
      </c>
      <c r="V79" s="184"/>
      <c r="W79" s="184">
        <v>628</v>
      </c>
      <c r="X79" s="184">
        <v>8639</v>
      </c>
      <c r="Y79" s="184">
        <v>5491</v>
      </c>
      <c r="Z79" s="184"/>
      <c r="AA79" s="184"/>
      <c r="AB79" s="349"/>
      <c r="AC79" s="349">
        <v>331</v>
      </c>
      <c r="AD79" s="184"/>
      <c r="AE79" s="349">
        <v>10379</v>
      </c>
      <c r="AF79" s="184"/>
      <c r="AG79" s="349">
        <v>28268</v>
      </c>
      <c r="AH79" s="349">
        <v>2854</v>
      </c>
      <c r="AI79" s="349">
        <v>1206</v>
      </c>
      <c r="AJ79" s="349">
        <v>1777</v>
      </c>
      <c r="AK79" s="349">
        <v>1188</v>
      </c>
      <c r="AL79" s="349">
        <v>1639</v>
      </c>
      <c r="AM79" s="184"/>
      <c r="AN79" s="184"/>
      <c r="AO79" s="184">
        <v>10027</v>
      </c>
      <c r="AP79" s="349">
        <v>0</v>
      </c>
      <c r="AQ79" s="184"/>
      <c r="AR79" s="184"/>
      <c r="AS79" s="184"/>
      <c r="AT79" s="184"/>
      <c r="AU79" s="184"/>
      <c r="AV79" s="184"/>
      <c r="AW79" s="184"/>
      <c r="AX79" s="245" t="s">
        <v>221</v>
      </c>
      <c r="AY79" s="245" t="s">
        <v>221</v>
      </c>
      <c r="AZ79" s="245" t="s">
        <v>221</v>
      </c>
      <c r="BA79" s="245" t="s">
        <v>221</v>
      </c>
      <c r="BB79" s="184"/>
      <c r="BC79" s="184"/>
      <c r="BD79" s="245" t="s">
        <v>221</v>
      </c>
      <c r="BE79" s="245" t="s">
        <v>221</v>
      </c>
      <c r="BF79" s="245" t="s">
        <v>221</v>
      </c>
      <c r="BG79" s="245" t="s">
        <v>221</v>
      </c>
      <c r="BH79" s="184"/>
      <c r="BI79" s="184"/>
      <c r="BJ79" s="245" t="s">
        <v>221</v>
      </c>
      <c r="BK79" s="184"/>
      <c r="BL79" s="184"/>
      <c r="BM79" s="184"/>
      <c r="BN79" s="245" t="s">
        <v>221</v>
      </c>
      <c r="BO79" s="245" t="s">
        <v>221</v>
      </c>
      <c r="BP79" s="245" t="s">
        <v>221</v>
      </c>
      <c r="BQ79" s="245" t="s">
        <v>221</v>
      </c>
      <c r="BR79" s="245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5" t="s">
        <v>221</v>
      </c>
      <c r="CD79" s="245" t="s">
        <v>221</v>
      </c>
      <c r="CE79" s="195">
        <f t="shared" si="8"/>
        <v>181550</v>
      </c>
      <c r="CF79" s="195">
        <f>BA59-CE79</f>
        <v>-2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16.47</v>
      </c>
      <c r="F80" s="187"/>
      <c r="G80" s="187"/>
      <c r="H80" s="187"/>
      <c r="I80" s="187"/>
      <c r="J80" s="291">
        <v>5</v>
      </c>
      <c r="K80" s="187"/>
      <c r="L80" s="291">
        <v>10.41</v>
      </c>
      <c r="M80" s="187"/>
      <c r="N80" s="187"/>
      <c r="O80" s="353">
        <v>22.08</v>
      </c>
      <c r="P80" s="353">
        <v>21.67</v>
      </c>
      <c r="Q80" s="288"/>
      <c r="R80" s="353"/>
      <c r="S80" s="353"/>
      <c r="T80" s="288"/>
      <c r="U80" s="288"/>
      <c r="V80" s="288"/>
      <c r="W80" s="288"/>
      <c r="X80" s="288">
        <v>0</v>
      </c>
      <c r="Y80" s="288">
        <v>0</v>
      </c>
      <c r="Z80" s="187"/>
      <c r="AA80" s="187"/>
      <c r="AB80" s="353"/>
      <c r="AC80" s="353"/>
      <c r="AD80" s="187"/>
      <c r="AE80" s="353"/>
      <c r="AF80" s="187"/>
      <c r="AG80" s="353">
        <v>21.19</v>
      </c>
      <c r="AH80" s="353"/>
      <c r="AI80" s="353">
        <v>3.37</v>
      </c>
      <c r="AJ80" s="353">
        <v>4.92</v>
      </c>
      <c r="AK80" s="353"/>
      <c r="AL80" s="353"/>
      <c r="AM80" s="288"/>
      <c r="AN80" s="288"/>
      <c r="AO80" s="291">
        <v>3.87</v>
      </c>
      <c r="AP80" s="353">
        <v>0.64</v>
      </c>
      <c r="AQ80" s="288"/>
      <c r="AR80" s="288"/>
      <c r="AS80" s="187"/>
      <c r="AT80" s="187"/>
      <c r="AU80" s="187"/>
      <c r="AV80" s="187"/>
      <c r="AW80" s="245" t="s">
        <v>221</v>
      </c>
      <c r="AX80" s="245" t="s">
        <v>221</v>
      </c>
      <c r="AY80" s="245" t="s">
        <v>221</v>
      </c>
      <c r="AZ80" s="245" t="s">
        <v>221</v>
      </c>
      <c r="BA80" s="245" t="s">
        <v>221</v>
      </c>
      <c r="BB80" s="245" t="s">
        <v>221</v>
      </c>
      <c r="BC80" s="245" t="s">
        <v>221</v>
      </c>
      <c r="BD80" s="245" t="s">
        <v>221</v>
      </c>
      <c r="BE80" s="245" t="s">
        <v>221</v>
      </c>
      <c r="BF80" s="245" t="s">
        <v>221</v>
      </c>
      <c r="BG80" s="245" t="s">
        <v>221</v>
      </c>
      <c r="BH80" s="245" t="s">
        <v>221</v>
      </c>
      <c r="BI80" s="245" t="s">
        <v>221</v>
      </c>
      <c r="BJ80" s="245" t="s">
        <v>221</v>
      </c>
      <c r="BK80" s="245" t="s">
        <v>221</v>
      </c>
      <c r="BL80" s="245" t="s">
        <v>221</v>
      </c>
      <c r="BM80" s="245" t="s">
        <v>221</v>
      </c>
      <c r="BN80" s="245" t="s">
        <v>221</v>
      </c>
      <c r="BO80" s="245" t="s">
        <v>221</v>
      </c>
      <c r="BP80" s="245" t="s">
        <v>221</v>
      </c>
      <c r="BQ80" s="245" t="s">
        <v>221</v>
      </c>
      <c r="BR80" s="245" t="s">
        <v>221</v>
      </c>
      <c r="BS80" s="245" t="s">
        <v>221</v>
      </c>
      <c r="BT80" s="245" t="s">
        <v>221</v>
      </c>
      <c r="BU80" s="250"/>
      <c r="BV80" s="250"/>
      <c r="BW80" s="250"/>
      <c r="BX80" s="250"/>
      <c r="BY80" s="250"/>
      <c r="BZ80" s="250"/>
      <c r="CA80" s="250"/>
      <c r="CB80" s="250"/>
      <c r="CC80" s="245" t="s">
        <v>221</v>
      </c>
      <c r="CD80" s="245" t="s">
        <v>221</v>
      </c>
      <c r="CE80" s="251">
        <f t="shared" si="8"/>
        <v>109.62</v>
      </c>
      <c r="CF80" s="251"/>
    </row>
    <row r="81" spans="1:5" ht="12.65" customHeight="1" x14ac:dyDescent="0.35">
      <c r="A81" s="205" t="s">
        <v>253</v>
      </c>
      <c r="B81" s="205"/>
      <c r="C81" s="205"/>
      <c r="D81" s="205"/>
      <c r="E81" s="205"/>
    </row>
    <row r="82" spans="1:5" ht="12.65" customHeight="1" x14ac:dyDescent="0.35">
      <c r="A82" s="171" t="s">
        <v>254</v>
      </c>
      <c r="B82" s="172"/>
      <c r="C82" s="347" t="s">
        <v>1010</v>
      </c>
      <c r="D82" s="252"/>
      <c r="E82" s="175"/>
    </row>
    <row r="83" spans="1:5" ht="12.65" customHeight="1" x14ac:dyDescent="0.35">
      <c r="A83" s="173" t="s">
        <v>255</v>
      </c>
      <c r="B83" s="172" t="s">
        <v>256</v>
      </c>
      <c r="C83" s="223" t="s">
        <v>998</v>
      </c>
      <c r="D83" s="252"/>
      <c r="E83" s="175"/>
    </row>
    <row r="84" spans="1:5" ht="12.65" customHeight="1" x14ac:dyDescent="0.35">
      <c r="A84" s="173" t="s">
        <v>257</v>
      </c>
      <c r="B84" s="172" t="s">
        <v>256</v>
      </c>
      <c r="C84" s="226" t="s">
        <v>999</v>
      </c>
      <c r="D84" s="202"/>
      <c r="E84" s="201"/>
    </row>
    <row r="85" spans="1:5" ht="12.65" customHeight="1" x14ac:dyDescent="0.35">
      <c r="A85" s="173" t="s">
        <v>988</v>
      </c>
      <c r="B85" s="172"/>
      <c r="C85" s="266" t="s">
        <v>1000</v>
      </c>
      <c r="D85" s="202"/>
      <c r="E85" s="201"/>
    </row>
    <row r="86" spans="1:5" ht="12.65" customHeight="1" x14ac:dyDescent="0.35">
      <c r="A86" s="173" t="s">
        <v>989</v>
      </c>
      <c r="B86" s="172" t="s">
        <v>256</v>
      </c>
      <c r="C86" s="227" t="s">
        <v>1000</v>
      </c>
      <c r="D86" s="202"/>
      <c r="E86" s="201"/>
    </row>
    <row r="87" spans="1:5" ht="12.65" customHeight="1" x14ac:dyDescent="0.35">
      <c r="A87" s="173" t="s">
        <v>258</v>
      </c>
      <c r="B87" s="172" t="s">
        <v>256</v>
      </c>
      <c r="C87" s="226" t="s">
        <v>1005</v>
      </c>
      <c r="D87" s="202"/>
      <c r="E87" s="201"/>
    </row>
    <row r="88" spans="1:5" ht="12.65" customHeight="1" x14ac:dyDescent="0.35">
      <c r="A88" s="173" t="s">
        <v>259</v>
      </c>
      <c r="B88" s="172" t="s">
        <v>256</v>
      </c>
      <c r="C88" s="226" t="s">
        <v>1001</v>
      </c>
      <c r="D88" s="202"/>
      <c r="E88" s="201"/>
    </row>
    <row r="89" spans="1:5" ht="12.65" customHeight="1" x14ac:dyDescent="0.35">
      <c r="A89" s="173" t="s">
        <v>260</v>
      </c>
      <c r="B89" s="172" t="s">
        <v>256</v>
      </c>
      <c r="C89" s="226" t="s">
        <v>1006</v>
      </c>
      <c r="D89" s="202"/>
      <c r="E89" s="201"/>
    </row>
    <row r="90" spans="1:5" ht="12.65" customHeight="1" x14ac:dyDescent="0.35">
      <c r="A90" s="173" t="s">
        <v>261</v>
      </c>
      <c r="B90" s="172" t="s">
        <v>256</v>
      </c>
      <c r="C90" s="354" t="s">
        <v>1009</v>
      </c>
      <c r="D90" s="202"/>
      <c r="E90" s="201"/>
    </row>
    <row r="91" spans="1:5" ht="12.65" customHeight="1" x14ac:dyDescent="0.35">
      <c r="A91" s="173" t="s">
        <v>262</v>
      </c>
      <c r="B91" s="172" t="s">
        <v>256</v>
      </c>
      <c r="C91" s="226" t="s">
        <v>1002</v>
      </c>
      <c r="D91" s="202"/>
      <c r="E91" s="201"/>
    </row>
    <row r="92" spans="1:5" ht="12.65" customHeight="1" x14ac:dyDescent="0.35">
      <c r="A92" s="173" t="s">
        <v>263</v>
      </c>
      <c r="B92" s="172" t="s">
        <v>256</v>
      </c>
      <c r="C92" s="222" t="s">
        <v>1003</v>
      </c>
      <c r="D92" s="252"/>
      <c r="E92" s="175"/>
    </row>
    <row r="93" spans="1:5" ht="12.65" customHeight="1" x14ac:dyDescent="0.35">
      <c r="A93" s="173" t="s">
        <v>264</v>
      </c>
      <c r="B93" s="172" t="s">
        <v>256</v>
      </c>
      <c r="C93" s="271" t="s">
        <v>1004</v>
      </c>
      <c r="D93" s="252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5" t="s">
        <v>265</v>
      </c>
      <c r="B95" s="205"/>
      <c r="C95" s="205"/>
      <c r="D95" s="205"/>
      <c r="E95" s="205"/>
    </row>
    <row r="96" spans="1:5" ht="12.65" customHeight="1" x14ac:dyDescent="0.35">
      <c r="A96" s="253" t="s">
        <v>266</v>
      </c>
      <c r="B96" s="253"/>
      <c r="C96" s="253"/>
      <c r="D96" s="253"/>
      <c r="E96" s="253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311">
        <v>1</v>
      </c>
      <c r="D99" s="175"/>
      <c r="E99" s="175"/>
    </row>
    <row r="100" spans="1:5" ht="12.65" customHeight="1" x14ac:dyDescent="0.35">
      <c r="A100" s="253" t="s">
        <v>269</v>
      </c>
      <c r="B100" s="253"/>
      <c r="C100" s="253"/>
      <c r="D100" s="253"/>
      <c r="E100" s="253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18"/>
      <c r="D102" s="175"/>
      <c r="E102" s="175"/>
    </row>
    <row r="103" spans="1:5" ht="12.65" customHeight="1" x14ac:dyDescent="0.35">
      <c r="A103" s="253" t="s">
        <v>271</v>
      </c>
      <c r="B103" s="253"/>
      <c r="C103" s="253"/>
      <c r="D103" s="253"/>
      <c r="E103" s="253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4" t="s">
        <v>275</v>
      </c>
      <c r="B108" s="205"/>
      <c r="C108" s="205"/>
      <c r="D108" s="205"/>
      <c r="E108" s="205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352">
        <v>1024</v>
      </c>
      <c r="D111" s="351">
        <v>2249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352">
        <v>110</v>
      </c>
      <c r="D112" s="351">
        <v>1518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352"/>
      <c r="D113" s="351"/>
      <c r="E113" s="175"/>
    </row>
    <row r="114" spans="1:5" ht="12.65" customHeight="1" x14ac:dyDescent="0.35">
      <c r="A114" s="173" t="s">
        <v>281</v>
      </c>
      <c r="B114" s="172" t="s">
        <v>256</v>
      </c>
      <c r="C114" s="352">
        <v>489</v>
      </c>
      <c r="D114" s="351">
        <v>696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352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352">
        <v>0</v>
      </c>
      <c r="D117" s="175"/>
      <c r="E117" s="175"/>
    </row>
    <row r="118" spans="1:5" ht="12.65" customHeight="1" x14ac:dyDescent="0.35">
      <c r="A118" s="173" t="s">
        <v>976</v>
      </c>
      <c r="B118" s="172" t="s">
        <v>256</v>
      </c>
      <c r="C118" s="352">
        <v>19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352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352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352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352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352"/>
      <c r="D123" s="175"/>
      <c r="E123" s="175"/>
    </row>
    <row r="124" spans="1:5" ht="12.65" customHeight="1" x14ac:dyDescent="0.35">
      <c r="A124" s="173" t="s">
        <v>289</v>
      </c>
      <c r="B124" s="172"/>
      <c r="C124" s="352">
        <v>6</v>
      </c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352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/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5" t="s">
        <v>977</v>
      </c>
      <c r="B136" s="204"/>
      <c r="C136" s="204"/>
      <c r="D136" s="204"/>
      <c r="E136" s="204"/>
    </row>
    <row r="137" spans="1:6" ht="12.65" customHeight="1" x14ac:dyDescent="0.35">
      <c r="A137" s="254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351">
        <v>391</v>
      </c>
      <c r="C138" s="352">
        <v>311</v>
      </c>
      <c r="D138" s="351">
        <v>322</v>
      </c>
      <c r="E138" s="175">
        <f>SUM(B138:D138)</f>
        <v>1024</v>
      </c>
    </row>
    <row r="139" spans="1:6" ht="12.65" customHeight="1" x14ac:dyDescent="0.35">
      <c r="A139" s="173" t="s">
        <v>215</v>
      </c>
      <c r="B139" s="351">
        <v>858</v>
      </c>
      <c r="C139" s="352">
        <v>684</v>
      </c>
      <c r="D139" s="351">
        <v>707</v>
      </c>
      <c r="E139" s="175">
        <f>SUM(B139:D139)</f>
        <v>2249</v>
      </c>
    </row>
    <row r="140" spans="1:6" ht="12.65" customHeight="1" x14ac:dyDescent="0.35">
      <c r="A140" s="173" t="s">
        <v>298</v>
      </c>
      <c r="B140" s="351"/>
      <c r="C140" s="351"/>
      <c r="D140" s="351"/>
      <c r="E140" s="175">
        <f>SUM(B140:D140)</f>
        <v>0</v>
      </c>
    </row>
    <row r="141" spans="1:6" ht="12.65" customHeight="1" x14ac:dyDescent="0.35">
      <c r="A141" s="173" t="s">
        <v>245</v>
      </c>
      <c r="B141" s="351">
        <v>8817670</v>
      </c>
      <c r="C141" s="352">
        <v>13206346</v>
      </c>
      <c r="D141" s="351">
        <v>9662272</v>
      </c>
      <c r="E141" s="175">
        <f>SUM(B141:D141)</f>
        <v>31686288</v>
      </c>
      <c r="F141" s="199" t="s">
        <v>1011</v>
      </c>
    </row>
    <row r="142" spans="1:6" ht="12.65" customHeight="1" x14ac:dyDescent="0.35">
      <c r="A142" s="173" t="s">
        <v>246</v>
      </c>
      <c r="B142" s="351">
        <v>31945868</v>
      </c>
      <c r="C142" s="352">
        <v>33919834</v>
      </c>
      <c r="D142" s="351">
        <v>43445397</v>
      </c>
      <c r="E142" s="175">
        <f>SUM(B142:D142)</f>
        <v>109311099</v>
      </c>
      <c r="F142" s="199"/>
    </row>
    <row r="143" spans="1:6" ht="12.65" customHeight="1" x14ac:dyDescent="0.35">
      <c r="A143" s="254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351">
        <v>58</v>
      </c>
      <c r="C144" s="352">
        <v>12</v>
      </c>
      <c r="D144" s="351">
        <v>40</v>
      </c>
      <c r="E144" s="175">
        <f>SUM(B144:D144)</f>
        <v>110</v>
      </c>
    </row>
    <row r="145" spans="1:5" ht="12.65" customHeight="1" x14ac:dyDescent="0.35">
      <c r="A145" s="173" t="s">
        <v>215</v>
      </c>
      <c r="B145" s="351">
        <v>1189</v>
      </c>
      <c r="C145" s="352">
        <v>236</v>
      </c>
      <c r="D145" s="351">
        <v>93</v>
      </c>
      <c r="E145" s="175">
        <f>SUM(B145:D145)</f>
        <v>1518</v>
      </c>
    </row>
    <row r="146" spans="1:5" ht="12.65" customHeight="1" x14ac:dyDescent="0.35">
      <c r="A146" s="173" t="s">
        <v>298</v>
      </c>
      <c r="B146" s="351"/>
      <c r="C146" s="352"/>
      <c r="D146" s="351"/>
      <c r="E146" s="175">
        <f>SUM(B146:D146)</f>
        <v>0</v>
      </c>
    </row>
    <row r="147" spans="1:5" ht="12.65" customHeight="1" x14ac:dyDescent="0.35">
      <c r="A147" s="173" t="s">
        <v>245</v>
      </c>
      <c r="B147" s="351">
        <v>2132462</v>
      </c>
      <c r="C147" s="352">
        <v>423264</v>
      </c>
      <c r="D147" s="351">
        <v>166795</v>
      </c>
      <c r="E147" s="175">
        <f>SUM(B147:D147)</f>
        <v>2722521</v>
      </c>
    </row>
    <row r="148" spans="1:5" ht="12.65" customHeight="1" x14ac:dyDescent="0.35">
      <c r="A148" s="173" t="s">
        <v>246</v>
      </c>
      <c r="B148" s="351">
        <v>316972</v>
      </c>
      <c r="C148" s="352">
        <v>62915</v>
      </c>
      <c r="D148" s="351">
        <v>24793</v>
      </c>
      <c r="E148" s="175">
        <f>SUM(B148:D148)</f>
        <v>404680</v>
      </c>
    </row>
    <row r="149" spans="1:5" ht="12.65" customHeight="1" x14ac:dyDescent="0.35">
      <c r="A149" s="254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4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351">
        <v>17835133</v>
      </c>
      <c r="C157" s="351">
        <v>8133709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4" t="s">
        <v>305</v>
      </c>
      <c r="B163" s="205"/>
      <c r="C163" s="205"/>
      <c r="D163" s="205"/>
      <c r="E163" s="205"/>
    </row>
    <row r="164" spans="1:5" ht="11.5" customHeight="1" x14ac:dyDescent="0.35">
      <c r="A164" s="253" t="s">
        <v>306</v>
      </c>
      <c r="B164" s="253"/>
      <c r="C164" s="253"/>
      <c r="D164" s="253"/>
      <c r="E164" s="253"/>
    </row>
    <row r="165" spans="1:5" ht="11.25" customHeight="1" x14ac:dyDescent="0.35">
      <c r="A165" s="173" t="s">
        <v>307</v>
      </c>
      <c r="B165" s="172" t="s">
        <v>256</v>
      </c>
      <c r="C165" s="352">
        <v>1812173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352">
        <v>87333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352">
        <v>151653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352">
        <v>3514385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352">
        <v>62837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352">
        <v>772403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352">
        <v>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352">
        <v>51730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6452514</v>
      </c>
      <c r="E173" s="175"/>
    </row>
    <row r="174" spans="1:5" ht="11.5" customHeight="1" x14ac:dyDescent="0.35">
      <c r="A174" s="253" t="s">
        <v>314</v>
      </c>
      <c r="B174" s="253"/>
      <c r="C174" s="253"/>
      <c r="D174" s="253"/>
      <c r="E174" s="253"/>
    </row>
    <row r="175" spans="1:5" ht="11.5" customHeight="1" x14ac:dyDescent="0.35">
      <c r="A175" s="173" t="s">
        <v>315</v>
      </c>
      <c r="B175" s="172" t="s">
        <v>256</v>
      </c>
      <c r="C175" s="352">
        <v>1016763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352">
        <v>1058450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2075213</v>
      </c>
      <c r="E177" s="175"/>
    </row>
    <row r="178" spans="1:5" ht="11.5" customHeight="1" x14ac:dyDescent="0.35">
      <c r="A178" s="253" t="s">
        <v>317</v>
      </c>
      <c r="B178" s="253"/>
      <c r="C178" s="253"/>
      <c r="D178" s="253"/>
      <c r="E178" s="253"/>
    </row>
    <row r="179" spans="1:5" ht="11.5" customHeight="1" x14ac:dyDescent="0.35">
      <c r="A179" s="173" t="s">
        <v>318</v>
      </c>
      <c r="B179" s="172" t="s">
        <v>256</v>
      </c>
      <c r="C179" s="352">
        <v>297042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352">
        <v>120714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417756</v>
      </c>
      <c r="E181" s="175"/>
    </row>
    <row r="182" spans="1:5" ht="11.5" customHeight="1" x14ac:dyDescent="0.35">
      <c r="A182" s="253" t="s">
        <v>320</v>
      </c>
      <c r="B182" s="253"/>
      <c r="C182" s="253"/>
      <c r="D182" s="253"/>
      <c r="E182" s="253"/>
    </row>
    <row r="183" spans="1:5" ht="11.5" customHeight="1" x14ac:dyDescent="0.35">
      <c r="A183" s="173" t="s">
        <v>321</v>
      </c>
      <c r="B183" s="172" t="s">
        <v>256</v>
      </c>
      <c r="C183" s="352">
        <v>49640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352">
        <v>425176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474816</v>
      </c>
      <c r="E186" s="175"/>
    </row>
    <row r="187" spans="1:5" ht="11.5" customHeight="1" x14ac:dyDescent="0.35">
      <c r="A187" s="253" t="s">
        <v>323</v>
      </c>
      <c r="B187" s="253"/>
      <c r="C187" s="253"/>
      <c r="D187" s="253"/>
      <c r="E187" s="253"/>
    </row>
    <row r="188" spans="1:5" ht="11.5" customHeight="1" x14ac:dyDescent="0.35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352">
        <v>386610</v>
      </c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386610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5" t="s">
        <v>326</v>
      </c>
      <c r="B192" s="205"/>
      <c r="C192" s="205"/>
      <c r="D192" s="205"/>
      <c r="E192" s="205"/>
    </row>
    <row r="193" spans="1:8" ht="12.65" customHeight="1" x14ac:dyDescent="0.35">
      <c r="A193" s="204" t="s">
        <v>327</v>
      </c>
      <c r="B193" s="205"/>
      <c r="C193" s="205"/>
      <c r="D193" s="205"/>
      <c r="E193" s="205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351">
        <v>3128342</v>
      </c>
      <c r="C195" s="351">
        <v>0</v>
      </c>
      <c r="D195" s="351"/>
      <c r="E195" s="175">
        <f t="shared" ref="E195:E203" si="10">SUM(B195:C195)-D195</f>
        <v>3128342</v>
      </c>
    </row>
    <row r="196" spans="1:8" ht="12.65" customHeight="1" x14ac:dyDescent="0.35">
      <c r="A196" s="173" t="s">
        <v>333</v>
      </c>
      <c r="B196" s="351">
        <v>629956</v>
      </c>
      <c r="C196" s="351">
        <v>2743</v>
      </c>
      <c r="D196" s="351"/>
      <c r="E196" s="175">
        <f t="shared" si="10"/>
        <v>632699</v>
      </c>
    </row>
    <row r="197" spans="1:8" ht="12.65" customHeight="1" x14ac:dyDescent="0.35">
      <c r="A197" s="173" t="s">
        <v>334</v>
      </c>
      <c r="B197" s="351">
        <v>22556640</v>
      </c>
      <c r="C197" s="351" t="s">
        <v>1011</v>
      </c>
      <c r="D197" s="351"/>
      <c r="E197" s="175">
        <f t="shared" si="10"/>
        <v>22556640</v>
      </c>
    </row>
    <row r="198" spans="1:8" ht="12.65" customHeight="1" x14ac:dyDescent="0.35">
      <c r="A198" s="173" t="s">
        <v>335</v>
      </c>
      <c r="B198" s="351">
        <v>3163300</v>
      </c>
      <c r="C198" s="351">
        <v>1580734</v>
      </c>
      <c r="D198" s="351">
        <v>373057</v>
      </c>
      <c r="E198" s="175">
        <f t="shared" si="10"/>
        <v>4370977</v>
      </c>
    </row>
    <row r="199" spans="1:8" ht="12.65" customHeight="1" x14ac:dyDescent="0.35">
      <c r="A199" s="173" t="s">
        <v>336</v>
      </c>
      <c r="B199" s="351">
        <v>665178</v>
      </c>
      <c r="C199" s="351" t="s">
        <v>1011</v>
      </c>
      <c r="D199" s="351"/>
      <c r="E199" s="175">
        <f t="shared" si="10"/>
        <v>665178</v>
      </c>
    </row>
    <row r="200" spans="1:8" ht="12.65" customHeight="1" x14ac:dyDescent="0.35">
      <c r="A200" s="173" t="s">
        <v>337</v>
      </c>
      <c r="B200" s="351">
        <v>14619070</v>
      </c>
      <c r="C200" s="351" t="s">
        <v>1011</v>
      </c>
      <c r="D200" s="351" t="s">
        <v>1011</v>
      </c>
      <c r="E200" s="175">
        <f t="shared" si="10"/>
        <v>14619070</v>
      </c>
    </row>
    <row r="201" spans="1:8" ht="12.65" customHeight="1" x14ac:dyDescent="0.35">
      <c r="A201" s="173" t="s">
        <v>338</v>
      </c>
      <c r="B201" s="351"/>
      <c r="C201" s="352"/>
      <c r="D201" s="351"/>
      <c r="E201" s="175">
        <f t="shared" si="10"/>
        <v>0</v>
      </c>
    </row>
    <row r="202" spans="1:8" ht="12.65" customHeight="1" x14ac:dyDescent="0.35">
      <c r="A202" s="173" t="s">
        <v>339</v>
      </c>
      <c r="B202" s="351"/>
      <c r="C202" s="352"/>
      <c r="D202" s="351"/>
      <c r="E202" s="175">
        <f t="shared" si="10"/>
        <v>0</v>
      </c>
    </row>
    <row r="203" spans="1:8" ht="12.65" customHeight="1" x14ac:dyDescent="0.35">
      <c r="A203" s="173" t="s">
        <v>340</v>
      </c>
      <c r="B203" s="351">
        <v>228718</v>
      </c>
      <c r="C203" s="352">
        <v>4820333</v>
      </c>
      <c r="D203" s="351">
        <v>3142958</v>
      </c>
      <c r="E203" s="175">
        <f t="shared" si="10"/>
        <v>1906093</v>
      </c>
    </row>
    <row r="204" spans="1:8" ht="12.65" customHeight="1" x14ac:dyDescent="0.35">
      <c r="A204" s="173" t="s">
        <v>203</v>
      </c>
      <c r="B204" s="175">
        <f>SUM(B195:B203)</f>
        <v>44991204</v>
      </c>
      <c r="C204" s="191">
        <f>SUM(C195:C203)</f>
        <v>6403810</v>
      </c>
      <c r="D204" s="175">
        <f>SUM(D195:D203)</f>
        <v>3516015</v>
      </c>
      <c r="E204" s="175">
        <f>SUM(E195:E203)</f>
        <v>47878999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4" t="s">
        <v>341</v>
      </c>
      <c r="B206" s="204"/>
      <c r="C206" s="204"/>
      <c r="D206" s="204"/>
      <c r="E206" s="204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5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5"/>
    </row>
    <row r="209" spans="1:8" ht="12.65" customHeight="1" x14ac:dyDescent="0.35">
      <c r="A209" s="173" t="s">
        <v>333</v>
      </c>
      <c r="B209" s="351">
        <v>452980</v>
      </c>
      <c r="C209" s="352">
        <v>38629</v>
      </c>
      <c r="D209" s="351"/>
      <c r="E209" s="175">
        <f t="shared" ref="E209:E216" si="11">SUM(B209:C209)-D209</f>
        <v>491609</v>
      </c>
      <c r="H209" s="255"/>
    </row>
    <row r="210" spans="1:8" ht="12.65" customHeight="1" x14ac:dyDescent="0.35">
      <c r="A210" s="173" t="s">
        <v>334</v>
      </c>
      <c r="B210" s="351">
        <v>14864588</v>
      </c>
      <c r="C210" s="352">
        <v>613186</v>
      </c>
      <c r="D210" s="351"/>
      <c r="E210" s="175">
        <f t="shared" si="11"/>
        <v>15477774</v>
      </c>
      <c r="H210" s="255"/>
    </row>
    <row r="211" spans="1:8" ht="12.65" customHeight="1" x14ac:dyDescent="0.35">
      <c r="A211" s="173" t="s">
        <v>335</v>
      </c>
      <c r="B211" s="351">
        <v>1421274</v>
      </c>
      <c r="C211" s="352">
        <v>2083970</v>
      </c>
      <c r="D211" s="351">
        <v>311552</v>
      </c>
      <c r="E211" s="175">
        <f t="shared" si="11"/>
        <v>3193692</v>
      </c>
      <c r="H211" s="255"/>
    </row>
    <row r="212" spans="1:8" ht="12.65" customHeight="1" x14ac:dyDescent="0.35">
      <c r="A212" s="173" t="s">
        <v>336</v>
      </c>
      <c r="B212" s="351">
        <v>528415</v>
      </c>
      <c r="C212" s="352">
        <v>19088</v>
      </c>
      <c r="D212" s="351"/>
      <c r="E212" s="175">
        <f t="shared" si="11"/>
        <v>547503</v>
      </c>
      <c r="H212" s="255"/>
    </row>
    <row r="213" spans="1:8" ht="12.65" customHeight="1" x14ac:dyDescent="0.35">
      <c r="A213" s="173" t="s">
        <v>337</v>
      </c>
      <c r="B213" s="351">
        <v>9410008</v>
      </c>
      <c r="C213" s="352" t="s">
        <v>1011</v>
      </c>
      <c r="D213" s="351" t="s">
        <v>1011</v>
      </c>
      <c r="E213" s="175">
        <f t="shared" si="11"/>
        <v>9410008</v>
      </c>
      <c r="H213" s="255"/>
    </row>
    <row r="214" spans="1:8" ht="12.65" customHeight="1" x14ac:dyDescent="0.35">
      <c r="A214" s="173" t="s">
        <v>338</v>
      </c>
      <c r="B214" s="351"/>
      <c r="C214" s="352"/>
      <c r="D214" s="174"/>
      <c r="E214" s="175">
        <f t="shared" si="11"/>
        <v>0</v>
      </c>
      <c r="H214" s="255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5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5"/>
    </row>
    <row r="217" spans="1:8" ht="12.65" customHeight="1" x14ac:dyDescent="0.35">
      <c r="A217" s="173" t="s">
        <v>203</v>
      </c>
      <c r="B217" s="175">
        <f>SUM(B208:B216)</f>
        <v>26677265</v>
      </c>
      <c r="C217" s="191">
        <f>SUM(C208:C216)</f>
        <v>2754873</v>
      </c>
      <c r="D217" s="175">
        <f>SUM(D208:D216)</f>
        <v>311552</v>
      </c>
      <c r="E217" s="175">
        <f>SUM(E208:E216)</f>
        <v>29120586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5" t="s">
        <v>342</v>
      </c>
      <c r="B219" s="205"/>
      <c r="C219" s="205"/>
      <c r="D219" s="205"/>
      <c r="E219" s="205"/>
    </row>
    <row r="220" spans="1:8" ht="12.65" customHeight="1" x14ac:dyDescent="0.35">
      <c r="A220" s="205"/>
      <c r="B220" s="364" t="s">
        <v>994</v>
      </c>
      <c r="C220" s="364"/>
      <c r="D220" s="205"/>
      <c r="E220" s="205"/>
    </row>
    <row r="221" spans="1:8" ht="12.65" customHeight="1" x14ac:dyDescent="0.35">
      <c r="A221" s="267" t="s">
        <v>994</v>
      </c>
      <c r="B221" s="205"/>
      <c r="C221" s="352">
        <v>3323931</v>
      </c>
      <c r="D221" s="172">
        <f>C221</f>
        <v>3323931</v>
      </c>
      <c r="E221" s="205"/>
    </row>
    <row r="222" spans="1:8" ht="12.65" customHeight="1" x14ac:dyDescent="0.35">
      <c r="A222" s="253" t="s">
        <v>343</v>
      </c>
      <c r="B222" s="253"/>
      <c r="C222" s="253"/>
      <c r="D222" s="253"/>
      <c r="E222" s="253"/>
    </row>
    <row r="223" spans="1:8" ht="12.65" customHeight="1" x14ac:dyDescent="0.35">
      <c r="A223" s="173" t="s">
        <v>344</v>
      </c>
      <c r="B223" s="172" t="s">
        <v>256</v>
      </c>
      <c r="C223" s="352">
        <v>26822171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352">
        <v>32612768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352">
        <v>2612492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352"/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352"/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352">
        <v>17557851</v>
      </c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79605282</v>
      </c>
      <c r="E229" s="175"/>
    </row>
    <row r="230" spans="1:5" ht="12.65" customHeight="1" x14ac:dyDescent="0.35">
      <c r="A230" s="253" t="s">
        <v>351</v>
      </c>
      <c r="B230" s="253"/>
      <c r="C230" s="253"/>
      <c r="D230" s="253"/>
      <c r="E230" s="253"/>
    </row>
    <row r="231" spans="1:5" ht="12.65" customHeight="1" x14ac:dyDescent="0.35">
      <c r="A231" s="171" t="s">
        <v>352</v>
      </c>
      <c r="B231" s="172" t="s">
        <v>256</v>
      </c>
      <c r="C231" s="352">
        <v>1557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352">
        <v>435916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352">
        <v>1346085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1782001</v>
      </c>
      <c r="E236" s="175"/>
    </row>
    <row r="237" spans="1:5" ht="12.65" customHeight="1" x14ac:dyDescent="0.35">
      <c r="A237" s="253" t="s">
        <v>356</v>
      </c>
      <c r="B237" s="253"/>
      <c r="C237" s="253"/>
      <c r="D237" s="253"/>
      <c r="E237" s="253"/>
    </row>
    <row r="238" spans="1:5" ht="12.65" customHeight="1" x14ac:dyDescent="0.35">
      <c r="A238" s="173" t="s">
        <v>357</v>
      </c>
      <c r="B238" s="172" t="s">
        <v>256</v>
      </c>
      <c r="C238" s="189"/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/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84711214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5" t="s">
        <v>360</v>
      </c>
      <c r="B248" s="205"/>
      <c r="C248" s="205"/>
      <c r="D248" s="205"/>
      <c r="E248" s="205"/>
    </row>
    <row r="249" spans="1:5" ht="11.25" customHeight="1" x14ac:dyDescent="0.35">
      <c r="A249" s="253" t="s">
        <v>361</v>
      </c>
      <c r="B249" s="253"/>
      <c r="C249" s="253"/>
      <c r="D249" s="253"/>
      <c r="E249" s="253"/>
    </row>
    <row r="250" spans="1:5" ht="12.45" customHeight="1" x14ac:dyDescent="0.35">
      <c r="A250" s="173" t="s">
        <v>362</v>
      </c>
      <c r="B250" s="172" t="s">
        <v>256</v>
      </c>
      <c r="C250" s="352">
        <v>9357886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352">
        <v>15448177</v>
      </c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352">
        <v>26577800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352">
        <v>16699000</v>
      </c>
      <c r="D253" s="175"/>
      <c r="E253" s="175"/>
    </row>
    <row r="254" spans="1:5" ht="12.45" customHeight="1" x14ac:dyDescent="0.35">
      <c r="A254" s="173" t="s">
        <v>978</v>
      </c>
      <c r="B254" s="172" t="s">
        <v>256</v>
      </c>
      <c r="C254" s="352">
        <v>0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352">
        <v>153786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352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352">
        <v>484141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352">
        <v>940096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352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36262886</v>
      </c>
      <c r="E260" s="175"/>
    </row>
    <row r="261" spans="1:5" ht="11.25" customHeight="1" x14ac:dyDescent="0.35">
      <c r="A261" s="253" t="s">
        <v>372</v>
      </c>
      <c r="B261" s="253"/>
      <c r="C261" s="253"/>
      <c r="D261" s="253"/>
      <c r="E261" s="253"/>
    </row>
    <row r="262" spans="1:5" ht="12.45" customHeight="1" x14ac:dyDescent="0.35">
      <c r="A262" s="173" t="s">
        <v>362</v>
      </c>
      <c r="B262" s="172" t="s">
        <v>256</v>
      </c>
      <c r="C262" s="352">
        <v>2233842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352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352">
        <v>1660627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3894469</v>
      </c>
      <c r="E265" s="175"/>
    </row>
    <row r="266" spans="1:5" ht="11.25" customHeight="1" x14ac:dyDescent="0.35">
      <c r="A266" s="253" t="s">
        <v>375</v>
      </c>
      <c r="B266" s="253"/>
      <c r="C266" s="253"/>
      <c r="D266" s="253"/>
      <c r="E266" s="253"/>
    </row>
    <row r="267" spans="1:5" ht="12.45" customHeight="1" x14ac:dyDescent="0.35">
      <c r="A267" s="173" t="s">
        <v>332</v>
      </c>
      <c r="B267" s="172" t="s">
        <v>256</v>
      </c>
      <c r="C267" s="352">
        <f>478396+2649946</f>
        <v>3128342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352">
        <v>632699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352">
        <v>22556640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352">
        <v>4370977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352">
        <v>665178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352">
        <v>14619070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352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352">
        <v>1906093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47878999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352">
        <v>29120585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18758414</v>
      </c>
      <c r="E277" s="175"/>
    </row>
    <row r="278" spans="1:5" ht="12.65" customHeight="1" x14ac:dyDescent="0.35">
      <c r="A278" s="253" t="s">
        <v>382</v>
      </c>
      <c r="B278" s="253"/>
      <c r="C278" s="253"/>
      <c r="D278" s="253"/>
      <c r="E278" s="253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352">
        <v>268653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268653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3" t="s">
        <v>387</v>
      </c>
      <c r="B285" s="253"/>
      <c r="C285" s="253"/>
      <c r="D285" s="253"/>
      <c r="E285" s="253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59184422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5" t="s">
        <v>394</v>
      </c>
      <c r="B302" s="205"/>
      <c r="C302" s="205"/>
      <c r="D302" s="205"/>
      <c r="E302" s="205"/>
    </row>
    <row r="303" spans="1:5" ht="14.25" customHeight="1" x14ac:dyDescent="0.35">
      <c r="A303" s="253" t="s">
        <v>395</v>
      </c>
      <c r="B303" s="253"/>
      <c r="C303" s="253"/>
      <c r="D303" s="253"/>
      <c r="E303" s="253"/>
    </row>
    <row r="304" spans="1:5" ht="12.75" customHeight="1" x14ac:dyDescent="0.35">
      <c r="A304" s="173" t="s">
        <v>396</v>
      </c>
      <c r="B304" s="172" t="s">
        <v>256</v>
      </c>
      <c r="C304" s="352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352">
        <v>1390404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352">
        <v>1134162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352">
        <v>1329277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352"/>
      <c r="D308" s="175"/>
      <c r="E308" s="175"/>
    </row>
    <row r="309" spans="1:5" ht="12.65" customHeight="1" x14ac:dyDescent="0.35">
      <c r="A309" s="173" t="s">
        <v>979</v>
      </c>
      <c r="B309" s="172" t="s">
        <v>256</v>
      </c>
      <c r="C309" s="352">
        <v>901118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352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352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352">
        <v>19670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352">
        <v>1170080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5944711</v>
      </c>
      <c r="E314" s="175"/>
    </row>
    <row r="315" spans="1:5" ht="12.65" customHeight="1" x14ac:dyDescent="0.35">
      <c r="A315" s="253" t="s">
        <v>406</v>
      </c>
      <c r="B315" s="253"/>
      <c r="C315" s="253"/>
      <c r="D315" s="253"/>
      <c r="E315" s="253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352">
        <v>3166415</v>
      </c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3166415</v>
      </c>
      <c r="E319" s="175"/>
    </row>
    <row r="320" spans="1:5" ht="12.65" customHeight="1" x14ac:dyDescent="0.35">
      <c r="A320" s="253" t="s">
        <v>411</v>
      </c>
      <c r="B320" s="253"/>
      <c r="C320" s="253"/>
      <c r="D320" s="253"/>
      <c r="E320" s="253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352">
        <v>18665392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352">
        <v>0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18665392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1170080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17495312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357">
        <v>32577984</v>
      </c>
      <c r="D332" s="175"/>
      <c r="E332" s="175"/>
    </row>
    <row r="333" spans="1:5" ht="12.65" customHeight="1" x14ac:dyDescent="0.35">
      <c r="A333" s="173"/>
      <c r="B333" s="172"/>
      <c r="C333" s="228"/>
      <c r="D333" s="175"/>
      <c r="E333" s="175"/>
    </row>
    <row r="334" spans="1:5" ht="12.65" customHeight="1" x14ac:dyDescent="0.35">
      <c r="A334" s="173" t="s">
        <v>879</v>
      </c>
      <c r="B334" s="172" t="s">
        <v>256</v>
      </c>
      <c r="C334" s="218"/>
      <c r="D334" s="175"/>
      <c r="E334" s="175"/>
    </row>
    <row r="335" spans="1:5" ht="12.65" customHeight="1" x14ac:dyDescent="0.35">
      <c r="A335" s="173" t="s">
        <v>880</v>
      </c>
      <c r="B335" s="172" t="s">
        <v>256</v>
      </c>
      <c r="C335" s="218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18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990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59184422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59184422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7" ht="12.65" customHeight="1" x14ac:dyDescent="0.35">
      <c r="A353" s="173"/>
      <c r="B353" s="173"/>
      <c r="C353" s="191"/>
      <c r="D353" s="175"/>
      <c r="E353" s="175"/>
    </row>
    <row r="354" spans="1:7" ht="12.65" customHeight="1" x14ac:dyDescent="0.35">
      <c r="A354" s="173"/>
      <c r="B354" s="173"/>
      <c r="C354" s="191"/>
      <c r="D354" s="175"/>
      <c r="E354" s="175"/>
    </row>
    <row r="355" spans="1:7" ht="12.65" customHeight="1" x14ac:dyDescent="0.35">
      <c r="A355" s="173"/>
      <c r="B355" s="173"/>
      <c r="C355" s="191"/>
      <c r="D355" s="175"/>
      <c r="E355" s="175"/>
    </row>
    <row r="356" spans="1:7" ht="20.25" customHeight="1" x14ac:dyDescent="0.35">
      <c r="A356" s="173"/>
      <c r="B356" s="173"/>
      <c r="C356" s="191"/>
      <c r="D356" s="175"/>
      <c r="E356" s="175"/>
    </row>
    <row r="357" spans="1:7" ht="12.65" customHeight="1" x14ac:dyDescent="0.35">
      <c r="A357" s="205" t="s">
        <v>426</v>
      </c>
      <c r="B357" s="205"/>
      <c r="C357" s="205"/>
      <c r="D357" s="205"/>
      <c r="E357" s="205"/>
    </row>
    <row r="358" spans="1:7" ht="12.65" customHeight="1" x14ac:dyDescent="0.35">
      <c r="A358" s="253" t="s">
        <v>427</v>
      </c>
      <c r="B358" s="253"/>
      <c r="C358" s="253"/>
      <c r="D358" s="253"/>
      <c r="E358" s="253"/>
    </row>
    <row r="359" spans="1:7" ht="12.65" customHeight="1" x14ac:dyDescent="0.35">
      <c r="A359" s="173" t="s">
        <v>428</v>
      </c>
      <c r="B359" s="172" t="s">
        <v>256</v>
      </c>
      <c r="C359" s="352">
        <v>34408809</v>
      </c>
      <c r="D359" s="175"/>
      <c r="E359" s="175"/>
    </row>
    <row r="360" spans="1:7" ht="12.65" customHeight="1" x14ac:dyDescent="0.35">
      <c r="A360" s="173" t="s">
        <v>429</v>
      </c>
      <c r="B360" s="172" t="s">
        <v>256</v>
      </c>
      <c r="C360" s="352">
        <v>109715779</v>
      </c>
      <c r="D360" s="175"/>
      <c r="E360" s="175"/>
    </row>
    <row r="361" spans="1:7" ht="12.65" customHeight="1" x14ac:dyDescent="0.35">
      <c r="A361" s="173" t="s">
        <v>430</v>
      </c>
      <c r="B361" s="175"/>
      <c r="C361" s="191"/>
      <c r="D361" s="175">
        <f>SUM(C359:C360)</f>
        <v>144124588</v>
      </c>
      <c r="E361" s="175"/>
    </row>
    <row r="362" spans="1:7" ht="12.65" customHeight="1" x14ac:dyDescent="0.35">
      <c r="A362" s="253" t="s">
        <v>431</v>
      </c>
      <c r="B362" s="253"/>
      <c r="C362" s="253"/>
      <c r="D362" s="253"/>
      <c r="E362" s="253"/>
    </row>
    <row r="363" spans="1:7" ht="12.65" customHeight="1" x14ac:dyDescent="0.35">
      <c r="A363" s="173" t="s">
        <v>994</v>
      </c>
      <c r="B363" s="253"/>
      <c r="C363" s="352">
        <v>3323931</v>
      </c>
      <c r="D363" s="175"/>
      <c r="E363" s="253"/>
    </row>
    <row r="364" spans="1:7" ht="12.65" customHeight="1" x14ac:dyDescent="0.35">
      <c r="A364" s="173" t="s">
        <v>432</v>
      </c>
      <c r="B364" s="172" t="s">
        <v>256</v>
      </c>
      <c r="C364" s="352">
        <v>79605282</v>
      </c>
      <c r="D364" s="175"/>
      <c r="E364" s="175"/>
    </row>
    <row r="365" spans="1:7" ht="12.65" customHeight="1" x14ac:dyDescent="0.35">
      <c r="A365" s="173" t="s">
        <v>433</v>
      </c>
      <c r="B365" s="172" t="s">
        <v>256</v>
      </c>
      <c r="C365" s="352">
        <v>1782001</v>
      </c>
      <c r="D365" s="175"/>
      <c r="E365" s="175"/>
    </row>
    <row r="366" spans="1:7" ht="12.65" customHeight="1" x14ac:dyDescent="0.35">
      <c r="A366" s="173" t="s">
        <v>434</v>
      </c>
      <c r="B366" s="172" t="s">
        <v>256</v>
      </c>
      <c r="C366" s="189"/>
      <c r="D366" s="175"/>
      <c r="E366" s="175"/>
    </row>
    <row r="367" spans="1:7" ht="12.65" customHeight="1" x14ac:dyDescent="0.35">
      <c r="A367" s="173" t="s">
        <v>359</v>
      </c>
      <c r="B367" s="175"/>
      <c r="C367" s="191"/>
      <c r="D367" s="175">
        <f>SUM(C363:C366)</f>
        <v>84711214</v>
      </c>
      <c r="E367" s="175"/>
      <c r="F367" s="180" t="s">
        <v>1011</v>
      </c>
      <c r="G367" s="180" t="s">
        <v>1011</v>
      </c>
    </row>
    <row r="368" spans="1:7" ht="12.65" customHeight="1" x14ac:dyDescent="0.35">
      <c r="A368" s="173" t="s">
        <v>435</v>
      </c>
      <c r="B368" s="175"/>
      <c r="C368" s="191"/>
      <c r="D368" s="175">
        <f>D361-D367</f>
        <v>59413374</v>
      </c>
      <c r="E368" s="175"/>
    </row>
    <row r="369" spans="1:5" ht="12.65" customHeight="1" x14ac:dyDescent="0.35">
      <c r="A369" s="253" t="s">
        <v>436</v>
      </c>
      <c r="B369" s="253"/>
      <c r="C369" s="253"/>
      <c r="D369" s="253"/>
      <c r="E369" s="253"/>
    </row>
    <row r="370" spans="1:5" ht="12.65" customHeight="1" x14ac:dyDescent="0.35">
      <c r="A370" s="173" t="s">
        <v>437</v>
      </c>
      <c r="B370" s="172" t="s">
        <v>256</v>
      </c>
      <c r="C370" s="352">
        <v>5138939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352">
        <v>856225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5995164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65408538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3" t="s">
        <v>441</v>
      </c>
      <c r="B377" s="253"/>
      <c r="C377" s="253"/>
      <c r="D377" s="253"/>
      <c r="E377" s="253"/>
    </row>
    <row r="378" spans="1:5" ht="12.65" customHeight="1" x14ac:dyDescent="0.35">
      <c r="A378" s="173" t="s">
        <v>442</v>
      </c>
      <c r="B378" s="172" t="s">
        <v>256</v>
      </c>
      <c r="C378" s="352">
        <v>29263038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352">
        <v>6452514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352">
        <v>7462624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352">
        <v>8221833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352">
        <v>575775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352">
        <v>3352762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352">
        <v>2754873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352">
        <v>2075213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352">
        <v>417756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352">
        <v>474816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352">
        <v>386610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352">
        <v>1483817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62921631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2486907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v>464119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2951026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2951026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6"/>
    </row>
    <row r="412" spans="1:5" ht="12.65" customHeight="1" x14ac:dyDescent="0.35">
      <c r="A412" s="179" t="str">
        <f>C84&amp;"   "&amp;"H-"&amp;FIXED(C83,0,TRUE)&amp;"     FYE "&amp;C82</f>
        <v>PMH Medical Center   H-0     FYE 12/31/2020</v>
      </c>
      <c r="B412" s="179"/>
      <c r="C412" s="179"/>
      <c r="D412" s="179"/>
      <c r="E412" s="256"/>
    </row>
    <row r="413" spans="1:5" ht="12.65" customHeight="1" x14ac:dyDescent="0.35">
      <c r="A413" s="179" t="s">
        <v>460</v>
      </c>
      <c r="B413" s="181" t="s">
        <v>461</v>
      </c>
      <c r="C413" s="181" t="s">
        <v>980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1024</v>
      </c>
      <c r="C414" s="194">
        <f>E138</f>
        <v>1024</v>
      </c>
      <c r="D414" s="179"/>
    </row>
    <row r="415" spans="1:5" ht="12.65" customHeight="1" x14ac:dyDescent="0.35">
      <c r="A415" s="179" t="s">
        <v>464</v>
      </c>
      <c r="B415" s="179">
        <f>D111</f>
        <v>2249</v>
      </c>
      <c r="C415" s="179">
        <f>E139</f>
        <v>2249</v>
      </c>
      <c r="D415" s="194">
        <f>SUM(C59:H59)+N59</f>
        <v>2249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110</v>
      </c>
      <c r="C417" s="194">
        <f>E144</f>
        <v>110</v>
      </c>
      <c r="D417" s="179"/>
    </row>
    <row r="418" spans="1:7" ht="12.65" customHeight="1" x14ac:dyDescent="0.35">
      <c r="A418" s="179" t="s">
        <v>466</v>
      </c>
      <c r="B418" s="179">
        <f>D112</f>
        <v>1518</v>
      </c>
      <c r="C418" s="179">
        <f>E145</f>
        <v>1518</v>
      </c>
      <c r="D418" s="179">
        <f>K59+L59</f>
        <v>1518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3"/>
      <c r="B422" s="203"/>
      <c r="C422" s="181"/>
      <c r="D422" s="179"/>
    </row>
    <row r="423" spans="1:7" ht="12.65" customHeight="1" x14ac:dyDescent="0.35">
      <c r="A423" s="180" t="s">
        <v>469</v>
      </c>
      <c r="B423" s="180">
        <f>C114</f>
        <v>489</v>
      </c>
    </row>
    <row r="424" spans="1:7" ht="12.65" customHeight="1" x14ac:dyDescent="0.35">
      <c r="A424" s="179" t="s">
        <v>981</v>
      </c>
      <c r="B424" s="179">
        <f>D114</f>
        <v>696</v>
      </c>
      <c r="D424" s="179">
        <f>J59</f>
        <v>696</v>
      </c>
    </row>
    <row r="425" spans="1:7" ht="12.65" customHeight="1" x14ac:dyDescent="0.35">
      <c r="A425" s="203"/>
      <c r="B425" s="203"/>
      <c r="C425" s="203"/>
      <c r="D425" s="203"/>
      <c r="F425" s="203"/>
      <c r="G425" s="203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29263038</v>
      </c>
      <c r="C427" s="179">
        <f t="shared" ref="C427:C434" si="13">CE61</f>
        <v>29263038</v>
      </c>
      <c r="D427" s="179"/>
    </row>
    <row r="428" spans="1:7" ht="12.65" customHeight="1" x14ac:dyDescent="0.35">
      <c r="A428" s="179" t="s">
        <v>3</v>
      </c>
      <c r="B428" s="179">
        <f t="shared" si="12"/>
        <v>6452514</v>
      </c>
      <c r="C428" s="179">
        <f t="shared" si="13"/>
        <v>6452511</v>
      </c>
      <c r="D428" s="179">
        <f>D173</f>
        <v>6452514</v>
      </c>
    </row>
    <row r="429" spans="1:7" ht="12.65" customHeight="1" x14ac:dyDescent="0.35">
      <c r="A429" s="179" t="s">
        <v>236</v>
      </c>
      <c r="B429" s="179">
        <f t="shared" si="12"/>
        <v>7462624</v>
      </c>
      <c r="C429" s="179">
        <f t="shared" si="13"/>
        <v>7462624</v>
      </c>
      <c r="D429" s="179"/>
    </row>
    <row r="430" spans="1:7" ht="12.65" customHeight="1" x14ac:dyDescent="0.35">
      <c r="A430" s="179" t="s">
        <v>237</v>
      </c>
      <c r="B430" s="179">
        <f t="shared" si="12"/>
        <v>8221833</v>
      </c>
      <c r="C430" s="179">
        <f t="shared" si="13"/>
        <v>8221833</v>
      </c>
      <c r="D430" s="179"/>
    </row>
    <row r="431" spans="1:7" ht="12.65" customHeight="1" x14ac:dyDescent="0.35">
      <c r="A431" s="179" t="s">
        <v>444</v>
      </c>
      <c r="B431" s="179">
        <f t="shared" si="12"/>
        <v>575775</v>
      </c>
      <c r="C431" s="179">
        <f t="shared" si="13"/>
        <v>575775</v>
      </c>
      <c r="D431" s="179"/>
    </row>
    <row r="432" spans="1:7" ht="12.65" customHeight="1" x14ac:dyDescent="0.35">
      <c r="A432" s="179" t="s">
        <v>445</v>
      </c>
      <c r="B432" s="179">
        <f t="shared" si="12"/>
        <v>3352762</v>
      </c>
      <c r="C432" s="179">
        <f t="shared" si="13"/>
        <v>3352762</v>
      </c>
      <c r="D432" s="179"/>
    </row>
    <row r="433" spans="1:7" ht="12.65" customHeight="1" x14ac:dyDescent="0.35">
      <c r="A433" s="179" t="s">
        <v>6</v>
      </c>
      <c r="B433" s="179">
        <f t="shared" si="12"/>
        <v>2754873</v>
      </c>
      <c r="C433" s="179">
        <f t="shared" si="13"/>
        <v>2754872</v>
      </c>
      <c r="D433" s="179">
        <f>C217</f>
        <v>2754873</v>
      </c>
    </row>
    <row r="434" spans="1:7" ht="12.65" customHeight="1" x14ac:dyDescent="0.35">
      <c r="A434" s="179" t="s">
        <v>474</v>
      </c>
      <c r="B434" s="179">
        <f t="shared" si="12"/>
        <v>2075213</v>
      </c>
      <c r="C434" s="179">
        <f t="shared" si="13"/>
        <v>2075213</v>
      </c>
      <c r="D434" s="179">
        <f>D177</f>
        <v>2075213</v>
      </c>
    </row>
    <row r="435" spans="1:7" ht="12.65" customHeight="1" x14ac:dyDescent="0.35">
      <c r="A435" s="179" t="s">
        <v>447</v>
      </c>
      <c r="B435" s="179">
        <f t="shared" si="12"/>
        <v>417756</v>
      </c>
      <c r="C435" s="179"/>
      <c r="D435" s="179">
        <f>D181</f>
        <v>417756</v>
      </c>
    </row>
    <row r="436" spans="1:7" ht="12.65" customHeight="1" x14ac:dyDescent="0.35">
      <c r="A436" s="179" t="s">
        <v>475</v>
      </c>
      <c r="B436" s="179">
        <f t="shared" si="12"/>
        <v>474816</v>
      </c>
      <c r="C436" s="179"/>
      <c r="D436" s="179">
        <f>D186</f>
        <v>474816</v>
      </c>
    </row>
    <row r="437" spans="1:7" ht="12.65" customHeight="1" x14ac:dyDescent="0.35">
      <c r="A437" s="194" t="s">
        <v>449</v>
      </c>
      <c r="B437" s="194">
        <f t="shared" si="12"/>
        <v>386610</v>
      </c>
      <c r="C437" s="194"/>
      <c r="D437" s="194">
        <f>D190</f>
        <v>386610</v>
      </c>
    </row>
    <row r="438" spans="1:7" ht="12.65" customHeight="1" x14ac:dyDescent="0.35">
      <c r="A438" s="194" t="s">
        <v>476</v>
      </c>
      <c r="B438" s="194">
        <f>C386+C387+C388</f>
        <v>1279182</v>
      </c>
      <c r="C438" s="194">
        <f>CD69</f>
        <v>1279182</v>
      </c>
      <c r="D438" s="194">
        <f>D181+D186+D190</f>
        <v>1279182</v>
      </c>
    </row>
    <row r="439" spans="1:7" ht="12.65" customHeight="1" x14ac:dyDescent="0.35">
      <c r="A439" s="179" t="s">
        <v>451</v>
      </c>
      <c r="B439" s="194">
        <f>C389</f>
        <v>1483817</v>
      </c>
      <c r="C439" s="194">
        <f>SUM(C69:CC69)</f>
        <v>1483817</v>
      </c>
      <c r="D439" s="179"/>
    </row>
    <row r="440" spans="1:7" ht="12.65" customHeight="1" x14ac:dyDescent="0.35">
      <c r="A440" s="179" t="s">
        <v>477</v>
      </c>
      <c r="B440" s="194">
        <f>B438+B439</f>
        <v>2762999</v>
      </c>
      <c r="C440" s="194">
        <f>CE69</f>
        <v>2762999</v>
      </c>
      <c r="D440" s="179"/>
    </row>
    <row r="441" spans="1:7" ht="12.65" customHeight="1" x14ac:dyDescent="0.35">
      <c r="A441" s="179" t="s">
        <v>478</v>
      </c>
      <c r="B441" s="179">
        <f>D390</f>
        <v>62921631</v>
      </c>
      <c r="C441" s="179">
        <f>SUM(C427:C437)+C440</f>
        <v>62921627</v>
      </c>
      <c r="D441" s="179"/>
    </row>
    <row r="442" spans="1:7" ht="12.65" customHeight="1" x14ac:dyDescent="0.35">
      <c r="A442" s="203"/>
      <c r="B442" s="203"/>
      <c r="C442" s="203"/>
      <c r="D442" s="203"/>
      <c r="F442" s="203"/>
      <c r="G442" s="203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995</v>
      </c>
      <c r="B444" s="179">
        <f>D221</f>
        <v>3323931</v>
      </c>
      <c r="C444" s="179">
        <f>C363</f>
        <v>3323931</v>
      </c>
      <c r="D444" s="179"/>
    </row>
    <row r="445" spans="1:7" ht="12.65" customHeight="1" x14ac:dyDescent="0.35">
      <c r="A445" s="179" t="s">
        <v>343</v>
      </c>
      <c r="B445" s="179">
        <f>D229</f>
        <v>79605282</v>
      </c>
      <c r="C445" s="179">
        <f>C364</f>
        <v>79605282</v>
      </c>
      <c r="D445" s="179"/>
    </row>
    <row r="446" spans="1:7" ht="12.65" customHeight="1" x14ac:dyDescent="0.35">
      <c r="A446" s="179" t="s">
        <v>351</v>
      </c>
      <c r="B446" s="179">
        <f>D236</f>
        <v>1782001</v>
      </c>
      <c r="C446" s="179">
        <f>C365</f>
        <v>1782001</v>
      </c>
      <c r="D446" s="179"/>
    </row>
    <row r="447" spans="1:7" ht="12.65" customHeight="1" x14ac:dyDescent="0.3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5" customHeight="1" x14ac:dyDescent="0.35">
      <c r="A448" s="179" t="s">
        <v>358</v>
      </c>
      <c r="B448" s="179">
        <f>D242</f>
        <v>84711214</v>
      </c>
      <c r="C448" s="179">
        <f>D367</f>
        <v>84711214</v>
      </c>
      <c r="D448" s="179"/>
    </row>
    <row r="449" spans="1:7" ht="12.65" customHeight="1" x14ac:dyDescent="0.35">
      <c r="A449" s="203"/>
      <c r="B449" s="203"/>
      <c r="C449" s="203"/>
      <c r="D449" s="203"/>
      <c r="F449" s="203"/>
      <c r="G449" s="203"/>
    </row>
    <row r="450" spans="1:7" ht="12.65" customHeight="1" x14ac:dyDescent="0.35">
      <c r="A450" s="180" t="s">
        <v>481</v>
      </c>
      <c r="B450" s="181" t="s">
        <v>482</v>
      </c>
      <c r="C450" s="203"/>
      <c r="D450" s="203"/>
      <c r="F450" s="203"/>
      <c r="G450" s="203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1557</v>
      </c>
    </row>
    <row r="454" spans="1:7" ht="12.65" customHeight="1" x14ac:dyDescent="0.35">
      <c r="A454" s="179" t="s">
        <v>168</v>
      </c>
      <c r="B454" s="179">
        <f>C233</f>
        <v>435916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1346085</v>
      </c>
      <c r="C455" s="179"/>
      <c r="D455" s="179"/>
    </row>
    <row r="456" spans="1:7" ht="12.65" customHeight="1" x14ac:dyDescent="0.35">
      <c r="A456" s="203"/>
      <c r="B456" s="203"/>
      <c r="C456" s="203"/>
      <c r="D456" s="203"/>
      <c r="F456" s="203"/>
      <c r="G456" s="203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5138939</v>
      </c>
      <c r="C458" s="194">
        <f>CE70</f>
        <v>0</v>
      </c>
      <c r="D458" s="194"/>
    </row>
    <row r="459" spans="1:7" ht="12.65" customHeight="1" x14ac:dyDescent="0.35">
      <c r="A459" s="179" t="s">
        <v>244</v>
      </c>
      <c r="B459" s="194">
        <f>C371</f>
        <v>856225</v>
      </c>
      <c r="C459" s="194">
        <f>CE72</f>
        <v>856225</v>
      </c>
      <c r="D459" s="194"/>
    </row>
    <row r="460" spans="1:7" ht="12.65" customHeight="1" x14ac:dyDescent="0.35">
      <c r="A460" s="203"/>
      <c r="B460" s="203"/>
      <c r="C460" s="203"/>
      <c r="D460" s="203"/>
      <c r="F460" s="203"/>
      <c r="G460" s="203"/>
    </row>
    <row r="461" spans="1:7" ht="12.65" customHeight="1" x14ac:dyDescent="0.35">
      <c r="A461" s="179" t="s">
        <v>488</v>
      </c>
      <c r="B461" s="181"/>
      <c r="C461" s="181"/>
      <c r="D461" s="181" t="s">
        <v>982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34408809</v>
      </c>
      <c r="C463" s="194">
        <f>CE73</f>
        <v>34410285</v>
      </c>
      <c r="D463" s="194">
        <f>E141+E147+E153</f>
        <v>34408809</v>
      </c>
    </row>
    <row r="464" spans="1:7" ht="12.65" customHeight="1" x14ac:dyDescent="0.35">
      <c r="A464" s="179" t="s">
        <v>246</v>
      </c>
      <c r="B464" s="194">
        <f>C360</f>
        <v>109715779</v>
      </c>
      <c r="C464" s="194">
        <f>CE74</f>
        <v>109714303</v>
      </c>
      <c r="D464" s="194">
        <f>E142+E148+E154</f>
        <v>109715779</v>
      </c>
    </row>
    <row r="465" spans="1:7" ht="12.65" customHeight="1" x14ac:dyDescent="0.35">
      <c r="A465" s="179" t="s">
        <v>247</v>
      </c>
      <c r="B465" s="298">
        <f>D361</f>
        <v>144124588</v>
      </c>
      <c r="C465" s="298">
        <f>CE75</f>
        <v>144124588</v>
      </c>
      <c r="D465" s="298">
        <f>D463+D464</f>
        <v>144124588</v>
      </c>
      <c r="E465" s="180">
        <f>C465-D465</f>
        <v>0</v>
      </c>
    </row>
    <row r="466" spans="1:7" ht="12.65" customHeight="1" x14ac:dyDescent="0.35">
      <c r="A466" s="203"/>
      <c r="B466" s="203"/>
      <c r="C466" s="203"/>
      <c r="D466" s="203"/>
      <c r="F466" s="203"/>
      <c r="G466" s="203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3128342</v>
      </c>
      <c r="C468" s="179">
        <f>E195</f>
        <v>3128342</v>
      </c>
      <c r="D468" s="179"/>
    </row>
    <row r="469" spans="1:7" ht="12.65" customHeight="1" x14ac:dyDescent="0.35">
      <c r="A469" s="179" t="s">
        <v>333</v>
      </c>
      <c r="B469" s="179">
        <f t="shared" si="14"/>
        <v>632699</v>
      </c>
      <c r="C469" s="179">
        <f>E196</f>
        <v>632699</v>
      </c>
      <c r="D469" s="179"/>
    </row>
    <row r="470" spans="1:7" ht="12.65" customHeight="1" x14ac:dyDescent="0.35">
      <c r="A470" s="179" t="s">
        <v>334</v>
      </c>
      <c r="B470" s="179">
        <f t="shared" si="14"/>
        <v>22556640</v>
      </c>
      <c r="C470" s="179">
        <f>E197</f>
        <v>22556640</v>
      </c>
      <c r="D470" s="179"/>
    </row>
    <row r="471" spans="1:7" ht="12.65" customHeight="1" x14ac:dyDescent="0.35">
      <c r="A471" s="179" t="s">
        <v>494</v>
      </c>
      <c r="B471" s="179">
        <f t="shared" si="14"/>
        <v>4370977</v>
      </c>
      <c r="C471" s="179">
        <f>E198</f>
        <v>4370977</v>
      </c>
      <c r="D471" s="179"/>
    </row>
    <row r="472" spans="1:7" ht="12.65" customHeight="1" x14ac:dyDescent="0.35">
      <c r="A472" s="179" t="s">
        <v>377</v>
      </c>
      <c r="B472" s="179">
        <f t="shared" si="14"/>
        <v>665178</v>
      </c>
      <c r="C472" s="179">
        <f>E199</f>
        <v>665178</v>
      </c>
      <c r="D472" s="179"/>
    </row>
    <row r="473" spans="1:7" ht="12.65" customHeight="1" x14ac:dyDescent="0.35">
      <c r="A473" s="179" t="s">
        <v>495</v>
      </c>
      <c r="B473" s="179">
        <f t="shared" si="14"/>
        <v>14619070</v>
      </c>
      <c r="C473" s="179">
        <f>SUM(E200:E201)</f>
        <v>14619070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1906093</v>
      </c>
      <c r="C475" s="179">
        <f>E203</f>
        <v>1906093</v>
      </c>
      <c r="D475" s="179"/>
    </row>
    <row r="476" spans="1:7" ht="12.65" customHeight="1" x14ac:dyDescent="0.35">
      <c r="A476" s="179" t="s">
        <v>203</v>
      </c>
      <c r="B476" s="179">
        <f>D275</f>
        <v>47878999</v>
      </c>
      <c r="C476" s="179">
        <f>E204</f>
        <v>47878999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29120585</v>
      </c>
      <c r="C478" s="179">
        <f>E217</f>
        <v>29120586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59184422</v>
      </c>
    </row>
    <row r="482" spans="1:12" ht="12.65" customHeight="1" x14ac:dyDescent="0.35">
      <c r="A482" s="180" t="s">
        <v>499</v>
      </c>
      <c r="C482" s="180">
        <f>D339</f>
        <v>59184422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046</v>
      </c>
      <c r="B493" s="257" t="str">
        <f>RIGHT('Prior Year'!C39,4)</f>
        <v>2019</v>
      </c>
      <c r="C493" s="257" t="str">
        <f>RIGHT(C82,4)</f>
        <v>2020</v>
      </c>
      <c r="D493" s="257" t="str">
        <f>RIGHT('Prior Year'!C39,4)</f>
        <v>2019</v>
      </c>
      <c r="E493" s="257" t="str">
        <f>RIGHT(C82,4)</f>
        <v>2020</v>
      </c>
      <c r="F493" s="363" t="str">
        <f>RIGHT('Prior Year'!C39,4)</f>
        <v>2019</v>
      </c>
      <c r="G493" s="257" t="str">
        <f>RIGHT(C82,4)</f>
        <v>2020</v>
      </c>
      <c r="H493" s="257"/>
      <c r="K493" s="257"/>
      <c r="L493" s="257"/>
    </row>
    <row r="494" spans="1:12" ht="12.65" customHeight="1" x14ac:dyDescent="0.35">
      <c r="A494" s="198"/>
      <c r="B494" s="181" t="s">
        <v>505</v>
      </c>
      <c r="C494" s="181" t="s">
        <v>505</v>
      </c>
      <c r="D494" s="258" t="s">
        <v>506</v>
      </c>
      <c r="E494" s="258" t="s">
        <v>506</v>
      </c>
      <c r="F494" s="257" t="s">
        <v>507</v>
      </c>
      <c r="G494" s="257" t="s">
        <v>507</v>
      </c>
      <c r="H494" s="257" t="s">
        <v>508</v>
      </c>
      <c r="K494" s="257"/>
      <c r="L494" s="257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57" t="s">
        <v>510</v>
      </c>
      <c r="G495" s="257" t="s">
        <v>510</v>
      </c>
      <c r="H495" s="257" t="s">
        <v>511</v>
      </c>
      <c r="K495" s="257"/>
      <c r="L495" s="257"/>
    </row>
    <row r="496" spans="1:12" ht="12.65" customHeight="1" x14ac:dyDescent="0.35">
      <c r="A496" s="180" t="s">
        <v>512</v>
      </c>
      <c r="B496" s="236">
        <f>'Prior Year'!C28</f>
        <v>0</v>
      </c>
      <c r="C496" s="236">
        <f>C71</f>
        <v>0</v>
      </c>
      <c r="D496" s="362">
        <f>'Prior Year'!C16</f>
        <v>0</v>
      </c>
      <c r="E496" s="180">
        <f>C59</f>
        <v>0</v>
      </c>
      <c r="F496" s="259" t="str">
        <f t="shared" ref="F496:G511" si="15">IF(B496=0,"",IF(D496=0,"",B496/D496))</f>
        <v/>
      </c>
      <c r="G496" s="260" t="str">
        <f t="shared" si="15"/>
        <v/>
      </c>
      <c r="H496" s="261" t="str">
        <f>IF(B496=0,"",IF(C496=0,"",IF(D496=0,"",IF(E496=0,"",IF(G496/F496-1&lt;-0.25,G496/F496-1,IF(G496/F496-1&gt;0.25,G496/F496-1,""))))))</f>
        <v/>
      </c>
      <c r="I496" s="263"/>
      <c r="K496" s="257"/>
      <c r="L496" s="257"/>
    </row>
    <row r="497" spans="1:12" ht="12.65" customHeight="1" x14ac:dyDescent="0.35">
      <c r="A497" s="180" t="s">
        <v>513</v>
      </c>
      <c r="B497" s="362">
        <f>'Prior Year'!D28</f>
        <v>0</v>
      </c>
      <c r="C497" s="236">
        <f>D71</f>
        <v>0</v>
      </c>
      <c r="D497" s="362">
        <f>'Prior Year'!D16</f>
        <v>0</v>
      </c>
      <c r="E497" s="180">
        <f>D59</f>
        <v>0</v>
      </c>
      <c r="F497" s="259" t="str">
        <f t="shared" si="15"/>
        <v/>
      </c>
      <c r="G497" s="259" t="str">
        <f t="shared" si="15"/>
        <v/>
      </c>
      <c r="H497" s="261" t="str">
        <f t="shared" ref="H497:H550" si="16">IF(B497=0,"",IF(C497=0,"",IF(D497=0,"",IF(E497=0,"",IF(G497/F497-1&lt;-0.25,G497/F497-1,IF(G497/F497-1&gt;0.25,G497/F497-1,""))))))</f>
        <v/>
      </c>
      <c r="I497" s="263"/>
      <c r="K497" s="257"/>
      <c r="L497" s="257"/>
    </row>
    <row r="498" spans="1:12" ht="12.65" customHeight="1" x14ac:dyDescent="0.35">
      <c r="A498" s="180" t="s">
        <v>514</v>
      </c>
      <c r="B498" s="362">
        <f>'Prior Year'!E28</f>
        <v>1832919</v>
      </c>
      <c r="C498" s="236">
        <f>E71</f>
        <v>2125637</v>
      </c>
      <c r="D498" s="362">
        <f>'Prior Year'!E16</f>
        <v>2194</v>
      </c>
      <c r="E498" s="180">
        <f>E59</f>
        <v>2249</v>
      </c>
      <c r="F498" s="259">
        <f t="shared" si="15"/>
        <v>835.42342752962622</v>
      </c>
      <c r="G498" s="259">
        <f t="shared" si="15"/>
        <v>945.14762116496217</v>
      </c>
      <c r="H498" s="261" t="str">
        <f t="shared" si="16"/>
        <v/>
      </c>
      <c r="I498" s="263"/>
      <c r="K498" s="257"/>
      <c r="L498" s="257"/>
    </row>
    <row r="499" spans="1:12" ht="12.65" customHeight="1" x14ac:dyDescent="0.35">
      <c r="A499" s="180" t="s">
        <v>515</v>
      </c>
      <c r="B499" s="362">
        <f>'Prior Year'!F28</f>
        <v>0</v>
      </c>
      <c r="C499" s="236">
        <f>F71</f>
        <v>0</v>
      </c>
      <c r="D499" s="362">
        <f>'Prior Year'!F16</f>
        <v>0</v>
      </c>
      <c r="E499" s="180">
        <f>F59</f>
        <v>0</v>
      </c>
      <c r="F499" s="259" t="str">
        <f t="shared" si="15"/>
        <v/>
      </c>
      <c r="G499" s="259" t="str">
        <f t="shared" si="15"/>
        <v/>
      </c>
      <c r="H499" s="261" t="str">
        <f t="shared" si="16"/>
        <v/>
      </c>
      <c r="I499" s="263"/>
      <c r="K499" s="257"/>
      <c r="L499" s="257"/>
    </row>
    <row r="500" spans="1:12" ht="12.65" customHeight="1" x14ac:dyDescent="0.35">
      <c r="A500" s="180" t="s">
        <v>516</v>
      </c>
      <c r="B500" s="362">
        <f>'Prior Year'!G28</f>
        <v>0</v>
      </c>
      <c r="C500" s="236">
        <f>G71</f>
        <v>0</v>
      </c>
      <c r="D500" s="362">
        <f>'Prior Year'!G16</f>
        <v>0</v>
      </c>
      <c r="E500" s="180">
        <f>G59</f>
        <v>0</v>
      </c>
      <c r="F500" s="259" t="str">
        <f t="shared" si="15"/>
        <v/>
      </c>
      <c r="G500" s="259" t="str">
        <f t="shared" si="15"/>
        <v/>
      </c>
      <c r="H500" s="261" t="str">
        <f t="shared" si="16"/>
        <v/>
      </c>
      <c r="I500" s="263"/>
      <c r="K500" s="257"/>
      <c r="L500" s="257"/>
    </row>
    <row r="501" spans="1:12" ht="12.65" customHeight="1" x14ac:dyDescent="0.35">
      <c r="A501" s="180" t="s">
        <v>517</v>
      </c>
      <c r="B501" s="362">
        <f>'Prior Year'!H28</f>
        <v>0</v>
      </c>
      <c r="C501" s="236">
        <f>H71</f>
        <v>0</v>
      </c>
      <c r="D501" s="362">
        <f>'Prior Year'!H16</f>
        <v>0</v>
      </c>
      <c r="E501" s="180">
        <f>H59</f>
        <v>0</v>
      </c>
      <c r="F501" s="259" t="str">
        <f t="shared" si="15"/>
        <v/>
      </c>
      <c r="G501" s="259" t="str">
        <f t="shared" si="15"/>
        <v/>
      </c>
      <c r="H501" s="261" t="str">
        <f t="shared" si="16"/>
        <v/>
      </c>
      <c r="I501" s="263"/>
      <c r="K501" s="257"/>
      <c r="L501" s="257"/>
    </row>
    <row r="502" spans="1:12" ht="12.65" customHeight="1" x14ac:dyDescent="0.35">
      <c r="A502" s="180" t="s">
        <v>518</v>
      </c>
      <c r="B502" s="362">
        <f>'Prior Year'!I28</f>
        <v>0</v>
      </c>
      <c r="C502" s="236">
        <f>I71</f>
        <v>0</v>
      </c>
      <c r="D502" s="362">
        <f>'Prior Year'!I16</f>
        <v>0</v>
      </c>
      <c r="E502" s="180">
        <f>I59</f>
        <v>0</v>
      </c>
      <c r="F502" s="259" t="str">
        <f t="shared" si="15"/>
        <v/>
      </c>
      <c r="G502" s="259" t="str">
        <f t="shared" si="15"/>
        <v/>
      </c>
      <c r="H502" s="261" t="str">
        <f t="shared" si="16"/>
        <v/>
      </c>
      <c r="I502" s="263"/>
      <c r="K502" s="257"/>
      <c r="L502" s="257"/>
    </row>
    <row r="503" spans="1:12" ht="12.65" customHeight="1" x14ac:dyDescent="0.35">
      <c r="A503" s="180" t="s">
        <v>519</v>
      </c>
      <c r="B503" s="362">
        <f>'Prior Year'!J28</f>
        <v>654648</v>
      </c>
      <c r="C503" s="236">
        <f>J71</f>
        <v>615922</v>
      </c>
      <c r="D503" s="362">
        <f>'Prior Year'!J16</f>
        <v>681</v>
      </c>
      <c r="E503" s="180">
        <f>J59</f>
        <v>696</v>
      </c>
      <c r="F503" s="259">
        <f t="shared" si="15"/>
        <v>961.3039647577092</v>
      </c>
      <c r="G503" s="259">
        <f t="shared" si="15"/>
        <v>884.94540229885058</v>
      </c>
      <c r="H503" s="261" t="str">
        <f t="shared" si="16"/>
        <v/>
      </c>
      <c r="I503" s="263"/>
      <c r="K503" s="257"/>
      <c r="L503" s="257"/>
    </row>
    <row r="504" spans="1:12" ht="12.65" customHeight="1" x14ac:dyDescent="0.35">
      <c r="A504" s="180" t="s">
        <v>520</v>
      </c>
      <c r="B504" s="362">
        <f>'Prior Year'!K28</f>
        <v>0</v>
      </c>
      <c r="C504" s="236">
        <f>K71</f>
        <v>0</v>
      </c>
      <c r="D504" s="362">
        <f>'Prior Year'!K16</f>
        <v>0</v>
      </c>
      <c r="E504" s="180">
        <f>K59</f>
        <v>0</v>
      </c>
      <c r="F504" s="259" t="str">
        <f t="shared" si="15"/>
        <v/>
      </c>
      <c r="G504" s="259" t="str">
        <f t="shared" si="15"/>
        <v/>
      </c>
      <c r="H504" s="261" t="str">
        <f t="shared" si="16"/>
        <v/>
      </c>
      <c r="I504" s="263"/>
      <c r="K504" s="257"/>
      <c r="L504" s="257"/>
    </row>
    <row r="505" spans="1:12" ht="12.65" customHeight="1" x14ac:dyDescent="0.35">
      <c r="A505" s="180" t="s">
        <v>521</v>
      </c>
      <c r="B505" s="362">
        <f>'Prior Year'!L28</f>
        <v>1563711</v>
      </c>
      <c r="C505" s="236">
        <f>L71</f>
        <v>1343344</v>
      </c>
      <c r="D505" s="362">
        <f>'Prior Year'!L16</f>
        <v>2004</v>
      </c>
      <c r="E505" s="180">
        <f>L59</f>
        <v>1518</v>
      </c>
      <c r="F505" s="259">
        <f t="shared" si="15"/>
        <v>780.29491017964074</v>
      </c>
      <c r="G505" s="259">
        <f t="shared" si="15"/>
        <v>884.94334650856388</v>
      </c>
      <c r="H505" s="261" t="str">
        <f t="shared" si="16"/>
        <v/>
      </c>
      <c r="I505" s="263"/>
      <c r="K505" s="257"/>
      <c r="L505" s="257"/>
    </row>
    <row r="506" spans="1:12" ht="12.65" customHeight="1" x14ac:dyDescent="0.35">
      <c r="A506" s="180" t="s">
        <v>522</v>
      </c>
      <c r="B506" s="362">
        <f>'Prior Year'!M28</f>
        <v>0</v>
      </c>
      <c r="C506" s="236">
        <f>M71</f>
        <v>0</v>
      </c>
      <c r="D506" s="362">
        <f>'Prior Year'!M16</f>
        <v>0</v>
      </c>
      <c r="E506" s="180">
        <f>M59</f>
        <v>0</v>
      </c>
      <c r="F506" s="259" t="str">
        <f t="shared" si="15"/>
        <v/>
      </c>
      <c r="G506" s="259" t="str">
        <f t="shared" si="15"/>
        <v/>
      </c>
      <c r="H506" s="261" t="str">
        <f t="shared" si="16"/>
        <v/>
      </c>
      <c r="I506" s="263"/>
      <c r="K506" s="257"/>
      <c r="L506" s="257"/>
    </row>
    <row r="507" spans="1:12" ht="12.65" customHeight="1" x14ac:dyDescent="0.35">
      <c r="A507" s="180" t="s">
        <v>523</v>
      </c>
      <c r="B507" s="362">
        <f>'Prior Year'!N28</f>
        <v>0</v>
      </c>
      <c r="C507" s="236">
        <f>N71</f>
        <v>0</v>
      </c>
      <c r="D507" s="362">
        <f>'Prior Year'!N16</f>
        <v>0</v>
      </c>
      <c r="E507" s="180">
        <f>N59</f>
        <v>0</v>
      </c>
      <c r="F507" s="259" t="str">
        <f t="shared" si="15"/>
        <v/>
      </c>
      <c r="G507" s="259" t="str">
        <f t="shared" si="15"/>
        <v/>
      </c>
      <c r="H507" s="261" t="str">
        <f t="shared" si="16"/>
        <v/>
      </c>
      <c r="I507" s="263"/>
      <c r="K507" s="257"/>
      <c r="L507" s="257"/>
    </row>
    <row r="508" spans="1:12" ht="12.65" customHeight="1" x14ac:dyDescent="0.35">
      <c r="A508" s="180" t="s">
        <v>524</v>
      </c>
      <c r="B508" s="362">
        <f>'Prior Year'!O28</f>
        <v>2231297</v>
      </c>
      <c r="C508" s="236">
        <f>O71</f>
        <v>2178438</v>
      </c>
      <c r="D508" s="362">
        <f>'Prior Year'!O16</f>
        <v>681</v>
      </c>
      <c r="E508" s="180">
        <f>O59</f>
        <v>696</v>
      </c>
      <c r="F508" s="259">
        <f t="shared" si="15"/>
        <v>3276.5007342143904</v>
      </c>
      <c r="G508" s="259">
        <f t="shared" si="15"/>
        <v>3129.9396551724139</v>
      </c>
      <c r="H508" s="261" t="str">
        <f t="shared" si="16"/>
        <v/>
      </c>
      <c r="I508" s="263"/>
      <c r="K508" s="257"/>
      <c r="L508" s="257"/>
    </row>
    <row r="509" spans="1:12" ht="12.65" customHeight="1" x14ac:dyDescent="0.35">
      <c r="A509" s="180" t="s">
        <v>525</v>
      </c>
      <c r="B509" s="362">
        <f>'Prior Year'!P28</f>
        <v>3961103</v>
      </c>
      <c r="C509" s="236">
        <f>P71</f>
        <v>4915125</v>
      </c>
      <c r="D509" s="362">
        <f>'Prior Year'!P16</f>
        <v>104378</v>
      </c>
      <c r="E509" s="180">
        <f>P59</f>
        <v>103979</v>
      </c>
      <c r="F509" s="259">
        <f t="shared" si="15"/>
        <v>37.94959665829964</v>
      </c>
      <c r="G509" s="259">
        <f t="shared" si="15"/>
        <v>47.270362284692098</v>
      </c>
      <c r="H509" s="261" t="str">
        <f t="shared" si="16"/>
        <v/>
      </c>
      <c r="I509" s="263"/>
      <c r="K509" s="257"/>
      <c r="L509" s="257"/>
    </row>
    <row r="510" spans="1:12" ht="12.65" customHeight="1" x14ac:dyDescent="0.35">
      <c r="A510" s="180" t="s">
        <v>526</v>
      </c>
      <c r="B510" s="362">
        <f>'Prior Year'!Q28</f>
        <v>0</v>
      </c>
      <c r="C510" s="236">
        <f>Q71</f>
        <v>0</v>
      </c>
      <c r="D510" s="362">
        <f>'Prior Year'!Q16</f>
        <v>0</v>
      </c>
      <c r="E510" s="180">
        <f>Q59</f>
        <v>0</v>
      </c>
      <c r="F510" s="259" t="str">
        <f t="shared" si="15"/>
        <v/>
      </c>
      <c r="G510" s="259" t="str">
        <f t="shared" si="15"/>
        <v/>
      </c>
      <c r="H510" s="261" t="str">
        <f t="shared" si="16"/>
        <v/>
      </c>
      <c r="I510" s="263"/>
      <c r="K510" s="257"/>
      <c r="L510" s="257"/>
    </row>
    <row r="511" spans="1:12" ht="12.65" customHeight="1" x14ac:dyDescent="0.35">
      <c r="A511" s="180" t="s">
        <v>527</v>
      </c>
      <c r="B511" s="362">
        <f>'Prior Year'!R28</f>
        <v>981514</v>
      </c>
      <c r="C511" s="236">
        <f>R71</f>
        <v>952766</v>
      </c>
      <c r="D511" s="362">
        <f>'Prior Year'!R16</f>
        <v>0</v>
      </c>
      <c r="E511" s="180">
        <f>R59</f>
        <v>0</v>
      </c>
      <c r="F511" s="259" t="str">
        <f t="shared" si="15"/>
        <v/>
      </c>
      <c r="G511" s="259" t="str">
        <f t="shared" si="15"/>
        <v/>
      </c>
      <c r="H511" s="261" t="str">
        <f t="shared" si="16"/>
        <v/>
      </c>
      <c r="I511" s="263"/>
      <c r="K511" s="257"/>
      <c r="L511" s="257"/>
    </row>
    <row r="512" spans="1:12" ht="12.65" customHeight="1" x14ac:dyDescent="0.35">
      <c r="A512" s="180" t="s">
        <v>528</v>
      </c>
      <c r="B512" s="362">
        <f>'Prior Year'!S28</f>
        <v>34153</v>
      </c>
      <c r="C512" s="236">
        <f>S71</f>
        <v>231861</v>
      </c>
      <c r="D512" s="362">
        <f>'Prior Year'!S16</f>
        <v>0</v>
      </c>
      <c r="E512" s="181" t="s">
        <v>529</v>
      </c>
      <c r="F512" s="259" t="str">
        <f t="shared" ref="F512:G527" si="17">IF(B512=0,"",IF(D512=0,"",B512/D512))</f>
        <v/>
      </c>
      <c r="G512" s="259" t="str">
        <f t="shared" si="17"/>
        <v/>
      </c>
      <c r="H512" s="261" t="str">
        <f t="shared" si="16"/>
        <v/>
      </c>
      <c r="I512" s="263"/>
      <c r="K512" s="257"/>
      <c r="L512" s="257"/>
    </row>
    <row r="513" spans="1:12" ht="12.65" customHeight="1" x14ac:dyDescent="0.35">
      <c r="A513" s="180" t="s">
        <v>983</v>
      </c>
      <c r="B513" s="362">
        <f>'Prior Year'!T28</f>
        <v>0</v>
      </c>
      <c r="C513" s="236">
        <f>T71</f>
        <v>0</v>
      </c>
      <c r="D513" s="362">
        <f>'Prior Year'!T16</f>
        <v>0</v>
      </c>
      <c r="E513" s="181" t="s">
        <v>529</v>
      </c>
      <c r="F513" s="259" t="str">
        <f t="shared" si="17"/>
        <v/>
      </c>
      <c r="G513" s="259" t="str">
        <f t="shared" si="17"/>
        <v/>
      </c>
      <c r="H513" s="261" t="str">
        <f t="shared" si="16"/>
        <v/>
      </c>
      <c r="I513" s="263"/>
      <c r="K513" s="257"/>
      <c r="L513" s="257"/>
    </row>
    <row r="514" spans="1:12" ht="12.65" customHeight="1" x14ac:dyDescent="0.35">
      <c r="A514" s="180" t="s">
        <v>530</v>
      </c>
      <c r="B514" s="362">
        <f>'Prior Year'!U28</f>
        <v>3021761</v>
      </c>
      <c r="C514" s="236">
        <f>U71</f>
        <v>3451194</v>
      </c>
      <c r="D514" s="362">
        <f>'Prior Year'!U16</f>
        <v>132610</v>
      </c>
      <c r="E514" s="180">
        <f>U59</f>
        <v>141216</v>
      </c>
      <c r="F514" s="259">
        <f t="shared" si="17"/>
        <v>22.786826031219366</v>
      </c>
      <c r="G514" s="259">
        <f t="shared" si="17"/>
        <v>24.439114547926582</v>
      </c>
      <c r="H514" s="261" t="str">
        <f t="shared" si="16"/>
        <v/>
      </c>
      <c r="I514" s="263"/>
      <c r="K514" s="257"/>
      <c r="L514" s="257"/>
    </row>
    <row r="515" spans="1:12" ht="12.65" customHeight="1" x14ac:dyDescent="0.35">
      <c r="A515" s="180" t="s">
        <v>531</v>
      </c>
      <c r="B515" s="362">
        <f>'Prior Year'!V28</f>
        <v>0</v>
      </c>
      <c r="C515" s="236">
        <f>V71</f>
        <v>0</v>
      </c>
      <c r="D515" s="362">
        <f>'Prior Year'!V16</f>
        <v>0</v>
      </c>
      <c r="E515" s="180">
        <f>V59</f>
        <v>0</v>
      </c>
      <c r="F515" s="259" t="str">
        <f t="shared" si="17"/>
        <v/>
      </c>
      <c r="G515" s="259" t="str">
        <f t="shared" si="17"/>
        <v/>
      </c>
      <c r="H515" s="261" t="str">
        <f t="shared" si="16"/>
        <v/>
      </c>
      <c r="I515" s="263"/>
      <c r="K515" s="257"/>
      <c r="L515" s="257"/>
    </row>
    <row r="516" spans="1:12" ht="12.65" customHeight="1" x14ac:dyDescent="0.35">
      <c r="A516" s="180" t="s">
        <v>532</v>
      </c>
      <c r="B516" s="362">
        <f>'Prior Year'!W28</f>
        <v>0</v>
      </c>
      <c r="C516" s="236">
        <f>W71</f>
        <v>159212</v>
      </c>
      <c r="D516" s="362">
        <f>'Prior Year'!W16</f>
        <v>0</v>
      </c>
      <c r="E516" s="180">
        <f>W59</f>
        <v>1074</v>
      </c>
      <c r="F516" s="259" t="str">
        <f t="shared" si="17"/>
        <v/>
      </c>
      <c r="G516" s="259">
        <f t="shared" si="17"/>
        <v>148.24208566108007</v>
      </c>
      <c r="H516" s="261" t="str">
        <f t="shared" si="16"/>
        <v/>
      </c>
      <c r="I516" s="263"/>
      <c r="K516" s="257"/>
      <c r="L516" s="257"/>
    </row>
    <row r="517" spans="1:12" ht="12.65" customHeight="1" x14ac:dyDescent="0.35">
      <c r="A517" s="180" t="s">
        <v>533</v>
      </c>
      <c r="B517" s="362">
        <f>'Prior Year'!X28</f>
        <v>2530867</v>
      </c>
      <c r="C517" s="236">
        <f>X71</f>
        <v>2190970</v>
      </c>
      <c r="D517" s="362">
        <f>'Prior Year'!X16</f>
        <v>0</v>
      </c>
      <c r="E517" s="180">
        <f>X59</f>
        <v>4001</v>
      </c>
      <c r="F517" s="259" t="str">
        <f t="shared" si="17"/>
        <v/>
      </c>
      <c r="G517" s="259">
        <f t="shared" si="17"/>
        <v>547.60559860034994</v>
      </c>
      <c r="H517" s="261" t="str">
        <f t="shared" si="16"/>
        <v/>
      </c>
      <c r="I517" s="263"/>
      <c r="K517" s="257"/>
      <c r="L517" s="257"/>
    </row>
    <row r="518" spans="1:12" ht="12.65" customHeight="1" x14ac:dyDescent="0.35">
      <c r="A518" s="180" t="s">
        <v>534</v>
      </c>
      <c r="B518" s="362">
        <f>'Prior Year'!Y28</f>
        <v>1571334</v>
      </c>
      <c r="C518" s="236">
        <f>Y71</f>
        <v>1392680</v>
      </c>
      <c r="D518" s="362">
        <f>'Prior Year'!Y16</f>
        <v>0</v>
      </c>
      <c r="E518" s="180">
        <f>Y59</f>
        <v>20472</v>
      </c>
      <c r="F518" s="259" t="str">
        <f t="shared" si="17"/>
        <v/>
      </c>
      <c r="G518" s="259">
        <f t="shared" si="17"/>
        <v>68.028526768268861</v>
      </c>
      <c r="H518" s="261" t="str">
        <f t="shared" si="16"/>
        <v/>
      </c>
      <c r="I518" s="263"/>
      <c r="K518" s="257"/>
      <c r="L518" s="257"/>
    </row>
    <row r="519" spans="1:12" ht="12.65" customHeight="1" x14ac:dyDescent="0.35">
      <c r="A519" s="180" t="s">
        <v>535</v>
      </c>
      <c r="B519" s="362">
        <f>'Prior Year'!Z28</f>
        <v>0</v>
      </c>
      <c r="C519" s="236">
        <f>Z71</f>
        <v>0</v>
      </c>
      <c r="D519" s="362">
        <f>'Prior Year'!Z16</f>
        <v>0</v>
      </c>
      <c r="E519" s="180">
        <f>Z59</f>
        <v>0</v>
      </c>
      <c r="F519" s="259" t="str">
        <f t="shared" si="17"/>
        <v/>
      </c>
      <c r="G519" s="259" t="str">
        <f t="shared" si="17"/>
        <v/>
      </c>
      <c r="H519" s="261" t="str">
        <f t="shared" si="16"/>
        <v/>
      </c>
      <c r="I519" s="263"/>
      <c r="K519" s="257"/>
      <c r="L519" s="257"/>
    </row>
    <row r="520" spans="1:12" ht="12.65" customHeight="1" x14ac:dyDescent="0.35">
      <c r="A520" s="180" t="s">
        <v>536</v>
      </c>
      <c r="B520" s="362">
        <f>'Prior Year'!AA28</f>
        <v>0</v>
      </c>
      <c r="C520" s="236">
        <f>AA71</f>
        <v>0</v>
      </c>
      <c r="D520" s="362">
        <f>'Prior Year'!AA16</f>
        <v>0</v>
      </c>
      <c r="E520" s="180">
        <f>AA59</f>
        <v>0</v>
      </c>
      <c r="F520" s="259" t="str">
        <f t="shared" si="17"/>
        <v/>
      </c>
      <c r="G520" s="259" t="str">
        <f t="shared" si="17"/>
        <v/>
      </c>
      <c r="H520" s="261" t="str">
        <f t="shared" si="16"/>
        <v/>
      </c>
      <c r="I520" s="263"/>
      <c r="K520" s="257"/>
      <c r="L520" s="257"/>
    </row>
    <row r="521" spans="1:12" ht="12.65" customHeight="1" x14ac:dyDescent="0.35">
      <c r="A521" s="180" t="s">
        <v>537</v>
      </c>
      <c r="B521" s="362">
        <f>'Prior Year'!AB28</f>
        <v>1447298</v>
      </c>
      <c r="C521" s="236">
        <f>AB71</f>
        <v>1592731</v>
      </c>
      <c r="D521" s="362">
        <f>'Prior Year'!AB16</f>
        <v>0</v>
      </c>
      <c r="E521" s="181" t="s">
        <v>529</v>
      </c>
      <c r="F521" s="259" t="str">
        <f t="shared" si="17"/>
        <v/>
      </c>
      <c r="G521" s="259" t="str">
        <f t="shared" si="17"/>
        <v/>
      </c>
      <c r="H521" s="261" t="str">
        <f t="shared" si="16"/>
        <v/>
      </c>
      <c r="I521" s="263"/>
      <c r="K521" s="257"/>
      <c r="L521" s="257"/>
    </row>
    <row r="522" spans="1:12" ht="12.65" customHeight="1" x14ac:dyDescent="0.35">
      <c r="A522" s="180" t="s">
        <v>538</v>
      </c>
      <c r="B522" s="362">
        <f>'Prior Year'!AC28</f>
        <v>848140</v>
      </c>
      <c r="C522" s="236">
        <f>AC71</f>
        <v>856465</v>
      </c>
      <c r="D522" s="362">
        <f>'Prior Year'!AC16</f>
        <v>0</v>
      </c>
      <c r="E522" s="180">
        <f>AC59</f>
        <v>0</v>
      </c>
      <c r="F522" s="259" t="str">
        <f t="shared" si="17"/>
        <v/>
      </c>
      <c r="G522" s="259" t="str">
        <f t="shared" si="17"/>
        <v/>
      </c>
      <c r="H522" s="261" t="str">
        <f t="shared" si="16"/>
        <v/>
      </c>
      <c r="I522" s="263"/>
      <c r="K522" s="257"/>
      <c r="L522" s="257"/>
    </row>
    <row r="523" spans="1:12" ht="12.65" customHeight="1" x14ac:dyDescent="0.35">
      <c r="A523" s="180" t="s">
        <v>539</v>
      </c>
      <c r="B523" s="362">
        <f>'Prior Year'!AD28</f>
        <v>0</v>
      </c>
      <c r="C523" s="236">
        <f>AD71</f>
        <v>0</v>
      </c>
      <c r="D523" s="362">
        <f>'Prior Year'!AD16</f>
        <v>0</v>
      </c>
      <c r="E523" s="180">
        <f>AD59</f>
        <v>0</v>
      </c>
      <c r="F523" s="259" t="str">
        <f t="shared" si="17"/>
        <v/>
      </c>
      <c r="G523" s="259" t="str">
        <f t="shared" si="17"/>
        <v/>
      </c>
      <c r="H523" s="261" t="str">
        <f t="shared" si="16"/>
        <v/>
      </c>
      <c r="I523" s="263"/>
      <c r="K523" s="257"/>
      <c r="L523" s="257"/>
    </row>
    <row r="524" spans="1:12" ht="12.65" customHeight="1" x14ac:dyDescent="0.35">
      <c r="A524" s="180" t="s">
        <v>540</v>
      </c>
      <c r="B524" s="362">
        <f>'Prior Year'!AE28</f>
        <v>1849142</v>
      </c>
      <c r="C524" s="236">
        <f>AE71</f>
        <v>1732030</v>
      </c>
      <c r="D524" s="362">
        <f>'Prior Year'!AE16</f>
        <v>13743</v>
      </c>
      <c r="E524" s="180">
        <f>AE59</f>
        <v>11636</v>
      </c>
      <c r="F524" s="259">
        <f t="shared" si="17"/>
        <v>134.55155351815469</v>
      </c>
      <c r="G524" s="259">
        <f t="shared" si="17"/>
        <v>148.85097971811618</v>
      </c>
      <c r="H524" s="261" t="str">
        <f t="shared" si="16"/>
        <v/>
      </c>
      <c r="I524" s="263"/>
      <c r="K524" s="257"/>
      <c r="L524" s="257"/>
    </row>
    <row r="525" spans="1:12" ht="12.65" customHeight="1" x14ac:dyDescent="0.35">
      <c r="A525" s="180" t="s">
        <v>541</v>
      </c>
      <c r="B525" s="362">
        <f>'Prior Year'!AF28</f>
        <v>0</v>
      </c>
      <c r="C525" s="236">
        <f>AF71</f>
        <v>0</v>
      </c>
      <c r="D525" s="362">
        <f>'Prior Year'!AF16</f>
        <v>0</v>
      </c>
      <c r="E525" s="180">
        <f>AF59</f>
        <v>0</v>
      </c>
      <c r="F525" s="259" t="str">
        <f t="shared" si="17"/>
        <v/>
      </c>
      <c r="G525" s="259" t="str">
        <f t="shared" si="17"/>
        <v/>
      </c>
      <c r="H525" s="261" t="str">
        <f t="shared" si="16"/>
        <v/>
      </c>
      <c r="I525" s="263"/>
      <c r="K525" s="257"/>
      <c r="L525" s="257"/>
    </row>
    <row r="526" spans="1:12" ht="12.65" customHeight="1" x14ac:dyDescent="0.35">
      <c r="A526" s="180" t="s">
        <v>542</v>
      </c>
      <c r="B526" s="362">
        <f>'Prior Year'!AG28</f>
        <v>4572986</v>
      </c>
      <c r="C526" s="236">
        <f>AG71</f>
        <v>4420822</v>
      </c>
      <c r="D526" s="362">
        <f>'Prior Year'!AG16</f>
        <v>12190</v>
      </c>
      <c r="E526" s="180">
        <f>AG59</f>
        <v>9662</v>
      </c>
      <c r="F526" s="259">
        <f t="shared" si="17"/>
        <v>375.14241181296143</v>
      </c>
      <c r="G526" s="259">
        <f t="shared" si="17"/>
        <v>457.54729869592217</v>
      </c>
      <c r="H526" s="261" t="str">
        <f t="shared" si="16"/>
        <v/>
      </c>
      <c r="I526" s="263"/>
      <c r="K526" s="257"/>
      <c r="L526" s="257"/>
    </row>
    <row r="527" spans="1:12" ht="12.65" customHeight="1" x14ac:dyDescent="0.35">
      <c r="A527" s="180" t="s">
        <v>543</v>
      </c>
      <c r="B527" s="362">
        <f>'Prior Year'!AH28</f>
        <v>1482987</v>
      </c>
      <c r="C527" s="236">
        <f>AH71</f>
        <v>1371324</v>
      </c>
      <c r="D527" s="362">
        <f>'Prior Year'!AH16</f>
        <v>2281</v>
      </c>
      <c r="E527" s="180">
        <f>AH59</f>
        <v>1767</v>
      </c>
      <c r="F527" s="259">
        <f t="shared" si="17"/>
        <v>650.14774221832533</v>
      </c>
      <c r="G527" s="259">
        <f t="shared" si="17"/>
        <v>776.07470288624791</v>
      </c>
      <c r="H527" s="261" t="str">
        <f t="shared" si="16"/>
        <v/>
      </c>
      <c r="I527" s="263"/>
      <c r="K527" s="257"/>
      <c r="L527" s="257"/>
    </row>
    <row r="528" spans="1:12" ht="12.65" customHeight="1" x14ac:dyDescent="0.35">
      <c r="A528" s="180" t="s">
        <v>544</v>
      </c>
      <c r="B528" s="362">
        <f>'Prior Year'!AI28</f>
        <v>269616</v>
      </c>
      <c r="C528" s="236">
        <f>AI71</f>
        <v>356748</v>
      </c>
      <c r="D528" s="362">
        <f>'Prior Year'!AI16</f>
        <v>2688</v>
      </c>
      <c r="E528" s="180">
        <f>AI59</f>
        <v>2966</v>
      </c>
      <c r="F528" s="259">
        <f t="shared" ref="F528:G540" si="18">IF(B528=0,"",IF(D528=0,"",B528/D528))</f>
        <v>100.30357142857143</v>
      </c>
      <c r="G528" s="259">
        <f t="shared" si="18"/>
        <v>120.27916385704653</v>
      </c>
      <c r="H528" s="261" t="str">
        <f t="shared" si="16"/>
        <v/>
      </c>
      <c r="I528" s="263"/>
      <c r="K528" s="257"/>
      <c r="L528" s="257"/>
    </row>
    <row r="529" spans="1:12" ht="12.65" customHeight="1" x14ac:dyDescent="0.35">
      <c r="A529" s="180" t="s">
        <v>545</v>
      </c>
      <c r="B529" s="362">
        <f>'Prior Year'!AJ28</f>
        <v>11608020</v>
      </c>
      <c r="C529" s="236">
        <f>AJ71</f>
        <v>14833802</v>
      </c>
      <c r="D529" s="362">
        <f>'Prior Year'!AJ16</f>
        <v>45941</v>
      </c>
      <c r="E529" s="180">
        <f>AJ59</f>
        <v>50856</v>
      </c>
      <c r="F529" s="259">
        <f t="shared" si="18"/>
        <v>252.67234061078341</v>
      </c>
      <c r="G529" s="259">
        <f t="shared" si="18"/>
        <v>291.68243668397042</v>
      </c>
      <c r="H529" s="261" t="str">
        <f t="shared" si="16"/>
        <v/>
      </c>
      <c r="I529" s="263"/>
      <c r="K529" s="257"/>
      <c r="L529" s="257"/>
    </row>
    <row r="530" spans="1:12" ht="14.15" x14ac:dyDescent="0.35">
      <c r="A530" s="180" t="s">
        <v>546</v>
      </c>
      <c r="B530" s="362">
        <f>'Prior Year'!AK28</f>
        <v>376824</v>
      </c>
      <c r="C530" s="236">
        <f>AK71</f>
        <v>291353</v>
      </c>
      <c r="D530" s="362">
        <f>'Prior Year'!AK16</f>
        <v>2488</v>
      </c>
      <c r="E530" s="180">
        <f>AK59</f>
        <v>1513</v>
      </c>
      <c r="F530" s="259">
        <f t="shared" si="18"/>
        <v>151.45659163987139</v>
      </c>
      <c r="G530" s="259">
        <f t="shared" si="18"/>
        <v>192.56642432253801</v>
      </c>
      <c r="H530" s="261">
        <f t="shared" si="16"/>
        <v>0.2714298020149315</v>
      </c>
      <c r="I530" s="263"/>
      <c r="K530" s="257"/>
      <c r="L530" s="257"/>
    </row>
    <row r="531" spans="1:12" ht="12.65" customHeight="1" x14ac:dyDescent="0.35">
      <c r="A531" s="180" t="s">
        <v>547</v>
      </c>
      <c r="B531" s="362">
        <f>'Prior Year'!AL28</f>
        <v>307982</v>
      </c>
      <c r="C531" s="236">
        <f>AL71</f>
        <v>243505</v>
      </c>
      <c r="D531" s="362">
        <f>'Prior Year'!AL16</f>
        <v>3058</v>
      </c>
      <c r="E531" s="180">
        <f>AL59</f>
        <v>2617</v>
      </c>
      <c r="F531" s="259">
        <f t="shared" si="18"/>
        <v>100.71353826030085</v>
      </c>
      <c r="G531" s="259">
        <f t="shared" si="18"/>
        <v>93.047382499044701</v>
      </c>
      <c r="H531" s="261" t="str">
        <f t="shared" si="16"/>
        <v/>
      </c>
      <c r="I531" s="263"/>
      <c r="K531" s="257"/>
      <c r="L531" s="257"/>
    </row>
    <row r="532" spans="1:12" ht="12.65" customHeight="1" x14ac:dyDescent="0.35">
      <c r="A532" s="180" t="s">
        <v>548</v>
      </c>
      <c r="B532" s="362">
        <f>'Prior Year'!AM28</f>
        <v>0</v>
      </c>
      <c r="C532" s="236">
        <f>AM71</f>
        <v>0</v>
      </c>
      <c r="D532" s="362">
        <f>'Prior Year'!AM16</f>
        <v>0</v>
      </c>
      <c r="E532" s="180">
        <f>AM59</f>
        <v>0</v>
      </c>
      <c r="F532" s="259" t="str">
        <f t="shared" si="18"/>
        <v/>
      </c>
      <c r="G532" s="259" t="str">
        <f t="shared" si="18"/>
        <v/>
      </c>
      <c r="H532" s="261" t="str">
        <f t="shared" si="16"/>
        <v/>
      </c>
      <c r="I532" s="263"/>
      <c r="K532" s="257"/>
      <c r="L532" s="257"/>
    </row>
    <row r="533" spans="1:12" ht="12.65" customHeight="1" x14ac:dyDescent="0.35">
      <c r="A533" s="180" t="s">
        <v>984</v>
      </c>
      <c r="B533" s="362">
        <f>'Prior Year'!AN28</f>
        <v>0</v>
      </c>
      <c r="C533" s="236">
        <f>AN71</f>
        <v>0</v>
      </c>
      <c r="D533" s="362">
        <f>'Prior Year'!AN16</f>
        <v>0</v>
      </c>
      <c r="E533" s="180">
        <f>AN59</f>
        <v>0</v>
      </c>
      <c r="F533" s="259" t="str">
        <f t="shared" si="18"/>
        <v/>
      </c>
      <c r="G533" s="259" t="str">
        <f t="shared" si="18"/>
        <v/>
      </c>
      <c r="H533" s="261" t="str">
        <f t="shared" si="16"/>
        <v/>
      </c>
      <c r="I533" s="263"/>
      <c r="K533" s="257"/>
      <c r="L533" s="257"/>
    </row>
    <row r="534" spans="1:12" ht="12.65" customHeight="1" x14ac:dyDescent="0.35">
      <c r="A534" s="180" t="s">
        <v>549</v>
      </c>
      <c r="B534" s="362">
        <f>'Prior Year'!AO28</f>
        <v>326952</v>
      </c>
      <c r="C534" s="236">
        <f>AO71</f>
        <v>529194</v>
      </c>
      <c r="D534" s="362">
        <f>'Prior Year'!AO16</f>
        <v>13848</v>
      </c>
      <c r="E534" s="180">
        <f>AO59</f>
        <v>14352</v>
      </c>
      <c r="F534" s="259">
        <f t="shared" si="18"/>
        <v>23.610051993067589</v>
      </c>
      <c r="G534" s="259">
        <f t="shared" si="18"/>
        <v>36.872491638795985</v>
      </c>
      <c r="H534" s="261">
        <f t="shared" si="16"/>
        <v>0.56172852349594682</v>
      </c>
      <c r="I534" s="263"/>
      <c r="K534" s="257"/>
      <c r="L534" s="257"/>
    </row>
    <row r="535" spans="1:12" ht="12.65" customHeight="1" x14ac:dyDescent="0.35">
      <c r="A535" s="180" t="s">
        <v>550</v>
      </c>
      <c r="B535" s="362">
        <f>'Prior Year'!AP28</f>
        <v>2038280</v>
      </c>
      <c r="C535" s="236">
        <f>AP71</f>
        <v>540776</v>
      </c>
      <c r="D535" s="362">
        <f>'Prior Year'!AP16</f>
        <v>13394</v>
      </c>
      <c r="E535" s="180">
        <f>AP59</f>
        <v>675</v>
      </c>
      <c r="F535" s="259">
        <f t="shared" si="18"/>
        <v>152.17858742720622</v>
      </c>
      <c r="G535" s="259">
        <f t="shared" si="18"/>
        <v>801.14962962962966</v>
      </c>
      <c r="H535" s="261">
        <f t="shared" si="16"/>
        <v>4.2645358533956372</v>
      </c>
      <c r="I535" s="263"/>
      <c r="K535" s="257"/>
      <c r="L535" s="257"/>
    </row>
    <row r="536" spans="1:12" ht="12.65" customHeight="1" x14ac:dyDescent="0.35">
      <c r="A536" s="180" t="s">
        <v>551</v>
      </c>
      <c r="B536" s="362">
        <f>'Prior Year'!AQ28</f>
        <v>0</v>
      </c>
      <c r="C536" s="236">
        <f>AQ71</f>
        <v>0</v>
      </c>
      <c r="D536" s="362">
        <f>'Prior Year'!AQ16</f>
        <v>0</v>
      </c>
      <c r="E536" s="180">
        <f>AQ59</f>
        <v>0</v>
      </c>
      <c r="F536" s="259" t="str">
        <f t="shared" si="18"/>
        <v/>
      </c>
      <c r="G536" s="259" t="str">
        <f t="shared" si="18"/>
        <v/>
      </c>
      <c r="H536" s="261" t="str">
        <f t="shared" si="16"/>
        <v/>
      </c>
      <c r="I536" s="263"/>
      <c r="K536" s="257"/>
      <c r="L536" s="257"/>
    </row>
    <row r="537" spans="1:12" ht="12.65" customHeight="1" x14ac:dyDescent="0.35">
      <c r="A537" s="180" t="s">
        <v>552</v>
      </c>
      <c r="B537" s="362">
        <f>'Prior Year'!AR28</f>
        <v>0</v>
      </c>
      <c r="C537" s="236">
        <f>AR71</f>
        <v>0</v>
      </c>
      <c r="D537" s="362">
        <f>'Prior Year'!AR16</f>
        <v>0</v>
      </c>
      <c r="E537" s="180">
        <f>AR59</f>
        <v>0</v>
      </c>
      <c r="F537" s="259" t="str">
        <f t="shared" si="18"/>
        <v/>
      </c>
      <c r="G537" s="259" t="str">
        <f t="shared" si="18"/>
        <v/>
      </c>
      <c r="H537" s="261" t="str">
        <f t="shared" si="16"/>
        <v/>
      </c>
      <c r="I537" s="263"/>
      <c r="K537" s="257"/>
      <c r="L537" s="257"/>
    </row>
    <row r="538" spans="1:12" ht="12.65" customHeight="1" x14ac:dyDescent="0.35">
      <c r="A538" s="180" t="s">
        <v>553</v>
      </c>
      <c r="B538" s="362">
        <f>'Prior Year'!AS28</f>
        <v>0</v>
      </c>
      <c r="C538" s="236">
        <f>AS71</f>
        <v>0</v>
      </c>
      <c r="D538" s="362">
        <f>'Prior Year'!AS16</f>
        <v>0</v>
      </c>
      <c r="E538" s="180">
        <f>AS59</f>
        <v>0</v>
      </c>
      <c r="F538" s="259" t="str">
        <f t="shared" si="18"/>
        <v/>
      </c>
      <c r="G538" s="259" t="str">
        <f t="shared" si="18"/>
        <v/>
      </c>
      <c r="H538" s="261" t="str">
        <f t="shared" si="16"/>
        <v/>
      </c>
      <c r="I538" s="263"/>
      <c r="K538" s="257"/>
      <c r="L538" s="257"/>
    </row>
    <row r="539" spans="1:12" ht="12.65" customHeight="1" x14ac:dyDescent="0.35">
      <c r="A539" s="180" t="s">
        <v>554</v>
      </c>
      <c r="B539" s="362">
        <f>'Prior Year'!AT28</f>
        <v>0</v>
      </c>
      <c r="C539" s="236">
        <f>AT71</f>
        <v>0</v>
      </c>
      <c r="D539" s="362">
        <f>'Prior Year'!AT16</f>
        <v>0</v>
      </c>
      <c r="E539" s="180">
        <f>AT59</f>
        <v>0</v>
      </c>
      <c r="F539" s="259" t="str">
        <f t="shared" si="18"/>
        <v/>
      </c>
      <c r="G539" s="259" t="str">
        <f t="shared" si="18"/>
        <v/>
      </c>
      <c r="H539" s="261" t="str">
        <f t="shared" si="16"/>
        <v/>
      </c>
      <c r="I539" s="263"/>
      <c r="K539" s="257"/>
      <c r="L539" s="257"/>
    </row>
    <row r="540" spans="1:12" ht="12.65" customHeight="1" x14ac:dyDescent="0.35">
      <c r="A540" s="180" t="s">
        <v>555</v>
      </c>
      <c r="B540" s="362">
        <f>'Prior Year'!AU28</f>
        <v>0</v>
      </c>
      <c r="C540" s="236">
        <f>AU71</f>
        <v>0</v>
      </c>
      <c r="D540" s="362">
        <f>'Prior Year'!AU16</f>
        <v>0</v>
      </c>
      <c r="E540" s="180">
        <f>AU59</f>
        <v>0</v>
      </c>
      <c r="F540" s="259" t="str">
        <f t="shared" si="18"/>
        <v/>
      </c>
      <c r="G540" s="259" t="str">
        <f t="shared" si="18"/>
        <v/>
      </c>
      <c r="H540" s="261" t="str">
        <f t="shared" si="16"/>
        <v/>
      </c>
      <c r="I540" s="263"/>
      <c r="K540" s="257"/>
      <c r="L540" s="257"/>
    </row>
    <row r="541" spans="1:12" ht="12.65" customHeight="1" x14ac:dyDescent="0.35">
      <c r="A541" s="180" t="s">
        <v>556</v>
      </c>
      <c r="B541" s="362">
        <f>'Prior Year'!AV28</f>
        <v>0</v>
      </c>
      <c r="C541" s="236">
        <f>AV71</f>
        <v>0</v>
      </c>
      <c r="D541" s="362">
        <f>'Prior Year'!AV16</f>
        <v>0</v>
      </c>
      <c r="E541" s="181" t="s">
        <v>529</v>
      </c>
      <c r="F541" s="259"/>
      <c r="G541" s="259"/>
      <c r="H541" s="261"/>
      <c r="I541" s="263"/>
      <c r="K541" s="257"/>
      <c r="L541" s="257"/>
    </row>
    <row r="542" spans="1:12" ht="12.65" customHeight="1" x14ac:dyDescent="0.35">
      <c r="A542" s="180" t="s">
        <v>985</v>
      </c>
      <c r="B542" s="362">
        <f>'Prior Year'!AW28</f>
        <v>0</v>
      </c>
      <c r="C542" s="236">
        <f>AW71</f>
        <v>0</v>
      </c>
      <c r="D542" s="362">
        <f>'Prior Year'!AW16</f>
        <v>0</v>
      </c>
      <c r="E542" s="181" t="s">
        <v>529</v>
      </c>
      <c r="F542" s="259"/>
      <c r="G542" s="259"/>
      <c r="H542" s="261"/>
      <c r="I542" s="263"/>
      <c r="K542" s="257"/>
      <c r="L542" s="257"/>
    </row>
    <row r="543" spans="1:12" ht="12.65" customHeight="1" x14ac:dyDescent="0.35">
      <c r="A543" s="180" t="s">
        <v>557</v>
      </c>
      <c r="B543" s="362">
        <f>'Prior Year'!AX28</f>
        <v>0</v>
      </c>
      <c r="C543" s="236">
        <f>AX71</f>
        <v>0</v>
      </c>
      <c r="D543" s="362">
        <f>'Prior Year'!AX16</f>
        <v>0</v>
      </c>
      <c r="E543" s="181" t="s">
        <v>529</v>
      </c>
      <c r="F543" s="259"/>
      <c r="G543" s="259"/>
      <c r="H543" s="261"/>
      <c r="I543" s="263"/>
      <c r="K543" s="257"/>
      <c r="L543" s="257"/>
    </row>
    <row r="544" spans="1:12" ht="12.65" customHeight="1" x14ac:dyDescent="0.35">
      <c r="A544" s="180" t="s">
        <v>558</v>
      </c>
      <c r="B544" s="362">
        <f>'Prior Year'!AY28</f>
        <v>887480</v>
      </c>
      <c r="C544" s="236">
        <f>AY71</f>
        <v>850142</v>
      </c>
      <c r="D544" s="362">
        <f>'Prior Year'!AY16</f>
        <v>16892</v>
      </c>
      <c r="E544" s="180">
        <f>AY59</f>
        <v>18950</v>
      </c>
      <c r="F544" s="259">
        <f t="shared" ref="F544:G550" si="19">IF(B544=0,"",IF(D544=0,"",B544/D544))</f>
        <v>52.538479753729575</v>
      </c>
      <c r="G544" s="259">
        <f t="shared" si="19"/>
        <v>44.8623746701847</v>
      </c>
      <c r="H544" s="261" t="str">
        <f t="shared" si="16"/>
        <v/>
      </c>
      <c r="I544" s="263"/>
      <c r="K544" s="257"/>
      <c r="L544" s="257"/>
    </row>
    <row r="545" spans="1:13" ht="12.65" customHeight="1" x14ac:dyDescent="0.35">
      <c r="A545" s="180" t="s">
        <v>559</v>
      </c>
      <c r="B545" s="362">
        <f>'Prior Year'!AZ28</f>
        <v>0</v>
      </c>
      <c r="C545" s="236">
        <f>AZ71</f>
        <v>0</v>
      </c>
      <c r="D545" s="362">
        <f>'Prior Year'!AZ16</f>
        <v>0</v>
      </c>
      <c r="E545" s="180">
        <f>AZ59</f>
        <v>0</v>
      </c>
      <c r="F545" s="259" t="str">
        <f t="shared" si="19"/>
        <v/>
      </c>
      <c r="G545" s="259" t="str">
        <f t="shared" si="19"/>
        <v/>
      </c>
      <c r="H545" s="261" t="str">
        <f t="shared" si="16"/>
        <v/>
      </c>
      <c r="I545" s="263"/>
      <c r="K545" s="257"/>
      <c r="L545" s="257"/>
    </row>
    <row r="546" spans="1:13" ht="12.65" customHeight="1" x14ac:dyDescent="0.35">
      <c r="A546" s="180" t="s">
        <v>560</v>
      </c>
      <c r="B546" s="362">
        <f>'Prior Year'!BA28</f>
        <v>193202</v>
      </c>
      <c r="C546" s="236">
        <f>BA71</f>
        <v>215773</v>
      </c>
      <c r="D546" s="362">
        <f>'Prior Year'!BA16</f>
        <v>190373</v>
      </c>
      <c r="E546" s="180">
        <f>BA59</f>
        <v>181548</v>
      </c>
      <c r="F546" s="259">
        <f t="shared" si="19"/>
        <v>1.0148603005678327</v>
      </c>
      <c r="G546" s="259">
        <f t="shared" si="19"/>
        <v>1.1885176372088924</v>
      </c>
      <c r="H546" s="261" t="str">
        <f t="shared" si="16"/>
        <v/>
      </c>
      <c r="I546" s="263"/>
      <c r="K546" s="257"/>
      <c r="L546" s="257"/>
    </row>
    <row r="547" spans="1:13" ht="12.65" customHeight="1" x14ac:dyDescent="0.35">
      <c r="A547" s="180" t="s">
        <v>561</v>
      </c>
      <c r="B547" s="362">
        <f>'Prior Year'!BB28</f>
        <v>253769</v>
      </c>
      <c r="C547" s="236">
        <f>BB71</f>
        <v>292040</v>
      </c>
      <c r="D547" s="362">
        <f>'Prior Year'!BB16</f>
        <v>0</v>
      </c>
      <c r="E547" s="181" t="s">
        <v>529</v>
      </c>
      <c r="F547" s="259"/>
      <c r="G547" s="259"/>
      <c r="H547" s="261"/>
      <c r="I547" s="263"/>
      <c r="K547" s="257"/>
      <c r="L547" s="257"/>
    </row>
    <row r="548" spans="1:13" ht="12.65" customHeight="1" x14ac:dyDescent="0.35">
      <c r="A548" s="180" t="s">
        <v>562</v>
      </c>
      <c r="B548" s="362">
        <f>'Prior Year'!BC28</f>
        <v>0</v>
      </c>
      <c r="C548" s="236">
        <f>BC71</f>
        <v>0</v>
      </c>
      <c r="D548" s="362">
        <f>'Prior Year'!BC16</f>
        <v>0</v>
      </c>
      <c r="E548" s="181" t="s">
        <v>529</v>
      </c>
      <c r="F548" s="259"/>
      <c r="G548" s="259"/>
      <c r="H548" s="261"/>
      <c r="I548" s="263"/>
      <c r="K548" s="257"/>
      <c r="L548" s="257"/>
    </row>
    <row r="549" spans="1:13" ht="12.65" customHeight="1" x14ac:dyDescent="0.35">
      <c r="A549" s="180" t="s">
        <v>563</v>
      </c>
      <c r="B549" s="362">
        <f>'Prior Year'!BD28</f>
        <v>290108</v>
      </c>
      <c r="C549" s="236">
        <f>BD71</f>
        <v>0</v>
      </c>
      <c r="D549" s="362">
        <f>'Prior Year'!BD16</f>
        <v>0</v>
      </c>
      <c r="E549" s="181" t="s">
        <v>529</v>
      </c>
      <c r="F549" s="259"/>
      <c r="G549" s="259"/>
      <c r="H549" s="261"/>
      <c r="I549" s="263"/>
      <c r="K549" s="257"/>
      <c r="L549" s="257"/>
    </row>
    <row r="550" spans="1:13" ht="12.65" customHeight="1" x14ac:dyDescent="0.35">
      <c r="A550" s="180" t="s">
        <v>564</v>
      </c>
      <c r="B550" s="362">
        <f>'Prior Year'!BE28</f>
        <v>1024736</v>
      </c>
      <c r="C550" s="236">
        <f>BE71</f>
        <v>1104139</v>
      </c>
      <c r="D550" s="362">
        <f>'Prior Year'!BE16</f>
        <v>102179</v>
      </c>
      <c r="E550" s="180">
        <f>BE59</f>
        <v>103931</v>
      </c>
      <c r="F550" s="259">
        <f t="shared" si="19"/>
        <v>10.028831756035975</v>
      </c>
      <c r="G550" s="259">
        <f t="shared" si="19"/>
        <v>10.623769616380098</v>
      </c>
      <c r="H550" s="261" t="str">
        <f t="shared" si="16"/>
        <v/>
      </c>
      <c r="I550" s="263"/>
      <c r="K550" s="257"/>
      <c r="L550" s="257"/>
    </row>
    <row r="551" spans="1:13" ht="12.65" customHeight="1" x14ac:dyDescent="0.35">
      <c r="A551" s="180" t="s">
        <v>565</v>
      </c>
      <c r="B551" s="362">
        <f>'Prior Year'!BF28</f>
        <v>476732</v>
      </c>
      <c r="C551" s="236">
        <f>BF71</f>
        <v>512400</v>
      </c>
      <c r="D551" s="362">
        <f>'Prior Year'!BF16</f>
        <v>0</v>
      </c>
      <c r="E551" s="181" t="s">
        <v>529</v>
      </c>
      <c r="F551" s="259"/>
      <c r="G551" s="259"/>
      <c r="H551" s="261"/>
      <c r="I551" s="263"/>
      <c r="J551" s="199"/>
      <c r="M551" s="261"/>
    </row>
    <row r="552" spans="1:13" ht="12.65" customHeight="1" x14ac:dyDescent="0.35">
      <c r="A552" s="180" t="s">
        <v>566</v>
      </c>
      <c r="B552" s="362">
        <f>'Prior Year'!BG28</f>
        <v>0</v>
      </c>
      <c r="C552" s="236">
        <f>BG71</f>
        <v>0</v>
      </c>
      <c r="D552" s="362">
        <f>'Prior Year'!BG16</f>
        <v>0</v>
      </c>
      <c r="E552" s="181" t="s">
        <v>529</v>
      </c>
      <c r="F552" s="259"/>
      <c r="G552" s="259"/>
      <c r="H552" s="261"/>
      <c r="J552" s="199"/>
      <c r="M552" s="261"/>
    </row>
    <row r="553" spans="1:13" ht="12.65" customHeight="1" x14ac:dyDescent="0.35">
      <c r="A553" s="180" t="s">
        <v>567</v>
      </c>
      <c r="B553" s="362">
        <f>'Prior Year'!BH28</f>
        <v>2500411</v>
      </c>
      <c r="C553" s="236">
        <f>BH71</f>
        <v>2549606</v>
      </c>
      <c r="D553" s="362">
        <f>'Prior Year'!BH16</f>
        <v>0</v>
      </c>
      <c r="E553" s="181" t="s">
        <v>529</v>
      </c>
      <c r="F553" s="259"/>
      <c r="G553" s="259"/>
      <c r="H553" s="261"/>
      <c r="J553" s="199"/>
      <c r="M553" s="261"/>
    </row>
    <row r="554" spans="1:13" ht="12.65" customHeight="1" x14ac:dyDescent="0.35">
      <c r="A554" s="180" t="s">
        <v>568</v>
      </c>
      <c r="B554" s="362">
        <f>'Prior Year'!BI28</f>
        <v>0</v>
      </c>
      <c r="C554" s="236">
        <f>BI71</f>
        <v>0</v>
      </c>
      <c r="D554" s="362">
        <f>'Prior Year'!BI16</f>
        <v>0</v>
      </c>
      <c r="E554" s="181" t="s">
        <v>529</v>
      </c>
      <c r="F554" s="259"/>
      <c r="G554" s="259"/>
      <c r="H554" s="261"/>
      <c r="J554" s="199"/>
      <c r="M554" s="261"/>
    </row>
    <row r="555" spans="1:13" ht="12.65" customHeight="1" x14ac:dyDescent="0.35">
      <c r="A555" s="180" t="s">
        <v>569</v>
      </c>
      <c r="B555" s="362">
        <f>'Prior Year'!BJ28</f>
        <v>1049345</v>
      </c>
      <c r="C555" s="236">
        <f>BJ71</f>
        <v>1009867</v>
      </c>
      <c r="D555" s="362">
        <f>'Prior Year'!BJ16</f>
        <v>0</v>
      </c>
      <c r="E555" s="181" t="s">
        <v>529</v>
      </c>
      <c r="F555" s="259"/>
      <c r="G555" s="259"/>
      <c r="H555" s="261"/>
      <c r="J555" s="199"/>
      <c r="M555" s="261"/>
    </row>
    <row r="556" spans="1:13" ht="12.65" customHeight="1" x14ac:dyDescent="0.35">
      <c r="A556" s="180" t="s">
        <v>570</v>
      </c>
      <c r="B556" s="362">
        <f>'Prior Year'!BK28</f>
        <v>1849430</v>
      </c>
      <c r="C556" s="236">
        <f>BK71</f>
        <v>1796038</v>
      </c>
      <c r="D556" s="362">
        <f>'Prior Year'!BK16</f>
        <v>0</v>
      </c>
      <c r="E556" s="181" t="s">
        <v>529</v>
      </c>
      <c r="F556" s="259"/>
      <c r="G556" s="259"/>
      <c r="H556" s="261"/>
      <c r="J556" s="199"/>
      <c r="M556" s="261"/>
    </row>
    <row r="557" spans="1:13" ht="12.65" customHeight="1" x14ac:dyDescent="0.35">
      <c r="A557" s="180" t="s">
        <v>571</v>
      </c>
      <c r="B557" s="362">
        <f>'Prior Year'!BL28</f>
        <v>0</v>
      </c>
      <c r="C557" s="236">
        <f>BL71</f>
        <v>0</v>
      </c>
      <c r="D557" s="362">
        <f>'Prior Year'!BL16</f>
        <v>0</v>
      </c>
      <c r="E557" s="181" t="s">
        <v>529</v>
      </c>
      <c r="F557" s="259"/>
      <c r="G557" s="259"/>
      <c r="H557" s="261"/>
      <c r="J557" s="199"/>
      <c r="M557" s="261"/>
    </row>
    <row r="558" spans="1:13" ht="12.65" customHeight="1" x14ac:dyDescent="0.35">
      <c r="A558" s="180" t="s">
        <v>572</v>
      </c>
      <c r="B558" s="362">
        <f>'Prior Year'!BM28</f>
        <v>0</v>
      </c>
      <c r="C558" s="236">
        <f>BM71</f>
        <v>0</v>
      </c>
      <c r="D558" s="362">
        <f>'Prior Year'!BM16</f>
        <v>0</v>
      </c>
      <c r="E558" s="181" t="s">
        <v>529</v>
      </c>
      <c r="F558" s="259"/>
      <c r="G558" s="259"/>
      <c r="H558" s="261"/>
      <c r="J558" s="199"/>
      <c r="M558" s="261"/>
    </row>
    <row r="559" spans="1:13" ht="12.65" customHeight="1" x14ac:dyDescent="0.35">
      <c r="A559" s="180" t="s">
        <v>573</v>
      </c>
      <c r="B559" s="362">
        <f>'Prior Year'!BN28</f>
        <v>1814566</v>
      </c>
      <c r="C559" s="236">
        <f>BN71</f>
        <v>2088710</v>
      </c>
      <c r="D559" s="362">
        <f>'Prior Year'!BN16</f>
        <v>0</v>
      </c>
      <c r="E559" s="181" t="s">
        <v>529</v>
      </c>
      <c r="F559" s="259"/>
      <c r="G559" s="259"/>
      <c r="H559" s="261"/>
      <c r="J559" s="199"/>
      <c r="M559" s="261"/>
    </row>
    <row r="560" spans="1:13" ht="12.65" customHeight="1" x14ac:dyDescent="0.35">
      <c r="A560" s="180" t="s">
        <v>574</v>
      </c>
      <c r="B560" s="362">
        <f>'Prior Year'!BO28</f>
        <v>2630</v>
      </c>
      <c r="C560" s="236">
        <f>BO71</f>
        <v>77943</v>
      </c>
      <c r="D560" s="362">
        <f>'Prior Year'!BO16</f>
        <v>0</v>
      </c>
      <c r="E560" s="181" t="s">
        <v>529</v>
      </c>
      <c r="F560" s="259"/>
      <c r="G560" s="259"/>
      <c r="H560" s="261"/>
      <c r="J560" s="199"/>
      <c r="M560" s="261"/>
    </row>
    <row r="561" spans="1:13" ht="12.65" customHeight="1" x14ac:dyDescent="0.35">
      <c r="A561" s="180" t="s">
        <v>575</v>
      </c>
      <c r="B561" s="362">
        <f>'Prior Year'!BP28</f>
        <v>1146508</v>
      </c>
      <c r="C561" s="236">
        <f>BP71</f>
        <v>1421614</v>
      </c>
      <c r="D561" s="362">
        <f>'Prior Year'!BP16</f>
        <v>0</v>
      </c>
      <c r="E561" s="181" t="s">
        <v>529</v>
      </c>
      <c r="F561" s="259"/>
      <c r="G561" s="259"/>
      <c r="H561" s="261"/>
      <c r="J561" s="199"/>
      <c r="M561" s="261"/>
    </row>
    <row r="562" spans="1:13" ht="12.65" customHeight="1" x14ac:dyDescent="0.35">
      <c r="A562" s="180" t="s">
        <v>576</v>
      </c>
      <c r="B562" s="362">
        <f>'Prior Year'!BQ28</f>
        <v>0</v>
      </c>
      <c r="C562" s="236">
        <f>BQ71</f>
        <v>0</v>
      </c>
      <c r="D562" s="362">
        <f>'Prior Year'!BQ16</f>
        <v>0</v>
      </c>
      <c r="E562" s="181" t="s">
        <v>529</v>
      </c>
      <c r="F562" s="259"/>
      <c r="G562" s="259"/>
      <c r="H562" s="261"/>
      <c r="J562" s="199"/>
      <c r="M562" s="261"/>
    </row>
    <row r="563" spans="1:13" ht="12.65" customHeight="1" x14ac:dyDescent="0.35">
      <c r="A563" s="180" t="s">
        <v>577</v>
      </c>
      <c r="B563" s="362">
        <f>'Prior Year'!BR28</f>
        <v>807788</v>
      </c>
      <c r="C563" s="236">
        <f>BR71</f>
        <v>940446</v>
      </c>
      <c r="D563" s="362">
        <f>'Prior Year'!BR16</f>
        <v>0</v>
      </c>
      <c r="E563" s="181" t="s">
        <v>529</v>
      </c>
      <c r="F563" s="259"/>
      <c r="G563" s="259"/>
      <c r="H563" s="261"/>
      <c r="J563" s="199"/>
      <c r="M563" s="261"/>
    </row>
    <row r="564" spans="1:13" ht="12.65" customHeight="1" x14ac:dyDescent="0.35">
      <c r="A564" s="180" t="s">
        <v>986</v>
      </c>
      <c r="B564" s="362">
        <f>'Prior Year'!BS28</f>
        <v>0</v>
      </c>
      <c r="C564" s="236">
        <f>BS71</f>
        <v>0</v>
      </c>
      <c r="D564" s="362">
        <f>'Prior Year'!BS16</f>
        <v>0</v>
      </c>
      <c r="E564" s="181" t="s">
        <v>529</v>
      </c>
      <c r="F564" s="259"/>
      <c r="G564" s="259"/>
      <c r="H564" s="261"/>
      <c r="J564" s="199"/>
      <c r="M564" s="261"/>
    </row>
    <row r="565" spans="1:13" ht="12.65" customHeight="1" x14ac:dyDescent="0.35">
      <c r="A565" s="180" t="s">
        <v>578</v>
      </c>
      <c r="B565" s="362">
        <f>'Prior Year'!BT28</f>
        <v>0</v>
      </c>
      <c r="C565" s="236">
        <f>BT71</f>
        <v>0</v>
      </c>
      <c r="D565" s="362">
        <f>'Prior Year'!BT16</f>
        <v>0</v>
      </c>
      <c r="E565" s="181" t="s">
        <v>529</v>
      </c>
      <c r="F565" s="259"/>
      <c r="G565" s="259"/>
      <c r="H565" s="261"/>
      <c r="J565" s="199"/>
      <c r="M565" s="261"/>
    </row>
    <row r="566" spans="1:13" ht="12.65" customHeight="1" x14ac:dyDescent="0.35">
      <c r="A566" s="180" t="s">
        <v>579</v>
      </c>
      <c r="B566" s="362">
        <f>'Prior Year'!BU28</f>
        <v>0</v>
      </c>
      <c r="C566" s="236">
        <f>BU71</f>
        <v>0</v>
      </c>
      <c r="D566" s="362">
        <f>'Prior Year'!BU16</f>
        <v>0</v>
      </c>
      <c r="E566" s="181" t="s">
        <v>529</v>
      </c>
      <c r="F566" s="259"/>
      <c r="G566" s="259"/>
      <c r="H566" s="261"/>
      <c r="J566" s="199"/>
      <c r="M566" s="261"/>
    </row>
    <row r="567" spans="1:13" ht="12.65" customHeight="1" x14ac:dyDescent="0.35">
      <c r="A567" s="180" t="s">
        <v>580</v>
      </c>
      <c r="B567" s="362">
        <f>'Prior Year'!BV28</f>
        <v>583790</v>
      </c>
      <c r="C567" s="236">
        <f>BV71</f>
        <v>657257</v>
      </c>
      <c r="D567" s="362">
        <f>'Prior Year'!BV16</f>
        <v>0</v>
      </c>
      <c r="E567" s="181" t="s">
        <v>529</v>
      </c>
      <c r="F567" s="259"/>
      <c r="G567" s="259"/>
      <c r="H567" s="261"/>
      <c r="J567" s="199"/>
      <c r="M567" s="261"/>
    </row>
    <row r="568" spans="1:13" ht="12.65" customHeight="1" x14ac:dyDescent="0.35">
      <c r="A568" s="180" t="s">
        <v>581</v>
      </c>
      <c r="B568" s="362">
        <f>'Prior Year'!BW28</f>
        <v>379766</v>
      </c>
      <c r="C568" s="236">
        <f>BW71</f>
        <v>559072</v>
      </c>
      <c r="D568" s="362">
        <f>'Prior Year'!BW16</f>
        <v>0</v>
      </c>
      <c r="E568" s="181" t="s">
        <v>529</v>
      </c>
      <c r="F568" s="259"/>
      <c r="G568" s="259"/>
      <c r="H568" s="261"/>
      <c r="J568" s="199"/>
      <c r="M568" s="261"/>
    </row>
    <row r="569" spans="1:13" ht="12.65" customHeight="1" x14ac:dyDescent="0.35">
      <c r="A569" s="180" t="s">
        <v>582</v>
      </c>
      <c r="B569" s="362">
        <f>'Prior Year'!BX28</f>
        <v>98882</v>
      </c>
      <c r="C569" s="236">
        <f>BX71</f>
        <v>21992</v>
      </c>
      <c r="D569" s="362">
        <f>'Prior Year'!BX16</f>
        <v>0</v>
      </c>
      <c r="E569" s="181" t="s">
        <v>529</v>
      </c>
      <c r="F569" s="259"/>
      <c r="G569" s="259"/>
      <c r="H569" s="261"/>
      <c r="J569" s="199"/>
      <c r="M569" s="261"/>
    </row>
    <row r="570" spans="1:13" ht="12.65" customHeight="1" x14ac:dyDescent="0.35">
      <c r="A570" s="180" t="s">
        <v>583</v>
      </c>
      <c r="B570" s="362">
        <f>'Prior Year'!BY28</f>
        <v>978174</v>
      </c>
      <c r="C570" s="236">
        <f>BY71</f>
        <v>1219507</v>
      </c>
      <c r="D570" s="362">
        <f>'Prior Year'!BY16</f>
        <v>0</v>
      </c>
      <c r="E570" s="181" t="s">
        <v>529</v>
      </c>
      <c r="F570" s="259"/>
      <c r="G570" s="259"/>
      <c r="H570" s="261"/>
      <c r="J570" s="199"/>
      <c r="M570" s="261"/>
    </row>
    <row r="571" spans="1:13" ht="12.65" customHeight="1" x14ac:dyDescent="0.35">
      <c r="A571" s="180" t="s">
        <v>584</v>
      </c>
      <c r="B571" s="362">
        <f>'Prior Year'!BZ28</f>
        <v>0</v>
      </c>
      <c r="C571" s="236">
        <f>BZ71</f>
        <v>0</v>
      </c>
      <c r="D571" s="362">
        <f>'Prior Year'!BZ16</f>
        <v>0</v>
      </c>
      <c r="E571" s="181" t="s">
        <v>529</v>
      </c>
      <c r="F571" s="259"/>
      <c r="G571" s="259"/>
      <c r="H571" s="261"/>
      <c r="J571" s="199"/>
      <c r="M571" s="261"/>
    </row>
    <row r="572" spans="1:13" ht="12.65" customHeight="1" x14ac:dyDescent="0.35">
      <c r="A572" s="180" t="s">
        <v>585</v>
      </c>
      <c r="B572" s="362">
        <f>'Prior Year'!CA28</f>
        <v>0</v>
      </c>
      <c r="C572" s="236">
        <f>CA71</f>
        <v>0</v>
      </c>
      <c r="D572" s="362">
        <f>'Prior Year'!CA16</f>
        <v>0</v>
      </c>
      <c r="E572" s="181" t="s">
        <v>529</v>
      </c>
      <c r="F572" s="259"/>
      <c r="G572" s="259"/>
      <c r="H572" s="261"/>
      <c r="J572" s="199"/>
      <c r="M572" s="261"/>
    </row>
    <row r="573" spans="1:13" ht="12.65" customHeight="1" x14ac:dyDescent="0.35">
      <c r="A573" s="180" t="s">
        <v>586</v>
      </c>
      <c r="B573" s="362">
        <f>'Prior Year'!CB28</f>
        <v>0</v>
      </c>
      <c r="C573" s="236">
        <f>CB71</f>
        <v>0</v>
      </c>
      <c r="D573" s="362">
        <f>'Prior Year'!CB16</f>
        <v>0</v>
      </c>
      <c r="E573" s="181" t="s">
        <v>529</v>
      </c>
      <c r="F573" s="259"/>
      <c r="G573" s="259"/>
      <c r="H573" s="261"/>
      <c r="J573" s="199"/>
      <c r="M573" s="261"/>
    </row>
    <row r="574" spans="1:13" ht="12.65" customHeight="1" x14ac:dyDescent="0.35">
      <c r="A574" s="180" t="s">
        <v>587</v>
      </c>
      <c r="B574" s="362">
        <f>'Prior Year'!CC28</f>
        <v>0</v>
      </c>
      <c r="C574" s="236">
        <f>CC71</f>
        <v>0</v>
      </c>
      <c r="D574" s="362">
        <f>'Prior Year'!CC16</f>
        <v>0</v>
      </c>
      <c r="E574" s="181" t="s">
        <v>529</v>
      </c>
      <c r="F574" s="259"/>
      <c r="G574" s="259"/>
      <c r="H574" s="261"/>
      <c r="J574" s="199"/>
      <c r="M574" s="261"/>
    </row>
    <row r="575" spans="1:13" ht="12.65" customHeight="1" x14ac:dyDescent="0.35">
      <c r="A575" s="180" t="s">
        <v>588</v>
      </c>
      <c r="B575" s="362">
        <f>'Prior Year'!CD28</f>
        <v>1089489</v>
      </c>
      <c r="C575" s="236">
        <f>CD71</f>
        <v>1279182</v>
      </c>
      <c r="D575" s="362">
        <f>'Prior Year'!CD16</f>
        <v>0</v>
      </c>
      <c r="E575" s="181" t="s">
        <v>529</v>
      </c>
      <c r="F575" s="259"/>
      <c r="G575" s="259"/>
      <c r="H575" s="261"/>
    </row>
    <row r="576" spans="1:13" ht="12.65" customHeight="1" x14ac:dyDescent="0.35">
      <c r="M576" s="261"/>
    </row>
    <row r="577" spans="13:13" ht="12.65" customHeight="1" x14ac:dyDescent="0.35">
      <c r="M577" s="261"/>
    </row>
    <row r="578" spans="13:13" ht="12.65" customHeight="1" x14ac:dyDescent="0.35">
      <c r="M578" s="261"/>
    </row>
    <row r="612" spans="1:14" ht="12.65" customHeight="1" x14ac:dyDescent="0.35">
      <c r="A612" s="196"/>
      <c r="C612" s="181" t="s">
        <v>589</v>
      </c>
      <c r="D612" s="180">
        <f>CE76-(BE76+CD76)</f>
        <v>97661</v>
      </c>
      <c r="E612" s="180">
        <f>SUM(C624:D647)+SUM(C668:D713)</f>
        <v>57946471.854609303</v>
      </c>
      <c r="F612" s="180">
        <f>CE64-(AX64+BD64+BE64+BG64+BJ64+BN64+BP64+BQ64+CB64+CC64+CD64)</f>
        <v>7975131</v>
      </c>
      <c r="G612" s="180">
        <f>CE77-(AX77+AY77+BD77+BE77+BG77+BJ77+BN77+BP77+BQ77+CB77+CC77+CD77)</f>
        <v>18950</v>
      </c>
      <c r="H612" s="197">
        <f>CE60-(AX60+AY60+AZ60+BD60+BE60+BG60+BJ60+BN60+BO60+BP60+BQ60+BR60+CB60+CC60+CD60)</f>
        <v>415.29999999999978</v>
      </c>
      <c r="I612" s="180">
        <f>CE78-(AX78+AY78+AZ78+BD78+BE78+BF78+BG78+BJ78+BN78+BO78+BP78+BQ78+BR78+CB78+CC78+CD78)</f>
        <v>18521</v>
      </c>
      <c r="J612" s="180">
        <f>CE79-(AX79+AY79+AZ79+BA79+BD79+BE79+BF79+BG79+BJ79+BN79+BO79+BP79+BQ79+BR79+CB79+CC79+CD79)</f>
        <v>181550</v>
      </c>
      <c r="K612" s="180">
        <f>CE75-(AW75+AX75+AY75+AZ75+BA75+BB75+BC75+BD75+BE75+BF75+BG75+BH75+BI75+BJ75+BK75+BL75+BM75+BN75+BO75+BP75+BQ75+BR75+BS75+BT75+BU75+BV75+BW75+BX75+CB75+CC75+CD75)</f>
        <v>144124588</v>
      </c>
      <c r="L612" s="197">
        <f>CE80-(AW80+AX80+AY80+AZ80+BA80+BB80+BC80+BD80+BE80+BF80+BG80+BH80+BI80+BJ80+BK80+BL80+BM80+BN80+BO80+BP80+BQ80+BR80+BS80+BT80+BU80+BV80+BW80+BX80+BY80+BZ80+CA80+CB80+CC80+CD80)</f>
        <v>109.62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1104139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68">
        <f>CD69-CD70</f>
        <v>1279182</v>
      </c>
      <c r="D615" s="262">
        <f>SUM(C614:C615)</f>
        <v>2383321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1009867</v>
      </c>
      <c r="D617" s="180">
        <f>(D615/D612)*BJ76</f>
        <v>18156.590901178566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2088710</v>
      </c>
      <c r="D619" s="180">
        <f>(D615/D612)*BN76</f>
        <v>421799.08217200317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0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1421614</v>
      </c>
      <c r="D621" s="180">
        <f>(D615/D612)*BP76</f>
        <v>15008.472317506477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4975155.1453906884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850142</v>
      </c>
      <c r="D625" s="180">
        <f>(D615/D612)*AY76</f>
        <v>52712.683261486163</v>
      </c>
      <c r="E625" s="180">
        <f>(E623/E612)*SUM(C625:D625)</f>
        <v>77517.094297625692</v>
      </c>
      <c r="F625" s="180">
        <f>(F624/F612)*AY64</f>
        <v>0</v>
      </c>
      <c r="G625" s="180">
        <f>SUM(C625:F625)</f>
        <v>980371.77755911183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940446</v>
      </c>
      <c r="D626" s="180">
        <f>(D615/D612)*BR76</f>
        <v>6271.833147315715</v>
      </c>
      <c r="E626" s="180">
        <f>(E623/E612)*SUM(C626:D626)</f>
        <v>81283.086753474752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77943</v>
      </c>
      <c r="D627" s="180">
        <f>(D615/D612)*BO76</f>
        <v>0</v>
      </c>
      <c r="E627" s="180">
        <f>(E623/E612)*SUM(C627:D627)</f>
        <v>6692.0125606636202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1112635.9324614538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512400</v>
      </c>
      <c r="D629" s="180">
        <f>(D615/D612)*BF76</f>
        <v>20499.376823911283</v>
      </c>
      <c r="E629" s="180">
        <f>(E623/E612)*SUM(C629:D629)</f>
        <v>45753.554819232391</v>
      </c>
      <c r="F629" s="180">
        <f>(F624/F612)*BF64</f>
        <v>0</v>
      </c>
      <c r="G629" s="180">
        <f>(G625/G612)*BF77</f>
        <v>0</v>
      </c>
      <c r="H629" s="180">
        <f>(H628/H612)*BF60</f>
        <v>40534.990749197699</v>
      </c>
      <c r="I629" s="180">
        <f>SUM(C629:H629)</f>
        <v>619187.92239234142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215773</v>
      </c>
      <c r="D630" s="180">
        <f>(D615/D612)*BA76</f>
        <v>21670.769785277644</v>
      </c>
      <c r="E630" s="180">
        <f>(E623/E612)*SUM(C630:D630)</f>
        <v>20386.393773070053</v>
      </c>
      <c r="F630" s="180">
        <f>(F624/F612)*BA64</f>
        <v>0</v>
      </c>
      <c r="G630" s="180">
        <f>(G625/G612)*BA77</f>
        <v>0</v>
      </c>
      <c r="H630" s="180">
        <f>(H628/H612)*BA60</f>
        <v>10287.796726828761</v>
      </c>
      <c r="I630" s="180">
        <f>(I629/I612)*BA78</f>
        <v>7588.9886282091402</v>
      </c>
      <c r="J630" s="180">
        <f>SUM(C630:I630)</f>
        <v>275706.94891338557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292040</v>
      </c>
      <c r="D632" s="180">
        <f>(D615/D612)*BB76</f>
        <v>6418.2572674865096</v>
      </c>
      <c r="E632" s="180">
        <f>(E623/E612)*SUM(C632:D632)</f>
        <v>25624.961914062766</v>
      </c>
      <c r="F632" s="180">
        <f>(F624/F612)*BB64</f>
        <v>0</v>
      </c>
      <c r="G632" s="180">
        <f>(G625/G612)*BB77</f>
        <v>0</v>
      </c>
      <c r="H632" s="180">
        <f>(H628/H612)*BB60</f>
        <v>5652.9299722939286</v>
      </c>
      <c r="I632" s="180">
        <f>(I629/I612)*BB78</f>
        <v>2239.9217537004952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1796038</v>
      </c>
      <c r="D635" s="180">
        <f>(D615/D612)*BK76</f>
        <v>12543.66629463143</v>
      </c>
      <c r="E635" s="180">
        <f>(E623/E612)*SUM(C635:D635)</f>
        <v>155280.7978629205</v>
      </c>
      <c r="F635" s="180">
        <f>(F624/F612)*BK64</f>
        <v>0</v>
      </c>
      <c r="G635" s="180">
        <f>(G625/G612)*BK77</f>
        <v>0</v>
      </c>
      <c r="H635" s="180">
        <f>(H628/H612)*BK60</f>
        <v>76006.456546909365</v>
      </c>
      <c r="I635" s="180">
        <f>(I629/I612)*BK78</f>
        <v>4412.9801714696323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2549606</v>
      </c>
      <c r="D636" s="180">
        <f>(D615/D612)*BH76</f>
        <v>16887.581859698344</v>
      </c>
      <c r="E636" s="180">
        <f>(E623/E612)*SUM(C636:D636)</f>
        <v>220353.42861665151</v>
      </c>
      <c r="F636" s="180">
        <f>(F624/F612)*BH64</f>
        <v>0</v>
      </c>
      <c r="G636" s="180">
        <f>(G625/G612)*BH77</f>
        <v>0</v>
      </c>
      <c r="H636" s="180">
        <f>(H628/H612)*BH60</f>
        <v>25344.415894739606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657257</v>
      </c>
      <c r="D642" s="180">
        <f>(D615/D612)*BV76</f>
        <v>24355.211988408882</v>
      </c>
      <c r="E642" s="180">
        <f>(E623/E612)*SUM(C642:D642)</f>
        <v>58521.707967721886</v>
      </c>
      <c r="F642" s="180">
        <f>(F624/F612)*BV64</f>
        <v>0</v>
      </c>
      <c r="G642" s="180">
        <f>(G625/G612)*BV77</f>
        <v>0</v>
      </c>
      <c r="H642" s="180">
        <f>(H628/H612)*BV60</f>
        <v>19986.188432849627</v>
      </c>
      <c r="I642" s="180">
        <f>(I629/I612)*BV78</f>
        <v>8525.0753312481538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559072</v>
      </c>
      <c r="D643" s="180">
        <f>(D615/D612)*BW76</f>
        <v>4002.2592846683938</v>
      </c>
      <c r="E643" s="180">
        <f>(E623/E612)*SUM(C643:D643)</f>
        <v>48344.303089685607</v>
      </c>
      <c r="F643" s="180">
        <f>(F624/F612)*BW64</f>
        <v>0</v>
      </c>
      <c r="G643" s="180">
        <f>(G625/G612)*BW77</f>
        <v>0</v>
      </c>
      <c r="H643" s="180">
        <f>(H628/H612)*BW60</f>
        <v>5572.5565603655796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21992</v>
      </c>
      <c r="D644" s="180">
        <f>(D615/D612)*BX76</f>
        <v>8492.5989699061047</v>
      </c>
      <c r="E644" s="180">
        <f>(E623/E612)*SUM(C644:D644)</f>
        <v>2617.3398408247681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6607187.6396202436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1219507</v>
      </c>
      <c r="D645" s="180">
        <f>(D615/D612)*BY76</f>
        <v>5198.0562660632186</v>
      </c>
      <c r="E645" s="180">
        <f>(E623/E612)*SUM(C645:D645)</f>
        <v>105150.45122256958</v>
      </c>
      <c r="F645" s="180">
        <f>(F624/F612)*BY64</f>
        <v>0</v>
      </c>
      <c r="G645" s="180">
        <f>(G625/G612)*BY77</f>
        <v>0</v>
      </c>
      <c r="H645" s="180">
        <f>(H628/H612)*BY60</f>
        <v>42946.193107048195</v>
      </c>
      <c r="I645" s="180">
        <f>(I629/I612)*BY78</f>
        <v>1805.3100701466678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1374607.0106658277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16595728</v>
      </c>
      <c r="L648" s="262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2125637</v>
      </c>
      <c r="D670" s="180">
        <f>(D615/D612)*E76</f>
        <v>107548.51626544885</v>
      </c>
      <c r="E670" s="180">
        <f>(E623/E612)*SUM(C670:D670)</f>
        <v>191736.33969876004</v>
      </c>
      <c r="F670" s="180">
        <f>(F624/F612)*E64</f>
        <v>0</v>
      </c>
      <c r="G670" s="180">
        <f>(G625/G612)*E77</f>
        <v>521226.68384739058</v>
      </c>
      <c r="H670" s="180">
        <f>(H628/H612)*E60</f>
        <v>51867.641831095003</v>
      </c>
      <c r="I670" s="180">
        <f>(I629/I612)*E78</f>
        <v>37710.921465285952</v>
      </c>
      <c r="J670" s="180">
        <f>(J630/J612)*E79</f>
        <v>61165.787834670511</v>
      </c>
      <c r="K670" s="180">
        <f>(K644/K612)*E75</f>
        <v>312732.50564045995</v>
      </c>
      <c r="L670" s="180">
        <f>(L647/L612)*E80</f>
        <v>206529.62475521053</v>
      </c>
      <c r="M670" s="180">
        <f t="shared" si="20"/>
        <v>1490518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615922</v>
      </c>
      <c r="D675" s="180">
        <f>(D615/D612)*J76</f>
        <v>31163.933576350846</v>
      </c>
      <c r="E675" s="180">
        <f>(E623/E612)*SUM(C675:D675)</f>
        <v>55557.358522531656</v>
      </c>
      <c r="F675" s="180">
        <f>(F624/F612)*J64</f>
        <v>0</v>
      </c>
      <c r="G675" s="180">
        <f>(G625/G612)*J77</f>
        <v>0</v>
      </c>
      <c r="H675" s="180">
        <f>(H628/H612)*J60</f>
        <v>16074.682385669941</v>
      </c>
      <c r="I675" s="180">
        <f>(I629/I612)*J78</f>
        <v>10932.155424777044</v>
      </c>
      <c r="J675" s="180">
        <f>(J630/J612)*J79</f>
        <v>17722.391042793774</v>
      </c>
      <c r="K675" s="180">
        <f>(K644/K612)*J75</f>
        <v>90616.903457208246</v>
      </c>
      <c r="L675" s="180">
        <f>(L647/L612)*J80</f>
        <v>62698.73246970569</v>
      </c>
      <c r="M675" s="180">
        <f t="shared" si="20"/>
        <v>284766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1343344</v>
      </c>
      <c r="D677" s="180">
        <f>(D615/D612)*L76</f>
        <v>67965.195779277303</v>
      </c>
      <c r="E677" s="180">
        <f>(E623/E612)*SUM(C677:D677)</f>
        <v>121171.86745615381</v>
      </c>
      <c r="F677" s="180">
        <f>(F624/F612)*L64</f>
        <v>0</v>
      </c>
      <c r="G677" s="180">
        <f>(G625/G612)*L77</f>
        <v>329394.5703281723</v>
      </c>
      <c r="H677" s="180">
        <f>(H628/H612)*L60</f>
        <v>32792.352066766682</v>
      </c>
      <c r="I677" s="180">
        <f>(I629/I612)*L78</f>
        <v>23836.77925952915</v>
      </c>
      <c r="J677" s="180">
        <f>(J630/J612)*L79</f>
        <v>38655.162091111626</v>
      </c>
      <c r="K677" s="180">
        <f>(K644/K612)*L75</f>
        <v>197638.65834554262</v>
      </c>
      <c r="L677" s="180">
        <f>(L647/L612)*L80</f>
        <v>130538.76100192725</v>
      </c>
      <c r="M677" s="180">
        <f t="shared" si="20"/>
        <v>941993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2178438</v>
      </c>
      <c r="D680" s="180">
        <f>(D615/D612)*O76</f>
        <v>59252.960629114998</v>
      </c>
      <c r="E680" s="180">
        <f>(E623/E612)*SUM(C680:D680)</f>
        <v>192123.16712743262</v>
      </c>
      <c r="F680" s="180">
        <f>(F624/F612)*O64</f>
        <v>0</v>
      </c>
      <c r="G680" s="180">
        <f>(G625/G612)*O77</f>
        <v>0</v>
      </c>
      <c r="H680" s="180">
        <f>(H628/H612)*O60</f>
        <v>62369.767656399374</v>
      </c>
      <c r="I680" s="180">
        <f>(I629/I612)*O78</f>
        <v>20794.497474652359</v>
      </c>
      <c r="J680" s="180">
        <f>(J630/J612)*O79</f>
        <v>26806.824908945648</v>
      </c>
      <c r="K680" s="180">
        <f>(K644/K612)*O75</f>
        <v>146773.872563118</v>
      </c>
      <c r="L680" s="180">
        <f>(L647/L612)*O80</f>
        <v>276877.60258622031</v>
      </c>
      <c r="M680" s="180">
        <f t="shared" si="20"/>
        <v>784999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4915125</v>
      </c>
      <c r="D681" s="180">
        <f>(D615/D612)*P76</f>
        <v>169485.91909769509</v>
      </c>
      <c r="E681" s="180">
        <f>(E623/E612)*SUM(C681:D681)</f>
        <v>436553.38050484553</v>
      </c>
      <c r="F681" s="180">
        <f>(F624/F612)*P64</f>
        <v>0</v>
      </c>
      <c r="G681" s="180">
        <f>(G625/G612)*P77</f>
        <v>0</v>
      </c>
      <c r="H681" s="180">
        <f>(H628/H612)*P60</f>
        <v>83320.437032389193</v>
      </c>
      <c r="I681" s="180">
        <f>(I629/I612)*P78</f>
        <v>59441.505642977318</v>
      </c>
      <c r="J681" s="180">
        <f>(J630/J612)*P79</f>
        <v>20844.69061297235</v>
      </c>
      <c r="K681" s="180">
        <f>(K644/K612)*P75</f>
        <v>996248.42200825922</v>
      </c>
      <c r="L681" s="180">
        <f>(L647/L612)*P80</f>
        <v>271736.30652370449</v>
      </c>
      <c r="M681" s="180">
        <f t="shared" si="20"/>
        <v>2037631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0</v>
      </c>
      <c r="L682" s="180">
        <f>(L647/L612)*Q80</f>
        <v>0</v>
      </c>
      <c r="M682" s="180">
        <f t="shared" si="20"/>
        <v>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952766</v>
      </c>
      <c r="D683" s="180">
        <f>(D615/D612)*R76</f>
        <v>3929.0472245829965</v>
      </c>
      <c r="E683" s="180">
        <f>(E623/E612)*SUM(C683:D683)</f>
        <v>82139.708155338973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1370.6983865928403</v>
      </c>
      <c r="J683" s="180">
        <f>(J630/J612)*R79</f>
        <v>0</v>
      </c>
      <c r="K683" s="180">
        <f>(K644/K612)*R75</f>
        <v>294591.14509541926</v>
      </c>
      <c r="L683" s="180">
        <f>(L647/L612)*R80</f>
        <v>0</v>
      </c>
      <c r="M683" s="180">
        <f t="shared" si="20"/>
        <v>382031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231861</v>
      </c>
      <c r="D684" s="180">
        <f>(D615/D612)*S76</f>
        <v>35141.788840990775</v>
      </c>
      <c r="E684" s="180">
        <f>(E623/E612)*SUM(C684:D684)</f>
        <v>22924.265381831934</v>
      </c>
      <c r="F684" s="180">
        <f>(F624/F612)*S64</f>
        <v>0</v>
      </c>
      <c r="G684" s="180">
        <f>(G625/G612)*S77</f>
        <v>0</v>
      </c>
      <c r="H684" s="180">
        <f>(H628/H612)*S60</f>
        <v>13368.777517415501</v>
      </c>
      <c r="I684" s="180">
        <f>(I629/I612)*S78</f>
        <v>12336.285479335564</v>
      </c>
      <c r="J684" s="180">
        <f>(J630/J612)*S79</f>
        <v>0</v>
      </c>
      <c r="K684" s="180">
        <f>(K644/K612)*S75</f>
        <v>170118.66325324573</v>
      </c>
      <c r="L684" s="180">
        <f>(L647/L612)*S80</f>
        <v>0</v>
      </c>
      <c r="M684" s="180">
        <f t="shared" si="20"/>
        <v>253890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3451194</v>
      </c>
      <c r="D686" s="180">
        <f>(D615/D612)*U76</f>
        <v>39461.300386029223</v>
      </c>
      <c r="E686" s="180">
        <f>(E623/E612)*SUM(C686:D686)</f>
        <v>299699.89755501266</v>
      </c>
      <c r="F686" s="180">
        <f>(F624/F612)*U64</f>
        <v>0</v>
      </c>
      <c r="G686" s="180">
        <f>(G625/G612)*U77</f>
        <v>0</v>
      </c>
      <c r="H686" s="180">
        <f>(H628/H612)*U60</f>
        <v>83722.304092030943</v>
      </c>
      <c r="I686" s="180">
        <f>(I629/I612)*U78</f>
        <v>13840.710537791119</v>
      </c>
      <c r="J686" s="180">
        <f>(J630/J612)*U79</f>
        <v>522.40809929057912</v>
      </c>
      <c r="K686" s="180">
        <f>(K644/K612)*U75</f>
        <v>805480.89170230948</v>
      </c>
      <c r="L686" s="180">
        <f>(L647/L612)*U80</f>
        <v>0</v>
      </c>
      <c r="M686" s="180">
        <f t="shared" si="20"/>
        <v>1242728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159212</v>
      </c>
      <c r="D688" s="180">
        <f>(D615/D612)*W76</f>
        <v>5442.0964663478771</v>
      </c>
      <c r="E688" s="180">
        <f>(E623/E612)*SUM(C688:D688)</f>
        <v>14136.834375345052</v>
      </c>
      <c r="F688" s="180">
        <f>(F624/F612)*W64</f>
        <v>0</v>
      </c>
      <c r="G688" s="180">
        <f>(G625/G612)*W77</f>
        <v>0</v>
      </c>
      <c r="H688" s="180">
        <f>(H628/H612)*W60</f>
        <v>3080.9807905867383</v>
      </c>
      <c r="I688" s="180">
        <f>(I629/I612)*W78</f>
        <v>1905.6050740437049</v>
      </c>
      <c r="J688" s="180">
        <f>(J630/J612)*W79</f>
        <v>953.69850684442929</v>
      </c>
      <c r="K688" s="180">
        <f>(K644/K612)*W75</f>
        <v>53403.603457880337</v>
      </c>
      <c r="L688" s="180">
        <f>(L647/L612)*W80</f>
        <v>0</v>
      </c>
      <c r="M688" s="180">
        <f t="shared" si="20"/>
        <v>78923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2190970</v>
      </c>
      <c r="D689" s="180">
        <f>(D615/D612)*X76</f>
        <v>75017.957567503923</v>
      </c>
      <c r="E689" s="180">
        <f>(E623/E612)*SUM(C689:D689)</f>
        <v>194552.68432513814</v>
      </c>
      <c r="F689" s="180">
        <f>(F624/F612)*X64</f>
        <v>0</v>
      </c>
      <c r="G689" s="180">
        <f>(G625/G612)*X77</f>
        <v>0</v>
      </c>
      <c r="H689" s="180">
        <f>(H628/H612)*X60</f>
        <v>42571.117184715891</v>
      </c>
      <c r="I689" s="180">
        <f>(I629/I612)*X78</f>
        <v>26310.722688989397</v>
      </c>
      <c r="J689" s="180">
        <f>(J630/J612)*X79</f>
        <v>13119.428981893352</v>
      </c>
      <c r="K689" s="180">
        <f>(K644/K612)*X75</f>
        <v>734866.41492146719</v>
      </c>
      <c r="L689" s="180">
        <f>(L647/L612)*X80</f>
        <v>0</v>
      </c>
      <c r="M689" s="180">
        <f t="shared" si="20"/>
        <v>1086438</v>
      </c>
      <c r="N689" s="198" t="s">
        <v>699</v>
      </c>
    </row>
    <row r="690" spans="1:14" ht="12.65" customHeight="1" x14ac:dyDescent="0.35">
      <c r="A690" s="196">
        <v>7140</v>
      </c>
      <c r="B690" s="198" t="s">
        <v>987</v>
      </c>
      <c r="C690" s="180">
        <f>Y71</f>
        <v>1392680</v>
      </c>
      <c r="D690" s="180">
        <f>(D615/D612)*Y76</f>
        <v>47685.4551356222</v>
      </c>
      <c r="E690" s="180">
        <f>(E623/E612)*SUM(C690:D690)</f>
        <v>123666.57323574352</v>
      </c>
      <c r="F690" s="180">
        <f>(F624/F612)*Y64</f>
        <v>0</v>
      </c>
      <c r="G690" s="180">
        <f>(G625/G612)*Y77</f>
        <v>0</v>
      </c>
      <c r="H690" s="180">
        <f>(H628/H612)*Y60</f>
        <v>27059.048682544399</v>
      </c>
      <c r="I690" s="180">
        <f>(I629/I612)*Y78</f>
        <v>16715.833982839515</v>
      </c>
      <c r="J690" s="180">
        <f>(J630/J612)*Y79</f>
        <v>8338.7874221063084</v>
      </c>
      <c r="K690" s="180">
        <f>(K644/K612)*Y75</f>
        <v>467114.76275918155</v>
      </c>
      <c r="L690" s="180">
        <f>(L647/L612)*Y80</f>
        <v>0</v>
      </c>
      <c r="M690" s="180">
        <f t="shared" si="20"/>
        <v>690580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1592731</v>
      </c>
      <c r="D693" s="180">
        <f>(D615/D612)*AB76</f>
        <v>9688.3959513009286</v>
      </c>
      <c r="E693" s="180">
        <f>(E623/E612)*SUM(C693:D693)</f>
        <v>137580.16403214037</v>
      </c>
      <c r="F693" s="180">
        <f>(F624/F612)*AB64</f>
        <v>0</v>
      </c>
      <c r="G693" s="180">
        <f>(G625/G612)*AB77</f>
        <v>0</v>
      </c>
      <c r="H693" s="180">
        <f>(H628/H612)*AB60</f>
        <v>8626.7462136428676</v>
      </c>
      <c r="I693" s="180">
        <f>(I629/I612)*AB78</f>
        <v>3410.0301324992615</v>
      </c>
      <c r="J693" s="180">
        <f>(J630/J612)*AB79</f>
        <v>0</v>
      </c>
      <c r="K693" s="180">
        <f>(K644/K612)*AB75</f>
        <v>286390.96571546647</v>
      </c>
      <c r="L693" s="180">
        <f>(L647/L612)*AB80</f>
        <v>0</v>
      </c>
      <c r="M693" s="180">
        <f t="shared" si="20"/>
        <v>445696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856465</v>
      </c>
      <c r="D694" s="180">
        <f>(D615/D612)*AC76</f>
        <v>21963.618025619235</v>
      </c>
      <c r="E694" s="180">
        <f>(E623/E612)*SUM(C694:D694)</f>
        <v>75419.926683266356</v>
      </c>
      <c r="F694" s="180">
        <f>(F624/F612)*AC64</f>
        <v>0</v>
      </c>
      <c r="G694" s="180">
        <f>(G625/G612)*AC77</f>
        <v>0</v>
      </c>
      <c r="H694" s="180">
        <f>(H628/H612)*AC60</f>
        <v>45571.724563374286</v>
      </c>
      <c r="I694" s="180">
        <f>(I629/I612)*AC78</f>
        <v>7689.2836321061777</v>
      </c>
      <c r="J694" s="180">
        <f>(J630/J612)*AC79</f>
        <v>502.66593274762118</v>
      </c>
      <c r="K694" s="180">
        <f>(K644/K612)*AC75</f>
        <v>132612.10184781652</v>
      </c>
      <c r="L694" s="180">
        <f>(L647/L612)*AC80</f>
        <v>0</v>
      </c>
      <c r="M694" s="180">
        <f t="shared" si="20"/>
        <v>283759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1732030</v>
      </c>
      <c r="D696" s="180">
        <f>(D615/D612)*AE76</f>
        <v>78922.600772058446</v>
      </c>
      <c r="E696" s="180">
        <f>(E623/E612)*SUM(C696:D696)</f>
        <v>155484.36102193996</v>
      </c>
      <c r="F696" s="180">
        <f>(F624/F612)*AE64</f>
        <v>0</v>
      </c>
      <c r="G696" s="180">
        <f>(G625/G612)*AE77</f>
        <v>0</v>
      </c>
      <c r="H696" s="180">
        <f>(H628/H612)*AE60</f>
        <v>0</v>
      </c>
      <c r="I696" s="180">
        <f>(I629/I612)*AE78</f>
        <v>27681.421075582239</v>
      </c>
      <c r="J696" s="180">
        <f>(J630/J612)*AE79</f>
        <v>15761.84204225849</v>
      </c>
      <c r="K696" s="180">
        <f>(K644/K612)*AE75</f>
        <v>279972.81812822429</v>
      </c>
      <c r="L696" s="180">
        <f>(L647/L612)*AE80</f>
        <v>0</v>
      </c>
      <c r="M696" s="180">
        <f t="shared" si="20"/>
        <v>557823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4420822</v>
      </c>
      <c r="D698" s="180">
        <f>(D615/D612)*AG76</f>
        <v>75725.674148329432</v>
      </c>
      <c r="E698" s="180">
        <f>(E623/E612)*SUM(C698:D698)</f>
        <v>386063.57870525139</v>
      </c>
      <c r="F698" s="180">
        <f>(F624/F612)*AG64</f>
        <v>0</v>
      </c>
      <c r="G698" s="180">
        <f>(G625/G612)*AG77</f>
        <v>0</v>
      </c>
      <c r="H698" s="180">
        <f>(H628/H612)*AG60</f>
        <v>101243.70789241117</v>
      </c>
      <c r="I698" s="180">
        <f>(I629/I612)*AG78</f>
        <v>26544.744364749153</v>
      </c>
      <c r="J698" s="180">
        <f>(J630/J612)*AG79</f>
        <v>42928.581833564218</v>
      </c>
      <c r="K698" s="180">
        <f>(K644/K612)*AG75</f>
        <v>764294.51166215376</v>
      </c>
      <c r="L698" s="180">
        <f>(L647/L612)*AG80</f>
        <v>265717.22820661275</v>
      </c>
      <c r="M698" s="180">
        <f t="shared" si="20"/>
        <v>1662518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1371324</v>
      </c>
      <c r="D699" s="180">
        <f>(D615/D612)*AH76</f>
        <v>32481.750657888002</v>
      </c>
      <c r="E699" s="180">
        <f>(E623/E612)*SUM(C699:D699)</f>
        <v>120527.63835282717</v>
      </c>
      <c r="F699" s="180">
        <f>(F624/F612)*AH64</f>
        <v>0</v>
      </c>
      <c r="G699" s="180">
        <f>(G625/G612)*AH77</f>
        <v>0</v>
      </c>
      <c r="H699" s="180">
        <f>(H628/H612)*AH60</f>
        <v>69067.551983761849</v>
      </c>
      <c r="I699" s="180">
        <f>(I629/I612)*AH78</f>
        <v>11400.198776296551</v>
      </c>
      <c r="J699" s="180">
        <f>(J630/J612)*AH79</f>
        <v>4334.1648702770717</v>
      </c>
      <c r="K699" s="180">
        <f>(K644/K612)*AH75</f>
        <v>112086.73741009399</v>
      </c>
      <c r="L699" s="180">
        <f>(L647/L612)*AH80</f>
        <v>0</v>
      </c>
      <c r="M699" s="180">
        <f t="shared" si="20"/>
        <v>349898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356748</v>
      </c>
      <c r="D700" s="180">
        <f>(D615/D612)*AI76</f>
        <v>15642.976838246588</v>
      </c>
      <c r="E700" s="180">
        <f>(E623/E612)*SUM(C700:D700)</f>
        <v>31972.660719748295</v>
      </c>
      <c r="F700" s="180">
        <f>(F624/F612)*AI64</f>
        <v>0</v>
      </c>
      <c r="G700" s="180">
        <f>(G625/G612)*AI77</f>
        <v>0</v>
      </c>
      <c r="H700" s="180">
        <f>(H628/H612)*AI60</f>
        <v>9028.6132732846163</v>
      </c>
      <c r="I700" s="180">
        <f>(I629/I612)*AI78</f>
        <v>5482.7935463713611</v>
      </c>
      <c r="J700" s="180">
        <f>(J630/J612)*AI79</f>
        <v>1831.4656039082511</v>
      </c>
      <c r="K700" s="180">
        <f>(K644/K612)*AI75</f>
        <v>67650.734926372446</v>
      </c>
      <c r="L700" s="180">
        <f>(L647/L612)*AI80</f>
        <v>42258.945684581638</v>
      </c>
      <c r="M700" s="180">
        <f t="shared" si="20"/>
        <v>173868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14833802</v>
      </c>
      <c r="D701" s="180">
        <f>(D615/D612)*AJ76</f>
        <v>766261.82487379818</v>
      </c>
      <c r="E701" s="180">
        <f>(E623/E612)*SUM(C701:D701)</f>
        <v>1339386.7706299426</v>
      </c>
      <c r="F701" s="180">
        <f>(F624/F612)*AJ64</f>
        <v>0</v>
      </c>
      <c r="G701" s="180">
        <f>(G625/G612)*AJ77</f>
        <v>0</v>
      </c>
      <c r="H701" s="180">
        <f>(H628/H612)*AJ60</f>
        <v>217838.73746313713</v>
      </c>
      <c r="I701" s="180">
        <f>(I629/I612)*AJ78</f>
        <v>268690.31544016238</v>
      </c>
      <c r="J701" s="180">
        <f>(J630/J612)*AJ79</f>
        <v>2698.6023036027882</v>
      </c>
      <c r="K701" s="180">
        <f>(K644/K612)*AJ75</f>
        <v>527723.09801657323</v>
      </c>
      <c r="L701" s="180">
        <f>(L647/L612)*AJ80</f>
        <v>61695.5527501904</v>
      </c>
      <c r="M701" s="180">
        <f t="shared" si="20"/>
        <v>3184295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291353</v>
      </c>
      <c r="D702" s="180">
        <f>(D615/D612)*AK76</f>
        <v>16399.501459129027</v>
      </c>
      <c r="E702" s="180">
        <f>(E623/E612)*SUM(C702:D702)</f>
        <v>26422.945041121598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5750.2468900967933</v>
      </c>
      <c r="J702" s="180">
        <f>(J630/J612)*AK79</f>
        <v>1804.1302963872324</v>
      </c>
      <c r="K702" s="180">
        <f>(K644/K612)*AK75</f>
        <v>32035.083825376623</v>
      </c>
      <c r="L702" s="180">
        <f>(L647/L612)*AK80</f>
        <v>0</v>
      </c>
      <c r="M702" s="180">
        <f t="shared" si="20"/>
        <v>82412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243505</v>
      </c>
      <c r="D703" s="180">
        <f>(D615/D612)*AL76</f>
        <v>9615.1838912155308</v>
      </c>
      <c r="E703" s="180">
        <f>(E623/E612)*SUM(C703:D703)</f>
        <v>21732.335808956544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3376.5984645335825</v>
      </c>
      <c r="J703" s="180">
        <f>(J630/J612)*AL79</f>
        <v>2489.0316126083117</v>
      </c>
      <c r="K703" s="180">
        <f>(K644/K612)*AL75</f>
        <v>44223.884221093635</v>
      </c>
      <c r="L703" s="180">
        <f>(L647/L612)*AL80</f>
        <v>0</v>
      </c>
      <c r="M703" s="180">
        <f t="shared" si="20"/>
        <v>81437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5" customHeight="1" x14ac:dyDescent="0.35">
      <c r="A706" s="196">
        <v>7350</v>
      </c>
      <c r="B706" s="198" t="s">
        <v>727</v>
      </c>
      <c r="C706" s="180">
        <f>AO71</f>
        <v>529194</v>
      </c>
      <c r="D706" s="180">
        <f>(D615/D612)*AO76</f>
        <v>26771.209971226999</v>
      </c>
      <c r="E706" s="180">
        <f>(E623/E612)*SUM(C706:D706)</f>
        <v>47733.935932918132</v>
      </c>
      <c r="F706" s="180">
        <f>(F624/F612)*AO64</f>
        <v>0</v>
      </c>
      <c r="G706" s="180">
        <f>(G625/G612)*AO77</f>
        <v>129750.52338354893</v>
      </c>
      <c r="H706" s="180">
        <f>(H628/H612)*AO60</f>
        <v>11868.473828086306</v>
      </c>
      <c r="I706" s="180">
        <f>(I629/I612)*AO78</f>
        <v>9394.2986983558076</v>
      </c>
      <c r="J706" s="180">
        <f>(J630/J612)*AO79</f>
        <v>15227.284917403014</v>
      </c>
      <c r="K706" s="180">
        <f>(K644/K612)*AO75</f>
        <v>77857.625503647767</v>
      </c>
      <c r="L706" s="180">
        <f>(L647/L612)*AO80</f>
        <v>48528.81893155221</v>
      </c>
      <c r="M706" s="180">
        <f t="shared" si="20"/>
        <v>367132</v>
      </c>
      <c r="N706" s="198" t="s">
        <v>728</v>
      </c>
    </row>
    <row r="707" spans="1:15" ht="12.65" customHeight="1" x14ac:dyDescent="0.35">
      <c r="A707" s="196">
        <v>7380</v>
      </c>
      <c r="B707" s="198" t="s">
        <v>729</v>
      </c>
      <c r="C707" s="180">
        <f>AP71</f>
        <v>540776</v>
      </c>
      <c r="D707" s="180">
        <f>(D615/D612)*AP76</f>
        <v>53737.652102681728</v>
      </c>
      <c r="E707" s="180">
        <f>(E623/E612)*SUM(C707:D707)</f>
        <v>51043.619405939571</v>
      </c>
      <c r="F707" s="180">
        <f>(F624/F612)*AP64</f>
        <v>0</v>
      </c>
      <c r="G707" s="180">
        <f>(G625/G612)*AP77</f>
        <v>0</v>
      </c>
      <c r="H707" s="180">
        <f>(H628/H612)*AP60</f>
        <v>6831.7400139097244</v>
      </c>
      <c r="I707" s="180">
        <f>(I629/I612)*AP78</f>
        <v>0</v>
      </c>
      <c r="J707" s="180">
        <f>(J630/J612)*AP79</f>
        <v>0</v>
      </c>
      <c r="K707" s="180">
        <f>(K644/K612)*AP75</f>
        <v>12754.235159333308</v>
      </c>
      <c r="L707" s="180">
        <f>(L647/L612)*AP80</f>
        <v>8025.4377561223291</v>
      </c>
      <c r="M707" s="180">
        <f t="shared" si="20"/>
        <v>132393</v>
      </c>
      <c r="N707" s="198" t="s">
        <v>730</v>
      </c>
    </row>
    <row r="708" spans="1:15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5" customHeight="1" x14ac:dyDescent="0.35">
      <c r="C715" s="180">
        <f>SUM(C614:C647)+SUM(C668:C713)</f>
        <v>62921627</v>
      </c>
      <c r="D715" s="180">
        <f>SUM(D616:D647)+SUM(D668:D713)</f>
        <v>2383321</v>
      </c>
      <c r="E715" s="180">
        <f>SUM(E624:E647)+SUM(E668:E713)</f>
        <v>4975155.1453906894</v>
      </c>
      <c r="F715" s="180">
        <f>SUM(F625:F648)+SUM(F668:F713)</f>
        <v>0</v>
      </c>
      <c r="G715" s="180">
        <f>SUM(G626:G647)+SUM(G668:G713)</f>
        <v>980371.77755911183</v>
      </c>
      <c r="H715" s="180">
        <f>SUM(H629:H647)+SUM(H668:H713)</f>
        <v>1112635.9324614543</v>
      </c>
      <c r="I715" s="180">
        <f>SUM(I630:I647)+SUM(I668:I713)</f>
        <v>619187.92239234142</v>
      </c>
      <c r="J715" s="180">
        <f>SUM(J631:J647)+SUM(J668:J713)</f>
        <v>275706.94891338563</v>
      </c>
      <c r="K715" s="180">
        <f>SUM(K668:K713)</f>
        <v>6607187.6396202426</v>
      </c>
      <c r="L715" s="180">
        <f>SUM(L668:L713)</f>
        <v>1374607.0106658274</v>
      </c>
      <c r="M715" s="180">
        <f>SUM(M668:M713)</f>
        <v>16595728</v>
      </c>
      <c r="N715" s="198" t="s">
        <v>742</v>
      </c>
    </row>
    <row r="716" spans="1:15" ht="12.65" customHeight="1" x14ac:dyDescent="0.35">
      <c r="C716" s="180">
        <f>CE71</f>
        <v>62921627</v>
      </c>
      <c r="D716" s="180">
        <f>D615</f>
        <v>2383321</v>
      </c>
      <c r="E716" s="180">
        <f>E623</f>
        <v>4975155.1453906884</v>
      </c>
      <c r="F716" s="180">
        <f>F624</f>
        <v>0</v>
      </c>
      <c r="G716" s="180">
        <f>G625</f>
        <v>980371.77755911183</v>
      </c>
      <c r="H716" s="180">
        <f>H628</f>
        <v>1112635.9324614538</v>
      </c>
      <c r="I716" s="180">
        <f>I629</f>
        <v>619187.92239234142</v>
      </c>
      <c r="J716" s="180">
        <f>J630</f>
        <v>275706.94891338557</v>
      </c>
      <c r="K716" s="180">
        <f>K644</f>
        <v>6607187.6396202436</v>
      </c>
      <c r="L716" s="180">
        <f>L647</f>
        <v>1374607.0106658277</v>
      </c>
      <c r="M716" s="180">
        <f>C648</f>
        <v>16595728</v>
      </c>
      <c r="N716" s="198" t="s">
        <v>743</v>
      </c>
    </row>
    <row r="717" spans="1:15" ht="12.65" customHeight="1" x14ac:dyDescent="0.35">
      <c r="O717" s="198"/>
    </row>
    <row r="718" spans="1:15" ht="12.65" customHeight="1" x14ac:dyDescent="0.35">
      <c r="O718" s="198"/>
    </row>
    <row r="719" spans="1:15" ht="12.65" customHeight="1" x14ac:dyDescent="0.35">
      <c r="O719" s="198"/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="1" gridLinesSet="0"/>
  <pageMargins left="0.25" right="0.25" top="0.5" bottom="0.5" header="0.5" footer="0.5"/>
  <pageSetup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E960-8C5E-4F65-8B50-79FEC5EE5244}">
  <sheetPr syncVertical="1" syncRef="W1" transitionEvaluation="1" transitionEntry="1">
    <pageSetUpPr autoPageBreaks="0"/>
  </sheetPr>
  <dimension ref="A1:CF676"/>
  <sheetViews>
    <sheetView tabSelected="1" topLeftCell="W1" workbookViewId="0">
      <selection activeCell="AL17" sqref="AL17"/>
    </sheetView>
  </sheetViews>
  <sheetFormatPr defaultColWidth="11.75" defaultRowHeight="12.65" customHeight="1" x14ac:dyDescent="0.35"/>
  <cols>
    <col min="1" max="1" width="26.3125" style="284" customWidth="1"/>
    <col min="2" max="2" width="15.5625" style="284" customWidth="1"/>
    <col min="3" max="3" width="14.75" style="284" customWidth="1"/>
    <col min="4" max="4" width="13.25" style="284" customWidth="1"/>
    <col min="5" max="16384" width="11.75" style="284"/>
  </cols>
  <sheetData>
    <row r="1" spans="1:83" ht="12" customHeight="1" x14ac:dyDescent="0.35">
      <c r="A1" s="279"/>
      <c r="B1" s="279"/>
      <c r="C1" s="286" t="s">
        <v>10</v>
      </c>
      <c r="D1" s="274" t="s">
        <v>11</v>
      </c>
      <c r="E1" s="274" t="s">
        <v>12</v>
      </c>
      <c r="F1" s="274" t="s">
        <v>13</v>
      </c>
      <c r="G1" s="274" t="s">
        <v>14</v>
      </c>
      <c r="H1" s="274" t="s">
        <v>15</v>
      </c>
      <c r="I1" s="274" t="s">
        <v>16</v>
      </c>
      <c r="J1" s="274" t="s">
        <v>17</v>
      </c>
      <c r="K1" s="274" t="s">
        <v>18</v>
      </c>
      <c r="L1" s="274" t="s">
        <v>19</v>
      </c>
      <c r="M1" s="274" t="s">
        <v>20</v>
      </c>
      <c r="N1" s="274" t="s">
        <v>21</v>
      </c>
      <c r="O1" s="274" t="s">
        <v>22</v>
      </c>
      <c r="P1" s="274" t="s">
        <v>23</v>
      </c>
      <c r="Q1" s="274" t="s">
        <v>24</v>
      </c>
      <c r="R1" s="274" t="s">
        <v>25</v>
      </c>
      <c r="S1" s="274" t="s">
        <v>26</v>
      </c>
      <c r="T1" s="274" t="s">
        <v>27</v>
      </c>
      <c r="U1" s="274" t="s">
        <v>28</v>
      </c>
      <c r="V1" s="274" t="s">
        <v>29</v>
      </c>
      <c r="W1" s="274" t="s">
        <v>30</v>
      </c>
      <c r="X1" s="274" t="s">
        <v>31</v>
      </c>
      <c r="Y1" s="274" t="s">
        <v>32</v>
      </c>
      <c r="Z1" s="274" t="s">
        <v>33</v>
      </c>
      <c r="AA1" s="274" t="s">
        <v>34</v>
      </c>
      <c r="AB1" s="274" t="s">
        <v>35</v>
      </c>
      <c r="AC1" s="274" t="s">
        <v>36</v>
      </c>
      <c r="AD1" s="274" t="s">
        <v>37</v>
      </c>
      <c r="AE1" s="274" t="s">
        <v>38</v>
      </c>
      <c r="AF1" s="274" t="s">
        <v>39</v>
      </c>
      <c r="AG1" s="274" t="s">
        <v>40</v>
      </c>
      <c r="AH1" s="274" t="s">
        <v>41</v>
      </c>
      <c r="AI1" s="274" t="s">
        <v>42</v>
      </c>
      <c r="AJ1" s="274" t="s">
        <v>43</v>
      </c>
      <c r="AK1" s="274" t="s">
        <v>44</v>
      </c>
      <c r="AL1" s="274" t="s">
        <v>45</v>
      </c>
      <c r="AM1" s="274" t="s">
        <v>46</v>
      </c>
      <c r="AN1" s="274" t="s">
        <v>47</v>
      </c>
      <c r="AO1" s="274" t="s">
        <v>48</v>
      </c>
      <c r="AP1" s="274" t="s">
        <v>49</v>
      </c>
      <c r="AQ1" s="274" t="s">
        <v>50</v>
      </c>
      <c r="AR1" s="274" t="s">
        <v>51</v>
      </c>
      <c r="AS1" s="274" t="s">
        <v>52</v>
      </c>
      <c r="AT1" s="274" t="s">
        <v>53</v>
      </c>
      <c r="AU1" s="274" t="s">
        <v>54</v>
      </c>
      <c r="AV1" s="274" t="s">
        <v>55</v>
      </c>
      <c r="AW1" s="274" t="s">
        <v>56</v>
      </c>
      <c r="AX1" s="274" t="s">
        <v>57</v>
      </c>
      <c r="AY1" s="274" t="s">
        <v>58</v>
      </c>
      <c r="AZ1" s="274" t="s">
        <v>59</v>
      </c>
      <c r="BA1" s="274" t="s">
        <v>60</v>
      </c>
      <c r="BB1" s="274" t="s">
        <v>61</v>
      </c>
      <c r="BC1" s="274" t="s">
        <v>62</v>
      </c>
      <c r="BD1" s="274" t="s">
        <v>63</v>
      </c>
      <c r="BE1" s="274" t="s">
        <v>64</v>
      </c>
      <c r="BF1" s="274" t="s">
        <v>65</v>
      </c>
      <c r="BG1" s="274" t="s">
        <v>66</v>
      </c>
      <c r="BH1" s="274" t="s">
        <v>67</v>
      </c>
      <c r="BI1" s="274" t="s">
        <v>68</v>
      </c>
      <c r="BJ1" s="274" t="s">
        <v>69</v>
      </c>
      <c r="BK1" s="274" t="s">
        <v>70</v>
      </c>
      <c r="BL1" s="274" t="s">
        <v>71</v>
      </c>
      <c r="BM1" s="274" t="s">
        <v>72</v>
      </c>
      <c r="BN1" s="274" t="s">
        <v>73</v>
      </c>
      <c r="BO1" s="274" t="s">
        <v>74</v>
      </c>
      <c r="BP1" s="274" t="s">
        <v>75</v>
      </c>
      <c r="BQ1" s="274" t="s">
        <v>76</v>
      </c>
      <c r="BR1" s="274" t="s">
        <v>77</v>
      </c>
      <c r="BS1" s="274" t="s">
        <v>78</v>
      </c>
      <c r="BT1" s="274" t="s">
        <v>79</v>
      </c>
      <c r="BU1" s="274" t="s">
        <v>80</v>
      </c>
      <c r="BV1" s="274" t="s">
        <v>81</v>
      </c>
      <c r="BW1" s="274" t="s">
        <v>82</v>
      </c>
      <c r="BX1" s="274" t="s">
        <v>83</v>
      </c>
      <c r="BY1" s="274" t="s">
        <v>84</v>
      </c>
      <c r="BZ1" s="274" t="s">
        <v>85</v>
      </c>
      <c r="CA1" s="274" t="s">
        <v>86</v>
      </c>
      <c r="CB1" s="274" t="s">
        <v>87</v>
      </c>
      <c r="CC1" s="274" t="s">
        <v>88</v>
      </c>
      <c r="CD1" s="274" t="s">
        <v>89</v>
      </c>
      <c r="CE1" s="274" t="s">
        <v>90</v>
      </c>
    </row>
    <row r="2" spans="1:83" ht="12" customHeight="1" x14ac:dyDescent="0.35">
      <c r="A2" s="279"/>
      <c r="B2" s="320" t="s">
        <v>91</v>
      </c>
      <c r="C2" s="286" t="s">
        <v>92</v>
      </c>
      <c r="D2" s="274" t="s">
        <v>93</v>
      </c>
      <c r="E2" s="274" t="s">
        <v>94</v>
      </c>
      <c r="F2" s="274" t="s">
        <v>95</v>
      </c>
      <c r="G2" s="274" t="s">
        <v>96</v>
      </c>
      <c r="H2" s="274" t="s">
        <v>97</v>
      </c>
      <c r="I2" s="274" t="s">
        <v>98</v>
      </c>
      <c r="J2" s="274" t="s">
        <v>99</v>
      </c>
      <c r="K2" s="274" t="s">
        <v>100</v>
      </c>
      <c r="L2" s="274" t="s">
        <v>101</v>
      </c>
      <c r="M2" s="274" t="s">
        <v>102</v>
      </c>
      <c r="N2" s="274" t="s">
        <v>103</v>
      </c>
      <c r="O2" s="274" t="s">
        <v>104</v>
      </c>
      <c r="P2" s="274" t="s">
        <v>105</v>
      </c>
      <c r="Q2" s="274" t="s">
        <v>106</v>
      </c>
      <c r="R2" s="274" t="s">
        <v>107</v>
      </c>
      <c r="S2" s="274" t="s">
        <v>108</v>
      </c>
      <c r="T2" s="274" t="s">
        <v>931</v>
      </c>
      <c r="U2" s="274" t="s">
        <v>109</v>
      </c>
      <c r="V2" s="274" t="s">
        <v>110</v>
      </c>
      <c r="W2" s="274" t="s">
        <v>111</v>
      </c>
      <c r="X2" s="274" t="s">
        <v>112</v>
      </c>
      <c r="Y2" s="274" t="s">
        <v>113</v>
      </c>
      <c r="Z2" s="274" t="s">
        <v>113</v>
      </c>
      <c r="AA2" s="274" t="s">
        <v>114</v>
      </c>
      <c r="AB2" s="274" t="s">
        <v>115</v>
      </c>
      <c r="AC2" s="274" t="s">
        <v>116</v>
      </c>
      <c r="AD2" s="274" t="s">
        <v>117</v>
      </c>
      <c r="AE2" s="274" t="s">
        <v>96</v>
      </c>
      <c r="AF2" s="274" t="s">
        <v>97</v>
      </c>
      <c r="AG2" s="274" t="s">
        <v>118</v>
      </c>
      <c r="AH2" s="274" t="s">
        <v>119</v>
      </c>
      <c r="AI2" s="274" t="s">
        <v>120</v>
      </c>
      <c r="AJ2" s="274" t="s">
        <v>121</v>
      </c>
      <c r="AK2" s="274" t="s">
        <v>122</v>
      </c>
      <c r="AL2" s="274" t="s">
        <v>123</v>
      </c>
      <c r="AM2" s="274" t="s">
        <v>124</v>
      </c>
      <c r="AN2" s="274" t="s">
        <v>110</v>
      </c>
      <c r="AO2" s="274" t="s">
        <v>125</v>
      </c>
      <c r="AP2" s="274" t="s">
        <v>126</v>
      </c>
      <c r="AQ2" s="274" t="s">
        <v>127</v>
      </c>
      <c r="AR2" s="274" t="s">
        <v>128</v>
      </c>
      <c r="AS2" s="274" t="s">
        <v>129</v>
      </c>
      <c r="AT2" s="274" t="s">
        <v>130</v>
      </c>
      <c r="AU2" s="274" t="s">
        <v>131</v>
      </c>
      <c r="AV2" s="274" t="s">
        <v>132</v>
      </c>
      <c r="AW2" s="274" t="s">
        <v>133</v>
      </c>
      <c r="AX2" s="274" t="s">
        <v>134</v>
      </c>
      <c r="AY2" s="274" t="s">
        <v>135</v>
      </c>
      <c r="AZ2" s="274" t="s">
        <v>136</v>
      </c>
      <c r="BA2" s="274" t="s">
        <v>137</v>
      </c>
      <c r="BB2" s="274" t="s">
        <v>138</v>
      </c>
      <c r="BC2" s="274" t="s">
        <v>108</v>
      </c>
      <c r="BD2" s="274" t="s">
        <v>139</v>
      </c>
      <c r="BE2" s="274" t="s">
        <v>140</v>
      </c>
      <c r="BF2" s="274" t="s">
        <v>141</v>
      </c>
      <c r="BG2" s="274" t="s">
        <v>142</v>
      </c>
      <c r="BH2" s="274" t="s">
        <v>143</v>
      </c>
      <c r="BI2" s="274" t="s">
        <v>144</v>
      </c>
      <c r="BJ2" s="274" t="s">
        <v>145</v>
      </c>
      <c r="BK2" s="274" t="s">
        <v>146</v>
      </c>
      <c r="BL2" s="274" t="s">
        <v>147</v>
      </c>
      <c r="BM2" s="274" t="s">
        <v>132</v>
      </c>
      <c r="BN2" s="274" t="s">
        <v>148</v>
      </c>
      <c r="BO2" s="274" t="s">
        <v>149</v>
      </c>
      <c r="BP2" s="274" t="s">
        <v>150</v>
      </c>
      <c r="BQ2" s="274" t="s">
        <v>151</v>
      </c>
      <c r="BR2" s="274" t="s">
        <v>152</v>
      </c>
      <c r="BS2" s="274" t="s">
        <v>153</v>
      </c>
      <c r="BT2" s="274" t="s">
        <v>154</v>
      </c>
      <c r="BU2" s="274" t="s">
        <v>155</v>
      </c>
      <c r="BV2" s="274" t="s">
        <v>155</v>
      </c>
      <c r="BW2" s="274" t="s">
        <v>155</v>
      </c>
      <c r="BX2" s="274" t="s">
        <v>156</v>
      </c>
      <c r="BY2" s="274" t="s">
        <v>157</v>
      </c>
      <c r="BZ2" s="274" t="s">
        <v>158</v>
      </c>
      <c r="CA2" s="274" t="s">
        <v>159</v>
      </c>
      <c r="CB2" s="274" t="s">
        <v>160</v>
      </c>
      <c r="CC2" s="274" t="s">
        <v>132</v>
      </c>
      <c r="CD2" s="274"/>
      <c r="CE2" s="274" t="s">
        <v>161</v>
      </c>
    </row>
    <row r="3" spans="1:83" ht="12.65" customHeight="1" x14ac:dyDescent="0.35">
      <c r="A3" s="279" t="s">
        <v>3</v>
      </c>
      <c r="B3" s="274" t="s">
        <v>162</v>
      </c>
      <c r="C3" s="286" t="s">
        <v>163</v>
      </c>
      <c r="D3" s="274" t="s">
        <v>163</v>
      </c>
      <c r="E3" s="274" t="s">
        <v>163</v>
      </c>
      <c r="F3" s="274" t="s">
        <v>164</v>
      </c>
      <c r="G3" s="274" t="s">
        <v>165</v>
      </c>
      <c r="H3" s="274" t="s">
        <v>163</v>
      </c>
      <c r="I3" s="274" t="s">
        <v>166</v>
      </c>
      <c r="J3" s="274"/>
      <c r="K3" s="274" t="s">
        <v>157</v>
      </c>
      <c r="L3" s="274" t="s">
        <v>167</v>
      </c>
      <c r="M3" s="274" t="s">
        <v>168</v>
      </c>
      <c r="N3" s="274" t="s">
        <v>169</v>
      </c>
      <c r="O3" s="274" t="s">
        <v>170</v>
      </c>
      <c r="P3" s="274" t="s">
        <v>169</v>
      </c>
      <c r="Q3" s="274" t="s">
        <v>171</v>
      </c>
      <c r="R3" s="274"/>
      <c r="S3" s="274" t="s">
        <v>169</v>
      </c>
      <c r="T3" s="274" t="s">
        <v>172</v>
      </c>
      <c r="U3" s="274"/>
      <c r="V3" s="274" t="s">
        <v>173</v>
      </c>
      <c r="W3" s="274" t="s">
        <v>174</v>
      </c>
      <c r="X3" s="274" t="s">
        <v>175</v>
      </c>
      <c r="Y3" s="274" t="s">
        <v>176</v>
      </c>
      <c r="Z3" s="274" t="s">
        <v>177</v>
      </c>
      <c r="AA3" s="274" t="s">
        <v>178</v>
      </c>
      <c r="AB3" s="274"/>
      <c r="AC3" s="274" t="s">
        <v>172</v>
      </c>
      <c r="AD3" s="274"/>
      <c r="AE3" s="274" t="s">
        <v>172</v>
      </c>
      <c r="AF3" s="274" t="s">
        <v>179</v>
      </c>
      <c r="AG3" s="274" t="s">
        <v>171</v>
      </c>
      <c r="AH3" s="274"/>
      <c r="AI3" s="274" t="s">
        <v>180</v>
      </c>
      <c r="AJ3" s="274"/>
      <c r="AK3" s="274" t="s">
        <v>172</v>
      </c>
      <c r="AL3" s="274" t="s">
        <v>172</v>
      </c>
      <c r="AM3" s="274" t="s">
        <v>172</v>
      </c>
      <c r="AN3" s="274" t="s">
        <v>181</v>
      </c>
      <c r="AO3" s="274" t="s">
        <v>182</v>
      </c>
      <c r="AP3" s="274" t="s">
        <v>121</v>
      </c>
      <c r="AQ3" s="274" t="s">
        <v>183</v>
      </c>
      <c r="AR3" s="274" t="s">
        <v>169</v>
      </c>
      <c r="AS3" s="274"/>
      <c r="AT3" s="274" t="s">
        <v>184</v>
      </c>
      <c r="AU3" s="274" t="s">
        <v>185</v>
      </c>
      <c r="AV3" s="274" t="s">
        <v>186</v>
      </c>
      <c r="AW3" s="274" t="s">
        <v>187</v>
      </c>
      <c r="AX3" s="274" t="s">
        <v>188</v>
      </c>
      <c r="AY3" s="274"/>
      <c r="AZ3" s="274"/>
      <c r="BA3" s="274" t="s">
        <v>189</v>
      </c>
      <c r="BB3" s="274" t="s">
        <v>169</v>
      </c>
      <c r="BC3" s="274" t="s">
        <v>183</v>
      </c>
      <c r="BD3" s="274"/>
      <c r="BE3" s="274"/>
      <c r="BF3" s="274"/>
      <c r="BG3" s="274"/>
      <c r="BH3" s="274" t="s">
        <v>190</v>
      </c>
      <c r="BI3" s="274" t="s">
        <v>169</v>
      </c>
      <c r="BJ3" s="274"/>
      <c r="BK3" s="274" t="s">
        <v>191</v>
      </c>
      <c r="BL3" s="274"/>
      <c r="BM3" s="274" t="s">
        <v>192</v>
      </c>
      <c r="BN3" s="274" t="s">
        <v>193</v>
      </c>
      <c r="BO3" s="274" t="s">
        <v>194</v>
      </c>
      <c r="BP3" s="274" t="s">
        <v>195</v>
      </c>
      <c r="BQ3" s="274" t="s">
        <v>196</v>
      </c>
      <c r="BR3" s="274"/>
      <c r="BS3" s="274" t="s">
        <v>197</v>
      </c>
      <c r="BT3" s="274" t="s">
        <v>169</v>
      </c>
      <c r="BU3" s="274" t="s">
        <v>198</v>
      </c>
      <c r="BV3" s="274" t="s">
        <v>199</v>
      </c>
      <c r="BW3" s="274" t="s">
        <v>200</v>
      </c>
      <c r="BX3" s="274" t="s">
        <v>151</v>
      </c>
      <c r="BY3" s="274" t="s">
        <v>193</v>
      </c>
      <c r="BZ3" s="274" t="s">
        <v>152</v>
      </c>
      <c r="CA3" s="274" t="s">
        <v>201</v>
      </c>
      <c r="CB3" s="274" t="s">
        <v>201</v>
      </c>
      <c r="CC3" s="274" t="s">
        <v>202</v>
      </c>
      <c r="CD3" s="274"/>
      <c r="CE3" s="274" t="s">
        <v>203</v>
      </c>
    </row>
    <row r="4" spans="1:83" ht="12.65" customHeight="1" x14ac:dyDescent="0.35">
      <c r="A4" s="279" t="s">
        <v>204</v>
      </c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99"/>
      <c r="CE4" s="299">
        <f>SUM(C4:CC4)</f>
        <v>0</v>
      </c>
    </row>
    <row r="5" spans="1:83" ht="12.65" customHeight="1" x14ac:dyDescent="0.35">
      <c r="A5" s="279" t="s">
        <v>205</v>
      </c>
      <c r="B5" s="287">
        <v>6260013</v>
      </c>
      <c r="C5" s="321">
        <f>ROUND(((B5/CE18)*C18),0)</f>
        <v>0</v>
      </c>
      <c r="D5" s="321">
        <f>ROUND(((B5/CE18)*D18),0)</f>
        <v>0</v>
      </c>
      <c r="E5" s="299">
        <f>ROUND(((B5/CE18)*E18),0)</f>
        <v>152463</v>
      </c>
      <c r="F5" s="299">
        <f>ROUND(((B5/CE18)*F18),0)</f>
        <v>0</v>
      </c>
      <c r="G5" s="299">
        <f>ROUND(((B5/CE18)*G18),0)</f>
        <v>0</v>
      </c>
      <c r="H5" s="299">
        <f>ROUND(((B5/CE18)*H18),0)</f>
        <v>0</v>
      </c>
      <c r="I5" s="299">
        <f>ROUND(((B5/CE18)*I18),0)</f>
        <v>0</v>
      </c>
      <c r="J5" s="299">
        <f>ROUND(((B5/CE18)*J18),0)</f>
        <v>54453</v>
      </c>
      <c r="K5" s="299">
        <f>ROUND(((B5/CE18)*K18),0)</f>
        <v>0</v>
      </c>
      <c r="L5" s="299">
        <f>ROUND(((B5/CE18)*L18),0)</f>
        <v>130071</v>
      </c>
      <c r="M5" s="299">
        <f>ROUND(((B5/CE18)*M18),0)</f>
        <v>0</v>
      </c>
      <c r="N5" s="299">
        <f>ROUND(((B5/CE18)*N18),0)</f>
        <v>0</v>
      </c>
      <c r="O5" s="299">
        <f>ROUND(((B5/CE18)*O18),0)</f>
        <v>324298</v>
      </c>
      <c r="P5" s="299">
        <f>ROUND(((B5/CE18)*P18),0)</f>
        <v>307497</v>
      </c>
      <c r="Q5" s="299">
        <f>ROUND(((B5/CE18)*Q18),0)</f>
        <v>0</v>
      </c>
      <c r="R5" s="299">
        <f>ROUND(((B5/CE18)*R18),0)</f>
        <v>0</v>
      </c>
      <c r="S5" s="299">
        <f>ROUND(((B5/CE18)*S18),0)</f>
        <v>0</v>
      </c>
      <c r="T5" s="299">
        <f>ROUND(((B5/CE18)*T18),0)</f>
        <v>0</v>
      </c>
      <c r="U5" s="299">
        <f>ROUND(((B5/CE18)*U18),0)</f>
        <v>288018</v>
      </c>
      <c r="V5" s="299">
        <f>ROUND(((B5/CE18)*V18),0)</f>
        <v>0</v>
      </c>
      <c r="W5" s="299">
        <f>ROUND(((B5/CE18)*W18),0)</f>
        <v>0</v>
      </c>
      <c r="X5" s="299">
        <f>ROUND(((B5/CE18)*X18),0)</f>
        <v>203856</v>
      </c>
      <c r="Y5" s="299">
        <f>ROUND(((B5/CE18)*Y18),0)</f>
        <v>126569</v>
      </c>
      <c r="Z5" s="299">
        <f>ROUND(((B5/CE18)*Z18),0)</f>
        <v>0</v>
      </c>
      <c r="AA5" s="299">
        <f>ROUND(((B5/CE18)*AA18),0)</f>
        <v>0</v>
      </c>
      <c r="AB5" s="299">
        <f>ROUND(((B5/CE18)*AB18),0)</f>
        <v>28514</v>
      </c>
      <c r="AC5" s="299">
        <f>ROUND(((B5/CE18)*AC18),0)</f>
        <v>136009</v>
      </c>
      <c r="AD5" s="299">
        <f>ROUND(((B5/CE18)*AD18),0)</f>
        <v>0</v>
      </c>
      <c r="AE5" s="299">
        <f>ROUND(((B5/CE18)*AE18),0)</f>
        <v>0</v>
      </c>
      <c r="AF5" s="299">
        <f>ROUND(((B5/CE18)*AF18),0)</f>
        <v>0</v>
      </c>
      <c r="AG5" s="299">
        <f>ROUND(((B5/CE18)*AG18),0)</f>
        <v>751330</v>
      </c>
      <c r="AH5" s="299">
        <f>ROUND(((B5/CE18)*AH18),0)</f>
        <v>223844</v>
      </c>
      <c r="AI5" s="299">
        <f>ROUND(((B5/CE18)*AI18),0)</f>
        <v>40254</v>
      </c>
      <c r="AJ5" s="299">
        <f>ROUND(((B5/CE18)*AJ18),0)</f>
        <v>1815195</v>
      </c>
      <c r="AK5" s="299">
        <f>ROUND(((B5/CE18)*AK18),0)</f>
        <v>0</v>
      </c>
      <c r="AL5" s="299">
        <f>ROUND(((B5/CE18)*AL18),0)</f>
        <v>0</v>
      </c>
      <c r="AM5" s="299">
        <f>ROUND(((B5/CE18)*AM18),0)</f>
        <v>0</v>
      </c>
      <c r="AN5" s="299">
        <f>ROUND(((B5/CE18)*AN18),0)</f>
        <v>0</v>
      </c>
      <c r="AO5" s="299">
        <f>ROUND(((B5/CE18)*AO18),0)</f>
        <v>27198</v>
      </c>
      <c r="AP5" s="299">
        <f>ROUND(((B5/CE18)*AP18),0)</f>
        <v>159329</v>
      </c>
      <c r="AQ5" s="299">
        <f>ROUND(((B5/CE18)*AQ18),0)</f>
        <v>0</v>
      </c>
      <c r="AR5" s="299">
        <f>ROUND(((B5/CE18)*AR18),0)</f>
        <v>0</v>
      </c>
      <c r="AS5" s="299">
        <f>ROUND(((B5/CE18)*AS18),0)</f>
        <v>0</v>
      </c>
      <c r="AT5" s="299">
        <f>ROUND(((B5/CE18)*AT18),0)</f>
        <v>0</v>
      </c>
      <c r="AU5" s="299">
        <f>ROUND(((B5/CE18)*AU18),0)</f>
        <v>0</v>
      </c>
      <c r="AV5" s="299">
        <f>ROUND(((B5/CE18)*AV18),0)</f>
        <v>0</v>
      </c>
      <c r="AW5" s="299">
        <f>ROUND(((B5/CE18)*AW18),0)</f>
        <v>0</v>
      </c>
      <c r="AX5" s="299">
        <f>ROUND(((B5/CE18)*AX18),0)</f>
        <v>0</v>
      </c>
      <c r="AY5" s="299">
        <f>ROUND(((B5/CE18)*AY18),0)</f>
        <v>104680</v>
      </c>
      <c r="AZ5" s="299">
        <f>ROUND(((B5/CE18)*AZ18),0)</f>
        <v>0</v>
      </c>
      <c r="BA5" s="299">
        <f>ROUND(((B5/CE18)*BA18),0)</f>
        <v>24859</v>
      </c>
      <c r="BB5" s="299">
        <f>ROUND(((B5/CE18)*BB18),0)</f>
        <v>39246</v>
      </c>
      <c r="BC5" s="299">
        <f>ROUND(((B5/CE18)*BC18),0)</f>
        <v>0</v>
      </c>
      <c r="BD5" s="299">
        <f>ROUND(((B5/CE18)*BD18),0)</f>
        <v>50839</v>
      </c>
      <c r="BE5" s="299">
        <f>ROUND(((B5/CE18)*BE18),0)</f>
        <v>85039</v>
      </c>
      <c r="BF5" s="299">
        <f>ROUND(((B5/CE18)*BF18),0)</f>
        <v>79699</v>
      </c>
      <c r="BG5" s="299">
        <f>ROUND(((B5/CE18)*BG18),0)</f>
        <v>0</v>
      </c>
      <c r="BH5" s="299">
        <f>ROUND(((B5/CE18)*BH18),0)</f>
        <v>146166</v>
      </c>
      <c r="BI5" s="299">
        <f>ROUND(((B5/CE18)*BI18),0)</f>
        <v>0</v>
      </c>
      <c r="BJ5" s="299">
        <f>ROUND(((B5/CE18)*BJ18),0)</f>
        <v>123123</v>
      </c>
      <c r="BK5" s="299">
        <f>ROUND(((B5/CE18)*BK18),0)</f>
        <v>241058</v>
      </c>
      <c r="BL5" s="299">
        <f>ROUND(((B5/CE18)*BL18),0)</f>
        <v>0</v>
      </c>
      <c r="BM5" s="299">
        <f>ROUND(((B5/CE18)*BM18),0)</f>
        <v>0</v>
      </c>
      <c r="BN5" s="299">
        <f>ROUND(((B5/CE18)*BN18),0)</f>
        <v>166481</v>
      </c>
      <c r="BO5" s="299">
        <f>ROUND(((B5/CE18)*BO18),0)</f>
        <v>483</v>
      </c>
      <c r="BP5" s="299">
        <f>ROUND(((B5/CE18)*BP18),0)</f>
        <v>41448</v>
      </c>
      <c r="BQ5" s="299">
        <f>ROUND(((B5/CE18)*BQ18),0)</f>
        <v>0</v>
      </c>
      <c r="BR5" s="299">
        <f>ROUND(((B5/CE18)*BR18),0)</f>
        <v>71919</v>
      </c>
      <c r="BS5" s="299">
        <f>ROUND(((B5/CE18)*BS18),0)</f>
        <v>0</v>
      </c>
      <c r="BT5" s="299">
        <f>ROUND(((B5/CE18)*BT18),0)</f>
        <v>0</v>
      </c>
      <c r="BU5" s="299">
        <f>ROUND(((B5/CE18)*BU18),0)</f>
        <v>0</v>
      </c>
      <c r="BV5" s="299">
        <f>ROUND(((B5/CE18)*BV18),0)</f>
        <v>87900</v>
      </c>
      <c r="BW5" s="299">
        <f>ROUND(((B5/CE18)*BW18),0)</f>
        <v>49933</v>
      </c>
      <c r="BX5" s="299">
        <f>ROUND(((B5/CE18)*BX18),0)</f>
        <v>11175</v>
      </c>
      <c r="BY5" s="299">
        <f>ROUND(((B5/CE18)*BY18),0)</f>
        <v>167065</v>
      </c>
      <c r="BZ5" s="299">
        <f>ROUND(((B5/CE18)*BZ18),0)</f>
        <v>0</v>
      </c>
      <c r="CA5" s="299">
        <f>ROUND(((B5/CE18)*CA18),0)</f>
        <v>0</v>
      </c>
      <c r="CB5" s="299">
        <f>ROUND(((B5/CE18)*CB18),0)</f>
        <v>0</v>
      </c>
      <c r="CC5" s="299">
        <f>ROUND(((B5/CE18)*CC18),0)</f>
        <v>0</v>
      </c>
      <c r="CD5" s="299"/>
      <c r="CE5" s="299">
        <f>SUM(C5:CD5)</f>
        <v>6260011</v>
      </c>
    </row>
    <row r="6" spans="1:83" ht="12.65" customHeight="1" x14ac:dyDescent="0.35">
      <c r="A6" s="279" t="s">
        <v>206</v>
      </c>
      <c r="B6" s="299">
        <f>B4+B5</f>
        <v>6260013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</row>
    <row r="7" spans="1:83" ht="12.65" customHeight="1" x14ac:dyDescent="0.35">
      <c r="A7" s="279" t="s">
        <v>6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</row>
    <row r="8" spans="1:83" ht="12.65" customHeight="1" x14ac:dyDescent="0.35">
      <c r="A8" s="275" t="s">
        <v>207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99"/>
      <c r="CE8" s="299">
        <f>SUM(C8:CD8)</f>
        <v>0</v>
      </c>
    </row>
    <row r="9" spans="1:83" ht="12.65" customHeight="1" x14ac:dyDescent="0.35">
      <c r="A9" s="275" t="s">
        <v>208</v>
      </c>
      <c r="B9" s="288">
        <v>2443594</v>
      </c>
      <c r="C9" s="299">
        <f>ROUND((B9/(CE33+CF33)*C33),0)</f>
        <v>0</v>
      </c>
      <c r="D9" s="299">
        <f>ROUND((B9/(CE33+CF33)*D33),0)</f>
        <v>0</v>
      </c>
      <c r="E9" s="299">
        <f>ROUND((B9/(CE33+CF33)*E33),0)</f>
        <v>99605</v>
      </c>
      <c r="F9" s="299">
        <f>ROUND((B9/(CE33+CF33)*F33),0)</f>
        <v>0</v>
      </c>
      <c r="G9" s="299">
        <f>ROUND((B9/(CE33+CF33)*G33),0)</f>
        <v>0</v>
      </c>
      <c r="H9" s="299">
        <f>ROUND((B9/(CE33+CF33)*H33),0)</f>
        <v>0</v>
      </c>
      <c r="I9" s="299">
        <f>ROUND((B9/(CE33+CF33)*I33),0)</f>
        <v>0</v>
      </c>
      <c r="J9" s="299">
        <f>ROUND((B9/(CE33+CF33)*J33),0)</f>
        <v>35585</v>
      </c>
      <c r="K9" s="299">
        <f>ROUND((B9/(CE33+CF33)*K33),0)</f>
        <v>0</v>
      </c>
      <c r="L9" s="299">
        <f>ROUND((B9/(CE33+CF33)*L33),0)</f>
        <v>84969</v>
      </c>
      <c r="M9" s="299">
        <f>ROUND((B9/(CE33+CF33)*M33),0)</f>
        <v>0</v>
      </c>
      <c r="N9" s="299">
        <f>ROUND((B9/(CE33+CF33)*N33),0)</f>
        <v>0</v>
      </c>
      <c r="O9" s="299">
        <f>ROUND((B9/(CE33+CF33)*O33),0)</f>
        <v>52063</v>
      </c>
      <c r="P9" s="299">
        <f>ROUND((B9/(CE33+CF33)*P33),0)</f>
        <v>166089</v>
      </c>
      <c r="Q9" s="299">
        <f>ROUND((B9/(CE33+CF33)*Q33),0)</f>
        <v>0</v>
      </c>
      <c r="R9" s="299">
        <f>ROUND((B9/(CE33+CF33)*R33),0)</f>
        <v>3850</v>
      </c>
      <c r="S9" s="299">
        <f>ROUND((B9/(CE33+CF33)*S33),0)</f>
        <v>34437</v>
      </c>
      <c r="T9" s="299">
        <f>ROUND((B9/(CE33+CF33)*T33),0)</f>
        <v>0</v>
      </c>
      <c r="U9" s="299">
        <f>ROUND((B9/(CE33+CF33)*U33),0)</f>
        <v>32405</v>
      </c>
      <c r="V9" s="299">
        <f>ROUND((B9/(CE33+CF33)*V33),0)</f>
        <v>0</v>
      </c>
      <c r="W9" s="299">
        <f>ROUND((B9/(CE33+CF33)*W33),0)</f>
        <v>0</v>
      </c>
      <c r="X9" s="299">
        <f>ROUND((B9/(CE33+CF33)*X33),0)</f>
        <v>72701</v>
      </c>
      <c r="Y9" s="299">
        <f>ROUND((B9/(CE33+CF33)*Y33),0)</f>
        <v>45127</v>
      </c>
      <c r="Z9" s="299">
        <f>ROUND((B9/(CE33+CF33)*Z33),0)</f>
        <v>0</v>
      </c>
      <c r="AA9" s="299">
        <f>ROUND((B9/(CE33+CF33)*AA33),0)</f>
        <v>0</v>
      </c>
      <c r="AB9" s="299">
        <f>ROUND((B9/(CE33+CF33)*AB33),0)</f>
        <v>9494</v>
      </c>
      <c r="AC9" s="299">
        <f>ROUND((B9/(CE33+CF33)*AC33),0)</f>
        <v>18391</v>
      </c>
      <c r="AD9" s="299">
        <f>ROUND((B9/(CE33+CF33)*AD33),0)</f>
        <v>0</v>
      </c>
      <c r="AE9" s="299">
        <f>ROUND((B9/(CE33+CF33)*AE33),0)</f>
        <v>74447</v>
      </c>
      <c r="AF9" s="299">
        <f>ROUND((B9/(CE33+CF33)*AF33),0)</f>
        <v>0</v>
      </c>
      <c r="AG9" s="299">
        <f>ROUND((B9/(CE33+CF33)*AG33),0)</f>
        <v>74208</v>
      </c>
      <c r="AH9" s="299">
        <f>ROUND((B9/(CE33+CF33)*AH33),0)</f>
        <v>31831</v>
      </c>
      <c r="AI9" s="299">
        <f>ROUND((B9/(CE33+CF33)*AI33),0)</f>
        <v>15329</v>
      </c>
      <c r="AJ9" s="299">
        <f>ROUND((B9/(CE33+CF33)*AJ33),0)</f>
        <v>478081</v>
      </c>
      <c r="AK9" s="299">
        <f>ROUND((B9/(CE33+CF33)*AK33),0)</f>
        <v>17984</v>
      </c>
      <c r="AL9" s="299">
        <f>ROUND((B9/(CE33+CF33)*AL33),0)</f>
        <v>10403</v>
      </c>
      <c r="AM9" s="299">
        <f>ROUND((B9/(CE33+CF33)*AM33),0)</f>
        <v>0</v>
      </c>
      <c r="AN9" s="299">
        <f>ROUND((B9/(CE33+CF33)*AN33),0)</f>
        <v>0</v>
      </c>
      <c r="AO9" s="299">
        <f>ROUND((B9/(CE33+CF33)*AO33),0)</f>
        <v>17745</v>
      </c>
      <c r="AP9" s="299">
        <f>ROUND((B9/(CE33+CF33)*AP33),0)</f>
        <v>412387</v>
      </c>
      <c r="AQ9" s="299">
        <f>ROUND((B9/(CE33+CF33)*AQ33),0)</f>
        <v>0</v>
      </c>
      <c r="AR9" s="299">
        <f>ROUND((B9/(CE33+CF33)*AR33),0)</f>
        <v>0</v>
      </c>
      <c r="AS9" s="299">
        <f>ROUND((B9/(CE33+CF33)*AS33),0)</f>
        <v>0</v>
      </c>
      <c r="AT9" s="299">
        <f>ROUND((B9/(CE33+CF33)*AT33),0)</f>
        <v>0</v>
      </c>
      <c r="AU9" s="299">
        <f>ROUND((B9/(CE33+CF33)*AU33),0)</f>
        <v>0</v>
      </c>
      <c r="AV9" s="299">
        <f>ROUND((B9/(CE33+CF33)*AV33),0)</f>
        <v>0</v>
      </c>
      <c r="AW9" s="299">
        <f>ROUND((B9/(CE33+CF33)*AW33),0)</f>
        <v>0</v>
      </c>
      <c r="AX9" s="299">
        <f>ROUND((B9/(CE33+CF33)*AX33),0)</f>
        <v>0</v>
      </c>
      <c r="AY9" s="299">
        <f>ROUND((B9/(CE33+CF33)*AY33),0)</f>
        <v>51656</v>
      </c>
      <c r="AZ9" s="299">
        <f>ROUND((B9/(CE33+CF33)*AZ33),0)</f>
        <v>0</v>
      </c>
      <c r="BA9" s="299">
        <f>ROUND((B9/(CE33+CF33)*BA33),0)</f>
        <v>21236</v>
      </c>
      <c r="BB9" s="299">
        <f>ROUND((B9/(CE33+CF33)*BB33),0)</f>
        <v>8490</v>
      </c>
      <c r="BC9" s="299">
        <f>ROUND((B9/(CE33+CF33)*BC33),0)</f>
        <v>0</v>
      </c>
      <c r="BD9" s="299">
        <f>ROUND((B9/(CE33+CF33)*BD33),0)</f>
        <v>0</v>
      </c>
      <c r="BE9" s="299">
        <f>ROUND((B9/(CE33+CF33)*BE33),0)</f>
        <v>149946</v>
      </c>
      <c r="BF9" s="299">
        <f>ROUND((B9/(CE33+CF33)*BF33),0)</f>
        <v>20088</v>
      </c>
      <c r="BG9" s="299">
        <f>ROUND((B9/(CE33+CF33)*BG33),0)</f>
        <v>0</v>
      </c>
      <c r="BH9" s="299">
        <f>ROUND((B9/(CE33+CF33)*BH33),0)</f>
        <v>16549</v>
      </c>
      <c r="BI9" s="299">
        <f>ROUND((B9/(CE33+CF33)*BI33),0)</f>
        <v>0</v>
      </c>
      <c r="BJ9" s="299">
        <f>ROUND((B9/(CE33+CF33)*BJ33),0)</f>
        <v>15210</v>
      </c>
      <c r="BK9" s="299">
        <f>ROUND((B9/(CE33+CF33)*BK33),0)</f>
        <v>42353</v>
      </c>
      <c r="BL9" s="299">
        <f>ROUND((B9/(CE33+CF33)*BL33),0)</f>
        <v>0</v>
      </c>
      <c r="BM9" s="299">
        <f>ROUND((B9/(CE33+CF33)*BM33),0)</f>
        <v>0</v>
      </c>
      <c r="BN9" s="299">
        <f>ROUND((B9/(CE33+CF33)*BN33),0)</f>
        <v>247782</v>
      </c>
      <c r="BO9" s="299">
        <f>ROUND((B9/(CE33+CF33)*BO33),0)</f>
        <v>0</v>
      </c>
      <c r="BP9" s="299">
        <f>ROUND((B9/(CE33+CF33)*BP33),0)</f>
        <v>14660</v>
      </c>
      <c r="BQ9" s="299">
        <f>ROUND((B9/(CE33+CF33)*BQ33),0)</f>
        <v>0</v>
      </c>
      <c r="BR9" s="299">
        <f>ROUND((B9/(CE33+CF33)*BR33),0)</f>
        <v>27287</v>
      </c>
      <c r="BS9" s="299">
        <f>ROUND((B9/(CE33+CF33)*BS33),0)</f>
        <v>0</v>
      </c>
      <c r="BT9" s="299">
        <f>ROUND((B9/(CE33+CF33)*BT33),0)</f>
        <v>0</v>
      </c>
      <c r="BU9" s="299">
        <f>ROUND((B9/(CE33+CF33)*BU33),0)</f>
        <v>0</v>
      </c>
      <c r="BV9" s="299">
        <f>ROUND((B9/(CE33+CF33)*BV33),0)</f>
        <v>23867</v>
      </c>
      <c r="BW9" s="299">
        <f>ROUND((B9/(CE33+CF33)*BW33),0)</f>
        <v>3922</v>
      </c>
      <c r="BX9" s="299">
        <f>ROUND((B9/(CE33+CF33)*BX33),0)</f>
        <v>8322</v>
      </c>
      <c r="BY9" s="299">
        <f>ROUND((B9/(CE33+CF33)*BY33),0)</f>
        <v>5094</v>
      </c>
      <c r="BZ9" s="299">
        <f>ROUND((B9/(CE33+CF33)*BZ33),0)</f>
        <v>0</v>
      </c>
      <c r="CA9" s="299">
        <f>ROUND((B9/(CE33+CF33)*CA33),0)</f>
        <v>0</v>
      </c>
      <c r="CB9" s="299">
        <f>ROUND((B9/(CE33+CF33)*CB33),0)</f>
        <v>0</v>
      </c>
      <c r="CC9" s="299">
        <f>ROUND((B9/(CE33+CF33)*CC33),0)</f>
        <v>0</v>
      </c>
      <c r="CD9" s="299"/>
      <c r="CE9" s="299">
        <f>SUM(C9:CD9)</f>
        <v>2443593</v>
      </c>
    </row>
    <row r="10" spans="1:83" ht="12.65" customHeight="1" x14ac:dyDescent="0.35">
      <c r="A10" s="279" t="s">
        <v>206</v>
      </c>
      <c r="B10" s="299">
        <f>B8+B9</f>
        <v>2443594</v>
      </c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</row>
    <row r="11" spans="1:83" ht="15.75" customHeight="1" x14ac:dyDescent="0.35">
      <c r="A11" s="279"/>
      <c r="B11" s="279"/>
      <c r="C11" s="295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79"/>
      <c r="CD11" s="279"/>
      <c r="CE11" s="279"/>
    </row>
    <row r="12" spans="1:83" ht="12.65" customHeight="1" x14ac:dyDescent="0.35">
      <c r="A12" s="275" t="s">
        <v>209</v>
      </c>
      <c r="B12" s="279"/>
      <c r="C12" s="286" t="s">
        <v>10</v>
      </c>
      <c r="D12" s="274" t="s">
        <v>11</v>
      </c>
      <c r="E12" s="274" t="s">
        <v>12</v>
      </c>
      <c r="F12" s="274" t="s">
        <v>13</v>
      </c>
      <c r="G12" s="274" t="s">
        <v>14</v>
      </c>
      <c r="H12" s="274" t="s">
        <v>15</v>
      </c>
      <c r="I12" s="274" t="s">
        <v>16</v>
      </c>
      <c r="J12" s="274" t="s">
        <v>17</v>
      </c>
      <c r="K12" s="274" t="s">
        <v>18</v>
      </c>
      <c r="L12" s="274" t="s">
        <v>19</v>
      </c>
      <c r="M12" s="274" t="s">
        <v>20</v>
      </c>
      <c r="N12" s="274" t="s">
        <v>21</v>
      </c>
      <c r="O12" s="274" t="s">
        <v>22</v>
      </c>
      <c r="P12" s="274" t="s">
        <v>23</v>
      </c>
      <c r="Q12" s="274" t="s">
        <v>24</v>
      </c>
      <c r="R12" s="274" t="s">
        <v>25</v>
      </c>
      <c r="S12" s="274" t="s">
        <v>26</v>
      </c>
      <c r="T12" s="322" t="s">
        <v>27</v>
      </c>
      <c r="U12" s="274" t="s">
        <v>28</v>
      </c>
      <c r="V12" s="274" t="s">
        <v>29</v>
      </c>
      <c r="W12" s="274" t="s">
        <v>30</v>
      </c>
      <c r="X12" s="274" t="s">
        <v>31</v>
      </c>
      <c r="Y12" s="274" t="s">
        <v>32</v>
      </c>
      <c r="Z12" s="274" t="s">
        <v>33</v>
      </c>
      <c r="AA12" s="274" t="s">
        <v>34</v>
      </c>
      <c r="AB12" s="274" t="s">
        <v>35</v>
      </c>
      <c r="AC12" s="274" t="s">
        <v>36</v>
      </c>
      <c r="AD12" s="274" t="s">
        <v>37</v>
      </c>
      <c r="AE12" s="274" t="s">
        <v>38</v>
      </c>
      <c r="AF12" s="274" t="s">
        <v>39</v>
      </c>
      <c r="AG12" s="274" t="s">
        <v>40</v>
      </c>
      <c r="AH12" s="274" t="s">
        <v>41</v>
      </c>
      <c r="AI12" s="274" t="s">
        <v>42</v>
      </c>
      <c r="AJ12" s="274" t="s">
        <v>43</v>
      </c>
      <c r="AK12" s="274" t="s">
        <v>44</v>
      </c>
      <c r="AL12" s="274" t="s">
        <v>45</v>
      </c>
      <c r="AM12" s="274" t="s">
        <v>46</v>
      </c>
      <c r="AN12" s="274" t="s">
        <v>47</v>
      </c>
      <c r="AO12" s="274" t="s">
        <v>48</v>
      </c>
      <c r="AP12" s="274" t="s">
        <v>49</v>
      </c>
      <c r="AQ12" s="274" t="s">
        <v>50</v>
      </c>
      <c r="AR12" s="274" t="s">
        <v>51</v>
      </c>
      <c r="AS12" s="274" t="s">
        <v>52</v>
      </c>
      <c r="AT12" s="274" t="s">
        <v>53</v>
      </c>
      <c r="AU12" s="274" t="s">
        <v>54</v>
      </c>
      <c r="AV12" s="274" t="s">
        <v>55</v>
      </c>
      <c r="AW12" s="274" t="s">
        <v>56</v>
      </c>
      <c r="AX12" s="274" t="s">
        <v>57</v>
      </c>
      <c r="AY12" s="274" t="s">
        <v>58</v>
      </c>
      <c r="AZ12" s="274" t="s">
        <v>59</v>
      </c>
      <c r="BA12" s="274" t="s">
        <v>60</v>
      </c>
      <c r="BB12" s="274" t="s">
        <v>61</v>
      </c>
      <c r="BC12" s="274" t="s">
        <v>62</v>
      </c>
      <c r="BD12" s="274" t="s">
        <v>63</v>
      </c>
      <c r="BE12" s="274" t="s">
        <v>64</v>
      </c>
      <c r="BF12" s="274" t="s">
        <v>65</v>
      </c>
      <c r="BG12" s="274" t="s">
        <v>66</v>
      </c>
      <c r="BH12" s="274" t="s">
        <v>67</v>
      </c>
      <c r="BI12" s="274" t="s">
        <v>68</v>
      </c>
      <c r="BJ12" s="274" t="s">
        <v>69</v>
      </c>
      <c r="BK12" s="274" t="s">
        <v>70</v>
      </c>
      <c r="BL12" s="274" t="s">
        <v>71</v>
      </c>
      <c r="BM12" s="274" t="s">
        <v>72</v>
      </c>
      <c r="BN12" s="274" t="s">
        <v>73</v>
      </c>
      <c r="BO12" s="274" t="s">
        <v>74</v>
      </c>
      <c r="BP12" s="274" t="s">
        <v>75</v>
      </c>
      <c r="BQ12" s="274" t="s">
        <v>76</v>
      </c>
      <c r="BR12" s="274" t="s">
        <v>77</v>
      </c>
      <c r="BS12" s="274" t="s">
        <v>78</v>
      </c>
      <c r="BT12" s="274" t="s">
        <v>79</v>
      </c>
      <c r="BU12" s="274" t="s">
        <v>80</v>
      </c>
      <c r="BV12" s="274" t="s">
        <v>81</v>
      </c>
      <c r="BW12" s="274" t="s">
        <v>82</v>
      </c>
      <c r="BX12" s="274" t="s">
        <v>83</v>
      </c>
      <c r="BY12" s="274" t="s">
        <v>84</v>
      </c>
      <c r="BZ12" s="274" t="s">
        <v>85</v>
      </c>
      <c r="CA12" s="274" t="s">
        <v>86</v>
      </c>
      <c r="CB12" s="274" t="s">
        <v>87</v>
      </c>
      <c r="CC12" s="274" t="s">
        <v>88</v>
      </c>
      <c r="CD12" s="274" t="s">
        <v>89</v>
      </c>
      <c r="CE12" s="274" t="s">
        <v>90</v>
      </c>
    </row>
    <row r="13" spans="1:83" ht="12.65" customHeight="1" x14ac:dyDescent="0.35">
      <c r="A13" s="275" t="s">
        <v>210</v>
      </c>
      <c r="B13" s="279"/>
      <c r="C13" s="286" t="s">
        <v>92</v>
      </c>
      <c r="D13" s="274" t="s">
        <v>93</v>
      </c>
      <c r="E13" s="274" t="s">
        <v>94</v>
      </c>
      <c r="F13" s="274" t="s">
        <v>95</v>
      </c>
      <c r="G13" s="274" t="s">
        <v>96</v>
      </c>
      <c r="H13" s="274" t="s">
        <v>97</v>
      </c>
      <c r="I13" s="274" t="s">
        <v>98</v>
      </c>
      <c r="J13" s="274" t="s">
        <v>99</v>
      </c>
      <c r="K13" s="274" t="s">
        <v>100</v>
      </c>
      <c r="L13" s="274" t="s">
        <v>101</v>
      </c>
      <c r="M13" s="274" t="s">
        <v>102</v>
      </c>
      <c r="N13" s="274" t="s">
        <v>103</v>
      </c>
      <c r="O13" s="274" t="s">
        <v>104</v>
      </c>
      <c r="P13" s="274" t="s">
        <v>105</v>
      </c>
      <c r="Q13" s="274" t="s">
        <v>106</v>
      </c>
      <c r="R13" s="274" t="s">
        <v>107</v>
      </c>
      <c r="S13" s="274" t="s">
        <v>108</v>
      </c>
      <c r="T13" s="274" t="s">
        <v>931</v>
      </c>
      <c r="U13" s="274" t="s">
        <v>109</v>
      </c>
      <c r="V13" s="274" t="s">
        <v>110</v>
      </c>
      <c r="W13" s="274" t="s">
        <v>111</v>
      </c>
      <c r="X13" s="274" t="s">
        <v>112</v>
      </c>
      <c r="Y13" s="274" t="s">
        <v>113</v>
      </c>
      <c r="Z13" s="274" t="s">
        <v>113</v>
      </c>
      <c r="AA13" s="274" t="s">
        <v>114</v>
      </c>
      <c r="AB13" s="274" t="s">
        <v>115</v>
      </c>
      <c r="AC13" s="274" t="s">
        <v>116</v>
      </c>
      <c r="AD13" s="274" t="s">
        <v>117</v>
      </c>
      <c r="AE13" s="274" t="s">
        <v>96</v>
      </c>
      <c r="AF13" s="274" t="s">
        <v>97</v>
      </c>
      <c r="AG13" s="274" t="s">
        <v>118</v>
      </c>
      <c r="AH13" s="274" t="s">
        <v>119</v>
      </c>
      <c r="AI13" s="274" t="s">
        <v>120</v>
      </c>
      <c r="AJ13" s="274" t="s">
        <v>121</v>
      </c>
      <c r="AK13" s="274" t="s">
        <v>122</v>
      </c>
      <c r="AL13" s="274" t="s">
        <v>123</v>
      </c>
      <c r="AM13" s="274" t="s">
        <v>124</v>
      </c>
      <c r="AN13" s="274" t="s">
        <v>110</v>
      </c>
      <c r="AO13" s="274" t="s">
        <v>125</v>
      </c>
      <c r="AP13" s="274" t="s">
        <v>126</v>
      </c>
      <c r="AQ13" s="274" t="s">
        <v>127</v>
      </c>
      <c r="AR13" s="274" t="s">
        <v>128</v>
      </c>
      <c r="AS13" s="274" t="s">
        <v>129</v>
      </c>
      <c r="AT13" s="274" t="s">
        <v>130</v>
      </c>
      <c r="AU13" s="274" t="s">
        <v>131</v>
      </c>
      <c r="AV13" s="274" t="s">
        <v>132</v>
      </c>
      <c r="AW13" s="274" t="s">
        <v>133</v>
      </c>
      <c r="AX13" s="274" t="s">
        <v>134</v>
      </c>
      <c r="AY13" s="274" t="s">
        <v>135</v>
      </c>
      <c r="AZ13" s="274" t="s">
        <v>136</v>
      </c>
      <c r="BA13" s="274" t="s">
        <v>137</v>
      </c>
      <c r="BB13" s="274" t="s">
        <v>138</v>
      </c>
      <c r="BC13" s="274" t="s">
        <v>108</v>
      </c>
      <c r="BD13" s="274" t="s">
        <v>139</v>
      </c>
      <c r="BE13" s="274" t="s">
        <v>140</v>
      </c>
      <c r="BF13" s="274" t="s">
        <v>141</v>
      </c>
      <c r="BG13" s="274" t="s">
        <v>142</v>
      </c>
      <c r="BH13" s="274" t="s">
        <v>143</v>
      </c>
      <c r="BI13" s="274" t="s">
        <v>144</v>
      </c>
      <c r="BJ13" s="274" t="s">
        <v>145</v>
      </c>
      <c r="BK13" s="274" t="s">
        <v>146</v>
      </c>
      <c r="BL13" s="274" t="s">
        <v>147</v>
      </c>
      <c r="BM13" s="274" t="s">
        <v>132</v>
      </c>
      <c r="BN13" s="274" t="s">
        <v>148</v>
      </c>
      <c r="BO13" s="274" t="s">
        <v>149</v>
      </c>
      <c r="BP13" s="274" t="s">
        <v>150</v>
      </c>
      <c r="BQ13" s="274" t="s">
        <v>151</v>
      </c>
      <c r="BR13" s="274" t="s">
        <v>152</v>
      </c>
      <c r="BS13" s="274" t="s">
        <v>153</v>
      </c>
      <c r="BT13" s="274" t="s">
        <v>154</v>
      </c>
      <c r="BU13" s="274" t="s">
        <v>155</v>
      </c>
      <c r="BV13" s="274" t="s">
        <v>155</v>
      </c>
      <c r="BW13" s="274" t="s">
        <v>155</v>
      </c>
      <c r="BX13" s="274" t="s">
        <v>156</v>
      </c>
      <c r="BY13" s="274" t="s">
        <v>157</v>
      </c>
      <c r="BZ13" s="274" t="s">
        <v>158</v>
      </c>
      <c r="CA13" s="274" t="s">
        <v>159</v>
      </c>
      <c r="CB13" s="274" t="s">
        <v>160</v>
      </c>
      <c r="CC13" s="274" t="s">
        <v>132</v>
      </c>
      <c r="CD13" s="274" t="s">
        <v>211</v>
      </c>
      <c r="CE13" s="274" t="s">
        <v>161</v>
      </c>
    </row>
    <row r="14" spans="1:83" ht="12.65" customHeight="1" x14ac:dyDescent="0.35">
      <c r="A14" s="275" t="s">
        <v>212</v>
      </c>
      <c r="B14" s="279"/>
      <c r="C14" s="286" t="s">
        <v>163</v>
      </c>
      <c r="D14" s="274" t="s">
        <v>163</v>
      </c>
      <c r="E14" s="274" t="s">
        <v>163</v>
      </c>
      <c r="F14" s="274" t="s">
        <v>164</v>
      </c>
      <c r="G14" s="274" t="s">
        <v>165</v>
      </c>
      <c r="H14" s="274" t="s">
        <v>163</v>
      </c>
      <c r="I14" s="274" t="s">
        <v>166</v>
      </c>
      <c r="J14" s="274"/>
      <c r="K14" s="274" t="s">
        <v>157</v>
      </c>
      <c r="L14" s="274" t="s">
        <v>167</v>
      </c>
      <c r="M14" s="274" t="s">
        <v>168</v>
      </c>
      <c r="N14" s="274" t="s">
        <v>169</v>
      </c>
      <c r="O14" s="274" t="s">
        <v>170</v>
      </c>
      <c r="P14" s="274" t="s">
        <v>169</v>
      </c>
      <c r="Q14" s="274" t="s">
        <v>171</v>
      </c>
      <c r="R14" s="274"/>
      <c r="S14" s="274" t="s">
        <v>169</v>
      </c>
      <c r="T14" s="274" t="s">
        <v>172</v>
      </c>
      <c r="U14" s="274"/>
      <c r="V14" s="274" t="s">
        <v>173</v>
      </c>
      <c r="W14" s="274" t="s">
        <v>174</v>
      </c>
      <c r="X14" s="274" t="s">
        <v>175</v>
      </c>
      <c r="Y14" s="274" t="s">
        <v>176</v>
      </c>
      <c r="Z14" s="274" t="s">
        <v>177</v>
      </c>
      <c r="AA14" s="274" t="s">
        <v>178</v>
      </c>
      <c r="AB14" s="274"/>
      <c r="AC14" s="274" t="s">
        <v>172</v>
      </c>
      <c r="AD14" s="274"/>
      <c r="AE14" s="274" t="s">
        <v>172</v>
      </c>
      <c r="AF14" s="274" t="s">
        <v>179</v>
      </c>
      <c r="AG14" s="274" t="s">
        <v>171</v>
      </c>
      <c r="AH14" s="274"/>
      <c r="AI14" s="274" t="s">
        <v>180</v>
      </c>
      <c r="AJ14" s="274"/>
      <c r="AK14" s="274" t="s">
        <v>172</v>
      </c>
      <c r="AL14" s="274" t="s">
        <v>172</v>
      </c>
      <c r="AM14" s="274" t="s">
        <v>172</v>
      </c>
      <c r="AN14" s="274" t="s">
        <v>181</v>
      </c>
      <c r="AO14" s="274" t="s">
        <v>182</v>
      </c>
      <c r="AP14" s="274" t="s">
        <v>121</v>
      </c>
      <c r="AQ14" s="274" t="s">
        <v>183</v>
      </c>
      <c r="AR14" s="274" t="s">
        <v>169</v>
      </c>
      <c r="AS14" s="274"/>
      <c r="AT14" s="274" t="s">
        <v>184</v>
      </c>
      <c r="AU14" s="274" t="s">
        <v>185</v>
      </c>
      <c r="AV14" s="274" t="s">
        <v>186</v>
      </c>
      <c r="AW14" s="274" t="s">
        <v>187</v>
      </c>
      <c r="AX14" s="274" t="s">
        <v>188</v>
      </c>
      <c r="AY14" s="274"/>
      <c r="AZ14" s="274"/>
      <c r="BA14" s="274" t="s">
        <v>189</v>
      </c>
      <c r="BB14" s="274" t="s">
        <v>169</v>
      </c>
      <c r="BC14" s="274" t="s">
        <v>183</v>
      </c>
      <c r="BD14" s="274"/>
      <c r="BE14" s="274"/>
      <c r="BF14" s="274"/>
      <c r="BG14" s="274"/>
      <c r="BH14" s="274" t="s">
        <v>190</v>
      </c>
      <c r="BI14" s="274" t="s">
        <v>169</v>
      </c>
      <c r="BJ14" s="274"/>
      <c r="BK14" s="274" t="s">
        <v>191</v>
      </c>
      <c r="BL14" s="274"/>
      <c r="BM14" s="274" t="s">
        <v>192</v>
      </c>
      <c r="BN14" s="274" t="s">
        <v>193</v>
      </c>
      <c r="BO14" s="274" t="s">
        <v>194</v>
      </c>
      <c r="BP14" s="274" t="s">
        <v>195</v>
      </c>
      <c r="BQ14" s="274" t="s">
        <v>196</v>
      </c>
      <c r="BR14" s="274"/>
      <c r="BS14" s="274" t="s">
        <v>197</v>
      </c>
      <c r="BT14" s="274" t="s">
        <v>169</v>
      </c>
      <c r="BU14" s="274" t="s">
        <v>198</v>
      </c>
      <c r="BV14" s="274" t="s">
        <v>199</v>
      </c>
      <c r="BW14" s="274" t="s">
        <v>200</v>
      </c>
      <c r="BX14" s="274" t="s">
        <v>151</v>
      </c>
      <c r="BY14" s="274" t="s">
        <v>193</v>
      </c>
      <c r="BZ14" s="274" t="s">
        <v>152</v>
      </c>
      <c r="CA14" s="274" t="s">
        <v>201</v>
      </c>
      <c r="CB14" s="274" t="s">
        <v>201</v>
      </c>
      <c r="CC14" s="274" t="s">
        <v>202</v>
      </c>
      <c r="CD14" s="274" t="s">
        <v>213</v>
      </c>
      <c r="CE14" s="274" t="s">
        <v>203</v>
      </c>
    </row>
    <row r="15" spans="1:83" ht="12.65" customHeight="1" x14ac:dyDescent="0.35">
      <c r="A15" s="275" t="s">
        <v>214</v>
      </c>
      <c r="B15" s="279"/>
      <c r="C15" s="286" t="s">
        <v>215</v>
      </c>
      <c r="D15" s="274" t="s">
        <v>215</v>
      </c>
      <c r="E15" s="274" t="s">
        <v>215</v>
      </c>
      <c r="F15" s="274" t="s">
        <v>215</v>
      </c>
      <c r="G15" s="274" t="s">
        <v>215</v>
      </c>
      <c r="H15" s="274" t="s">
        <v>215</v>
      </c>
      <c r="I15" s="274" t="s">
        <v>215</v>
      </c>
      <c r="J15" s="274" t="s">
        <v>216</v>
      </c>
      <c r="K15" s="274" t="s">
        <v>215</v>
      </c>
      <c r="L15" s="274" t="s">
        <v>215</v>
      </c>
      <c r="M15" s="274" t="s">
        <v>215</v>
      </c>
      <c r="N15" s="274" t="s">
        <v>215</v>
      </c>
      <c r="O15" s="274" t="s">
        <v>217</v>
      </c>
      <c r="P15" s="274" t="s">
        <v>218</v>
      </c>
      <c r="Q15" s="274" t="s">
        <v>219</v>
      </c>
      <c r="R15" s="320" t="s">
        <v>220</v>
      </c>
      <c r="S15" s="323" t="s">
        <v>221</v>
      </c>
      <c r="T15" s="323" t="s">
        <v>221</v>
      </c>
      <c r="U15" s="274" t="s">
        <v>222</v>
      </c>
      <c r="V15" s="274" t="s">
        <v>222</v>
      </c>
      <c r="W15" s="274" t="s">
        <v>223</v>
      </c>
      <c r="X15" s="274" t="s">
        <v>224</v>
      </c>
      <c r="Y15" s="274" t="s">
        <v>225</v>
      </c>
      <c r="Z15" s="274" t="s">
        <v>225</v>
      </c>
      <c r="AA15" s="274" t="s">
        <v>225</v>
      </c>
      <c r="AB15" s="323" t="s">
        <v>221</v>
      </c>
      <c r="AC15" s="274" t="s">
        <v>226</v>
      </c>
      <c r="AD15" s="274" t="s">
        <v>227</v>
      </c>
      <c r="AE15" s="274" t="s">
        <v>226</v>
      </c>
      <c r="AF15" s="274" t="s">
        <v>228</v>
      </c>
      <c r="AG15" s="274" t="s">
        <v>228</v>
      </c>
      <c r="AH15" s="274" t="s">
        <v>229</v>
      </c>
      <c r="AI15" s="274" t="s">
        <v>230</v>
      </c>
      <c r="AJ15" s="274" t="s">
        <v>228</v>
      </c>
      <c r="AK15" s="274" t="s">
        <v>226</v>
      </c>
      <c r="AL15" s="274" t="s">
        <v>226</v>
      </c>
      <c r="AM15" s="274" t="s">
        <v>226</v>
      </c>
      <c r="AN15" s="274" t="s">
        <v>217</v>
      </c>
      <c r="AO15" s="274" t="s">
        <v>227</v>
      </c>
      <c r="AP15" s="274" t="s">
        <v>228</v>
      </c>
      <c r="AQ15" s="274" t="s">
        <v>229</v>
      </c>
      <c r="AR15" s="274" t="s">
        <v>228</v>
      </c>
      <c r="AS15" s="274" t="s">
        <v>226</v>
      </c>
      <c r="AT15" s="274" t="s">
        <v>949</v>
      </c>
      <c r="AU15" s="274" t="s">
        <v>228</v>
      </c>
      <c r="AV15" s="323" t="s">
        <v>221</v>
      </c>
      <c r="AW15" s="323" t="s">
        <v>221</v>
      </c>
      <c r="AX15" s="323" t="s">
        <v>221</v>
      </c>
      <c r="AY15" s="274" t="s">
        <v>231</v>
      </c>
      <c r="AZ15" s="274" t="s">
        <v>231</v>
      </c>
      <c r="BA15" s="323" t="s">
        <v>221</v>
      </c>
      <c r="BB15" s="323" t="s">
        <v>221</v>
      </c>
      <c r="BC15" s="323" t="s">
        <v>221</v>
      </c>
      <c r="BD15" s="323" t="s">
        <v>221</v>
      </c>
      <c r="BE15" s="274" t="s">
        <v>232</v>
      </c>
      <c r="BF15" s="323" t="s">
        <v>221</v>
      </c>
      <c r="BG15" s="323" t="s">
        <v>221</v>
      </c>
      <c r="BH15" s="323" t="s">
        <v>221</v>
      </c>
      <c r="BI15" s="323" t="s">
        <v>221</v>
      </c>
      <c r="BJ15" s="323" t="s">
        <v>221</v>
      </c>
      <c r="BK15" s="323" t="s">
        <v>221</v>
      </c>
      <c r="BL15" s="323" t="s">
        <v>221</v>
      </c>
      <c r="BM15" s="323" t="s">
        <v>221</v>
      </c>
      <c r="BN15" s="323" t="s">
        <v>221</v>
      </c>
      <c r="BO15" s="323" t="s">
        <v>221</v>
      </c>
      <c r="BP15" s="323" t="s">
        <v>221</v>
      </c>
      <c r="BQ15" s="323" t="s">
        <v>221</v>
      </c>
      <c r="BR15" s="323" t="s">
        <v>221</v>
      </c>
      <c r="BS15" s="323" t="s">
        <v>221</v>
      </c>
      <c r="BT15" s="323" t="s">
        <v>221</v>
      </c>
      <c r="BU15" s="323" t="s">
        <v>221</v>
      </c>
      <c r="BV15" s="323" t="s">
        <v>221</v>
      </c>
      <c r="BW15" s="323" t="s">
        <v>221</v>
      </c>
      <c r="BX15" s="323" t="s">
        <v>221</v>
      </c>
      <c r="BY15" s="323" t="s">
        <v>221</v>
      </c>
      <c r="BZ15" s="323" t="s">
        <v>221</v>
      </c>
      <c r="CA15" s="323" t="s">
        <v>221</v>
      </c>
      <c r="CB15" s="323" t="s">
        <v>221</v>
      </c>
      <c r="CC15" s="323" t="s">
        <v>221</v>
      </c>
      <c r="CD15" s="323" t="s">
        <v>221</v>
      </c>
      <c r="CE15" s="323" t="s">
        <v>221</v>
      </c>
    </row>
    <row r="16" spans="1:83" ht="12.65" customHeight="1" x14ac:dyDescent="0.35">
      <c r="A16" s="275" t="s">
        <v>233</v>
      </c>
      <c r="B16" s="279"/>
      <c r="C16" s="288"/>
      <c r="D16" s="288"/>
      <c r="E16" s="288">
        <v>2194</v>
      </c>
      <c r="F16" s="288"/>
      <c r="G16" s="288"/>
      <c r="H16" s="288"/>
      <c r="I16" s="288"/>
      <c r="J16" s="349">
        <v>681</v>
      </c>
      <c r="K16" s="288"/>
      <c r="L16" s="349">
        <v>2004</v>
      </c>
      <c r="M16" s="288"/>
      <c r="N16" s="288"/>
      <c r="O16" s="349">
        <v>681</v>
      </c>
      <c r="P16" s="289">
        <v>104378</v>
      </c>
      <c r="Q16" s="289"/>
      <c r="R16" s="289"/>
      <c r="S16" s="324"/>
      <c r="T16" s="324"/>
      <c r="U16" s="313">
        <v>132610</v>
      </c>
      <c r="V16" s="289"/>
      <c r="W16" s="289"/>
      <c r="X16" s="289"/>
      <c r="Y16" s="289"/>
      <c r="Z16" s="289"/>
      <c r="AA16" s="289"/>
      <c r="AB16" s="324"/>
      <c r="AC16" s="289"/>
      <c r="AD16" s="289"/>
      <c r="AE16" s="289">
        <v>13743</v>
      </c>
      <c r="AF16" s="289"/>
      <c r="AG16" s="289">
        <v>12190</v>
      </c>
      <c r="AH16" s="289">
        <v>2281</v>
      </c>
      <c r="AI16" s="289">
        <v>2688</v>
      </c>
      <c r="AJ16" s="289">
        <v>45941</v>
      </c>
      <c r="AK16" s="289">
        <v>2488</v>
      </c>
      <c r="AL16" s="289">
        <v>3058</v>
      </c>
      <c r="AM16" s="289"/>
      <c r="AN16" s="289"/>
      <c r="AO16" s="289">
        <f>577*24</f>
        <v>13848</v>
      </c>
      <c r="AP16" s="289">
        <v>13394</v>
      </c>
      <c r="AQ16" s="289"/>
      <c r="AR16" s="289"/>
      <c r="AS16" s="289"/>
      <c r="AT16" s="289"/>
      <c r="AU16" s="289"/>
      <c r="AV16" s="324"/>
      <c r="AW16" s="324"/>
      <c r="AX16" s="324"/>
      <c r="AY16" s="289">
        <v>16892</v>
      </c>
      <c r="AZ16" s="289"/>
      <c r="BA16" s="324">
        <v>190373</v>
      </c>
      <c r="BB16" s="324"/>
      <c r="BC16" s="324"/>
      <c r="BD16" s="324"/>
      <c r="BE16" s="289">
        <v>102179</v>
      </c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4"/>
      <c r="CA16" s="324"/>
      <c r="CB16" s="324"/>
      <c r="CC16" s="324"/>
      <c r="CD16" s="325"/>
      <c r="CE16" s="299"/>
    </row>
    <row r="17" spans="1:84" ht="12.65" customHeight="1" x14ac:dyDescent="0.35">
      <c r="A17" s="326" t="s">
        <v>234</v>
      </c>
      <c r="B17" s="279"/>
      <c r="C17" s="290"/>
      <c r="D17" s="291"/>
      <c r="E17" s="291">
        <v>19.45</v>
      </c>
      <c r="F17" s="312"/>
      <c r="G17" s="291"/>
      <c r="H17" s="291"/>
      <c r="I17" s="291"/>
      <c r="J17" s="355">
        <v>7</v>
      </c>
      <c r="K17" s="291"/>
      <c r="L17" s="353">
        <v>16.59</v>
      </c>
      <c r="M17" s="353"/>
      <c r="N17" s="353"/>
      <c r="O17" s="353">
        <v>22.67</v>
      </c>
      <c r="P17" s="310">
        <v>29.34</v>
      </c>
      <c r="Q17" s="310"/>
      <c r="R17" s="310"/>
      <c r="S17" s="310"/>
      <c r="T17" s="310"/>
      <c r="U17" s="310">
        <v>29.99</v>
      </c>
      <c r="V17" s="310"/>
      <c r="W17" s="310"/>
      <c r="X17" s="310">
        <v>15.31</v>
      </c>
      <c r="Y17" s="310">
        <v>9.51</v>
      </c>
      <c r="Z17" s="310"/>
      <c r="AA17" s="310"/>
      <c r="AB17" s="310">
        <v>2.4</v>
      </c>
      <c r="AC17" s="310">
        <v>16.149999999999999</v>
      </c>
      <c r="AD17" s="310"/>
      <c r="AE17" s="310"/>
      <c r="AF17" s="310"/>
      <c r="AG17" s="310">
        <v>35.840000000000003</v>
      </c>
      <c r="AH17" s="310">
        <v>24.89</v>
      </c>
      <c r="AI17" s="310">
        <v>1.25</v>
      </c>
      <c r="AJ17" s="310">
        <v>49.3</v>
      </c>
      <c r="AK17" s="310"/>
      <c r="AL17" s="310"/>
      <c r="AM17" s="310"/>
      <c r="AN17" s="310"/>
      <c r="AO17" s="310">
        <v>3.41</v>
      </c>
      <c r="AP17" s="310">
        <v>21.83</v>
      </c>
      <c r="AQ17" s="310"/>
      <c r="AR17" s="310"/>
      <c r="AS17" s="310"/>
      <c r="AT17" s="310"/>
      <c r="AU17" s="310"/>
      <c r="AV17" s="310"/>
      <c r="AW17" s="310"/>
      <c r="AX17" s="310"/>
      <c r="AY17" s="310">
        <v>14.59</v>
      </c>
      <c r="AZ17" s="310"/>
      <c r="BA17" s="310">
        <v>3.13</v>
      </c>
      <c r="BB17" s="310">
        <v>1.67</v>
      </c>
      <c r="BC17" s="310"/>
      <c r="BD17" s="310">
        <v>4.4400000000000004</v>
      </c>
      <c r="BE17" s="310">
        <v>7.9</v>
      </c>
      <c r="BF17" s="310">
        <v>13.19</v>
      </c>
      <c r="BG17" s="310"/>
      <c r="BH17" s="310">
        <v>9.23</v>
      </c>
      <c r="BI17" s="310"/>
      <c r="BJ17" s="310">
        <v>4.78</v>
      </c>
      <c r="BK17" s="310">
        <v>26.64</v>
      </c>
      <c r="BL17" s="310"/>
      <c r="BM17" s="310"/>
      <c r="BN17" s="310">
        <v>2.74</v>
      </c>
      <c r="BO17" s="310"/>
      <c r="BP17" s="310">
        <v>2.15</v>
      </c>
      <c r="BQ17" s="310"/>
      <c r="BR17" s="310">
        <v>3.13</v>
      </c>
      <c r="BS17" s="310"/>
      <c r="BT17" s="310"/>
      <c r="BU17" s="310"/>
      <c r="BV17" s="310">
        <v>7.23</v>
      </c>
      <c r="BW17" s="310">
        <v>2.2799999999999998</v>
      </c>
      <c r="BX17" s="310">
        <v>0.24</v>
      </c>
      <c r="BY17" s="310">
        <v>9.4</v>
      </c>
      <c r="BZ17" s="310"/>
      <c r="CA17" s="310"/>
      <c r="CB17" s="310"/>
      <c r="CC17" s="310"/>
      <c r="CD17" s="325" t="s">
        <v>221</v>
      </c>
      <c r="CE17" s="327">
        <f t="shared" ref="CE17:CE27" si="0">SUM(C17:CD17)</f>
        <v>417.6699999999999</v>
      </c>
    </row>
    <row r="18" spans="1:84" ht="12.65" customHeight="1" x14ac:dyDescent="0.35">
      <c r="A18" s="275" t="s">
        <v>235</v>
      </c>
      <c r="B18" s="279"/>
      <c r="C18" s="288"/>
      <c r="D18" s="288"/>
      <c r="E18" s="349">
        <v>669174</v>
      </c>
      <c r="F18" s="289"/>
      <c r="G18" s="288"/>
      <c r="H18" s="288"/>
      <c r="I18" s="289"/>
      <c r="J18" s="348">
        <v>238999</v>
      </c>
      <c r="K18" s="289"/>
      <c r="L18" s="348">
        <v>570892</v>
      </c>
      <c r="M18" s="288"/>
      <c r="N18" s="288"/>
      <c r="O18" s="288">
        <v>1423370</v>
      </c>
      <c r="P18" s="289">
        <v>1349628</v>
      </c>
      <c r="Q18" s="289"/>
      <c r="R18" s="289"/>
      <c r="S18" s="289"/>
      <c r="T18" s="289"/>
      <c r="U18" s="289">
        <v>1264135</v>
      </c>
      <c r="V18" s="289"/>
      <c r="W18" s="289"/>
      <c r="X18" s="348">
        <v>894741</v>
      </c>
      <c r="Y18" s="348">
        <v>555519</v>
      </c>
      <c r="Z18" s="289"/>
      <c r="AA18" s="289"/>
      <c r="AB18" s="289">
        <v>125152</v>
      </c>
      <c r="AC18" s="289">
        <v>596956</v>
      </c>
      <c r="AD18" s="289"/>
      <c r="AE18" s="289"/>
      <c r="AF18" s="289"/>
      <c r="AG18" s="289">
        <v>3297647</v>
      </c>
      <c r="AH18" s="289">
        <v>982467</v>
      </c>
      <c r="AI18" s="289">
        <v>176676</v>
      </c>
      <c r="AJ18" s="289">
        <v>7967033</v>
      </c>
      <c r="AK18" s="289"/>
      <c r="AL18" s="289"/>
      <c r="AM18" s="289"/>
      <c r="AN18" s="289"/>
      <c r="AO18" s="289">
        <v>119375</v>
      </c>
      <c r="AP18" s="289">
        <v>699306</v>
      </c>
      <c r="AQ18" s="289"/>
      <c r="AR18" s="289"/>
      <c r="AS18" s="289"/>
      <c r="AT18" s="289"/>
      <c r="AU18" s="289"/>
      <c r="AV18" s="289"/>
      <c r="AW18" s="289"/>
      <c r="AX18" s="289"/>
      <c r="AY18" s="289">
        <v>459447</v>
      </c>
      <c r="AZ18" s="289"/>
      <c r="BA18" s="289">
        <v>109106</v>
      </c>
      <c r="BB18" s="289">
        <v>172253</v>
      </c>
      <c r="BC18" s="289"/>
      <c r="BD18" s="289">
        <v>223136</v>
      </c>
      <c r="BE18" s="289">
        <v>373241</v>
      </c>
      <c r="BF18" s="289">
        <v>349805</v>
      </c>
      <c r="BG18" s="289"/>
      <c r="BH18" s="289">
        <v>641536</v>
      </c>
      <c r="BI18" s="289"/>
      <c r="BJ18" s="289">
        <v>540398</v>
      </c>
      <c r="BK18" s="289">
        <v>1058021</v>
      </c>
      <c r="BL18" s="289"/>
      <c r="BM18" s="289"/>
      <c r="BN18" s="289">
        <v>730699</v>
      </c>
      <c r="BO18" s="289">
        <v>2118</v>
      </c>
      <c r="BP18" s="289">
        <v>181920</v>
      </c>
      <c r="BQ18" s="289"/>
      <c r="BR18" s="289">
        <v>315660</v>
      </c>
      <c r="BS18" s="289"/>
      <c r="BT18" s="289"/>
      <c r="BU18" s="289"/>
      <c r="BV18" s="289">
        <v>385799</v>
      </c>
      <c r="BW18" s="289">
        <v>219161</v>
      </c>
      <c r="BX18" s="289">
        <v>49050</v>
      </c>
      <c r="BY18" s="289">
        <v>733261</v>
      </c>
      <c r="BZ18" s="289"/>
      <c r="CA18" s="289"/>
      <c r="CB18" s="289"/>
      <c r="CC18" s="289"/>
      <c r="CD18" s="325" t="s">
        <v>221</v>
      </c>
      <c r="CE18" s="299">
        <f t="shared" si="0"/>
        <v>27475681</v>
      </c>
      <c r="CF18" s="328"/>
    </row>
    <row r="19" spans="1:84" ht="12.65" customHeight="1" x14ac:dyDescent="0.35">
      <c r="A19" s="275" t="s">
        <v>3</v>
      </c>
      <c r="B19" s="279"/>
      <c r="C19" s="299">
        <f t="shared" ref="C19:BN19" si="1">ROUND(C4+C5,0)</f>
        <v>0</v>
      </c>
      <c r="D19" s="299">
        <f t="shared" si="1"/>
        <v>0</v>
      </c>
      <c r="E19" s="299">
        <f t="shared" si="1"/>
        <v>152463</v>
      </c>
      <c r="F19" s="299">
        <f t="shared" si="1"/>
        <v>0</v>
      </c>
      <c r="G19" s="299">
        <f t="shared" si="1"/>
        <v>0</v>
      </c>
      <c r="H19" s="299">
        <f t="shared" si="1"/>
        <v>0</v>
      </c>
      <c r="I19" s="299">
        <f t="shared" si="1"/>
        <v>0</v>
      </c>
      <c r="J19" s="299">
        <f>ROUND(J4+J5,0)</f>
        <v>54453</v>
      </c>
      <c r="K19" s="299">
        <f t="shared" si="1"/>
        <v>0</v>
      </c>
      <c r="L19" s="299">
        <f t="shared" si="1"/>
        <v>130071</v>
      </c>
      <c r="M19" s="299">
        <f t="shared" si="1"/>
        <v>0</v>
      </c>
      <c r="N19" s="299">
        <f t="shared" si="1"/>
        <v>0</v>
      </c>
      <c r="O19" s="299">
        <f t="shared" si="1"/>
        <v>324298</v>
      </c>
      <c r="P19" s="299">
        <f t="shared" si="1"/>
        <v>307497</v>
      </c>
      <c r="Q19" s="299">
        <f t="shared" si="1"/>
        <v>0</v>
      </c>
      <c r="R19" s="299">
        <f t="shared" si="1"/>
        <v>0</v>
      </c>
      <c r="S19" s="299">
        <f t="shared" si="1"/>
        <v>0</v>
      </c>
      <c r="T19" s="299">
        <f t="shared" si="1"/>
        <v>0</v>
      </c>
      <c r="U19" s="299">
        <f t="shared" si="1"/>
        <v>288018</v>
      </c>
      <c r="V19" s="299">
        <f t="shared" si="1"/>
        <v>0</v>
      </c>
      <c r="W19" s="299">
        <f t="shared" si="1"/>
        <v>0</v>
      </c>
      <c r="X19" s="299">
        <f t="shared" si="1"/>
        <v>203856</v>
      </c>
      <c r="Y19" s="299">
        <f t="shared" si="1"/>
        <v>126569</v>
      </c>
      <c r="Z19" s="299">
        <f t="shared" si="1"/>
        <v>0</v>
      </c>
      <c r="AA19" s="299">
        <f t="shared" si="1"/>
        <v>0</v>
      </c>
      <c r="AB19" s="299">
        <f t="shared" si="1"/>
        <v>28514</v>
      </c>
      <c r="AC19" s="299">
        <f t="shared" si="1"/>
        <v>136009</v>
      </c>
      <c r="AD19" s="299">
        <f t="shared" si="1"/>
        <v>0</v>
      </c>
      <c r="AE19" s="299">
        <f t="shared" si="1"/>
        <v>0</v>
      </c>
      <c r="AF19" s="299">
        <f t="shared" si="1"/>
        <v>0</v>
      </c>
      <c r="AG19" s="299">
        <f t="shared" si="1"/>
        <v>751330</v>
      </c>
      <c r="AH19" s="299">
        <f t="shared" si="1"/>
        <v>223844</v>
      </c>
      <c r="AI19" s="299">
        <f t="shared" si="1"/>
        <v>40254</v>
      </c>
      <c r="AJ19" s="299">
        <f t="shared" si="1"/>
        <v>1815195</v>
      </c>
      <c r="AK19" s="299">
        <f t="shared" si="1"/>
        <v>0</v>
      </c>
      <c r="AL19" s="299">
        <f t="shared" si="1"/>
        <v>0</v>
      </c>
      <c r="AM19" s="299">
        <f t="shared" si="1"/>
        <v>0</v>
      </c>
      <c r="AN19" s="299">
        <f t="shared" si="1"/>
        <v>0</v>
      </c>
      <c r="AO19" s="299">
        <f t="shared" si="1"/>
        <v>27198</v>
      </c>
      <c r="AP19" s="299">
        <f t="shared" si="1"/>
        <v>159329</v>
      </c>
      <c r="AQ19" s="299">
        <f t="shared" si="1"/>
        <v>0</v>
      </c>
      <c r="AR19" s="299">
        <f t="shared" si="1"/>
        <v>0</v>
      </c>
      <c r="AS19" s="299">
        <f t="shared" si="1"/>
        <v>0</v>
      </c>
      <c r="AT19" s="299">
        <f t="shared" si="1"/>
        <v>0</v>
      </c>
      <c r="AU19" s="299">
        <f t="shared" si="1"/>
        <v>0</v>
      </c>
      <c r="AV19" s="299">
        <f t="shared" si="1"/>
        <v>0</v>
      </c>
      <c r="AW19" s="299">
        <f t="shared" si="1"/>
        <v>0</v>
      </c>
      <c r="AX19" s="299">
        <f t="shared" si="1"/>
        <v>0</v>
      </c>
      <c r="AY19" s="299">
        <f>ROUND(AY4+AY5,0)</f>
        <v>104680</v>
      </c>
      <c r="AZ19" s="299">
        <f>ROUND(AZ4+AZ5,0)</f>
        <v>0</v>
      </c>
      <c r="BA19" s="299">
        <f>ROUND(BA4+BA5,0)</f>
        <v>24859</v>
      </c>
      <c r="BB19" s="299">
        <f t="shared" si="1"/>
        <v>39246</v>
      </c>
      <c r="BC19" s="299">
        <f t="shared" si="1"/>
        <v>0</v>
      </c>
      <c r="BD19" s="299">
        <f t="shared" si="1"/>
        <v>50839</v>
      </c>
      <c r="BE19" s="299">
        <f t="shared" si="1"/>
        <v>85039</v>
      </c>
      <c r="BF19" s="299">
        <f t="shared" si="1"/>
        <v>79699</v>
      </c>
      <c r="BG19" s="299">
        <f t="shared" si="1"/>
        <v>0</v>
      </c>
      <c r="BH19" s="299">
        <f t="shared" si="1"/>
        <v>146166</v>
      </c>
      <c r="BI19" s="299">
        <f t="shared" si="1"/>
        <v>0</v>
      </c>
      <c r="BJ19" s="299">
        <f t="shared" si="1"/>
        <v>123123</v>
      </c>
      <c r="BK19" s="299">
        <f t="shared" si="1"/>
        <v>241058</v>
      </c>
      <c r="BL19" s="299">
        <f t="shared" si="1"/>
        <v>0</v>
      </c>
      <c r="BM19" s="299">
        <f t="shared" si="1"/>
        <v>0</v>
      </c>
      <c r="BN19" s="299">
        <f t="shared" si="1"/>
        <v>166481</v>
      </c>
      <c r="BO19" s="299">
        <f t="shared" ref="BO19:CC19" si="2">ROUND(BO4+BO5,0)</f>
        <v>483</v>
      </c>
      <c r="BP19" s="299">
        <f t="shared" si="2"/>
        <v>41448</v>
      </c>
      <c r="BQ19" s="299">
        <f t="shared" si="2"/>
        <v>0</v>
      </c>
      <c r="BR19" s="299">
        <f t="shared" si="2"/>
        <v>71919</v>
      </c>
      <c r="BS19" s="299">
        <f t="shared" si="2"/>
        <v>0</v>
      </c>
      <c r="BT19" s="299">
        <f t="shared" si="2"/>
        <v>0</v>
      </c>
      <c r="BU19" s="299">
        <f t="shared" si="2"/>
        <v>0</v>
      </c>
      <c r="BV19" s="299">
        <f t="shared" si="2"/>
        <v>87900</v>
      </c>
      <c r="BW19" s="299">
        <f t="shared" si="2"/>
        <v>49933</v>
      </c>
      <c r="BX19" s="299">
        <f t="shared" si="2"/>
        <v>11175</v>
      </c>
      <c r="BY19" s="299">
        <f t="shared" si="2"/>
        <v>167065</v>
      </c>
      <c r="BZ19" s="299">
        <f t="shared" si="2"/>
        <v>0</v>
      </c>
      <c r="CA19" s="299">
        <f t="shared" si="2"/>
        <v>0</v>
      </c>
      <c r="CB19" s="299">
        <f t="shared" si="2"/>
        <v>0</v>
      </c>
      <c r="CC19" s="299">
        <f t="shared" si="2"/>
        <v>0</v>
      </c>
      <c r="CD19" s="325" t="s">
        <v>221</v>
      </c>
      <c r="CE19" s="299">
        <f t="shared" si="0"/>
        <v>6260011</v>
      </c>
      <c r="CF19" s="328"/>
    </row>
    <row r="20" spans="1:84" ht="12.65" customHeight="1" x14ac:dyDescent="0.35">
      <c r="A20" s="275" t="s">
        <v>236</v>
      </c>
      <c r="B20" s="279"/>
      <c r="C20" s="288"/>
      <c r="D20" s="288"/>
      <c r="E20" s="349">
        <v>800738</v>
      </c>
      <c r="F20" s="348"/>
      <c r="G20" s="349"/>
      <c r="H20" s="349"/>
      <c r="I20" s="348"/>
      <c r="J20" s="348">
        <v>285988</v>
      </c>
      <c r="K20" s="348"/>
      <c r="L20" s="348">
        <v>683133</v>
      </c>
      <c r="M20" s="288"/>
      <c r="N20" s="288"/>
      <c r="O20" s="288">
        <v>213750</v>
      </c>
      <c r="P20" s="289">
        <v>69500</v>
      </c>
      <c r="Q20" s="289"/>
      <c r="R20" s="289">
        <v>960000</v>
      </c>
      <c r="S20" s="289"/>
      <c r="T20" s="289"/>
      <c r="U20" s="289">
        <v>9000</v>
      </c>
      <c r="V20" s="289"/>
      <c r="W20" s="289"/>
      <c r="X20" s="348">
        <v>616099</v>
      </c>
      <c r="Y20" s="348">
        <v>382519</v>
      </c>
      <c r="Z20" s="289"/>
      <c r="AA20" s="289"/>
      <c r="AB20" s="289">
        <v>129000</v>
      </c>
      <c r="AC20" s="289"/>
      <c r="AD20" s="289"/>
      <c r="AE20" s="289">
        <v>1467593</v>
      </c>
      <c r="AF20" s="289"/>
      <c r="AG20" s="289">
        <v>259518</v>
      </c>
      <c r="AH20" s="289"/>
      <c r="AI20" s="289"/>
      <c r="AJ20" s="289">
        <v>252480</v>
      </c>
      <c r="AK20" s="289">
        <v>339111</v>
      </c>
      <c r="AL20" s="289">
        <v>283184</v>
      </c>
      <c r="AM20" s="289"/>
      <c r="AN20" s="289"/>
      <c r="AO20" s="289">
        <v>142844</v>
      </c>
      <c r="AP20" s="289">
        <v>29712</v>
      </c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  <c r="BF20" s="289"/>
      <c r="BG20" s="289"/>
      <c r="BH20" s="289"/>
      <c r="BI20" s="289"/>
      <c r="BJ20" s="289">
        <v>201219</v>
      </c>
      <c r="BK20" s="289">
        <v>32418</v>
      </c>
      <c r="BL20" s="289"/>
      <c r="BM20" s="289"/>
      <c r="BN20" s="289">
        <v>71222</v>
      </c>
      <c r="BO20" s="289"/>
      <c r="BP20" s="289"/>
      <c r="BQ20" s="289"/>
      <c r="BR20" s="289">
        <v>74552</v>
      </c>
      <c r="BS20" s="289"/>
      <c r="BT20" s="289"/>
      <c r="BU20" s="289"/>
      <c r="BV20" s="289"/>
      <c r="BW20" s="289">
        <v>89877</v>
      </c>
      <c r="BX20" s="289"/>
      <c r="BY20" s="289">
        <v>6179</v>
      </c>
      <c r="BZ20" s="289"/>
      <c r="CA20" s="289"/>
      <c r="CB20" s="289"/>
      <c r="CC20" s="289"/>
      <c r="CD20" s="325" t="s">
        <v>221</v>
      </c>
      <c r="CE20" s="299">
        <f t="shared" si="0"/>
        <v>7399636</v>
      </c>
      <c r="CF20" s="328"/>
    </row>
    <row r="21" spans="1:84" ht="12.65" customHeight="1" x14ac:dyDescent="0.35">
      <c r="A21" s="275" t="s">
        <v>237</v>
      </c>
      <c r="B21" s="279"/>
      <c r="C21" s="288"/>
      <c r="D21" s="288"/>
      <c r="E21" s="289">
        <v>62924</v>
      </c>
      <c r="F21" s="289"/>
      <c r="G21" s="288"/>
      <c r="H21" s="288"/>
      <c r="I21" s="289"/>
      <c r="J21" s="289">
        <v>22474</v>
      </c>
      <c r="K21" s="289"/>
      <c r="L21" s="289">
        <v>53683</v>
      </c>
      <c r="M21" s="288"/>
      <c r="N21" s="288"/>
      <c r="O21" s="288">
        <v>174724</v>
      </c>
      <c r="P21" s="289">
        <v>1655921</v>
      </c>
      <c r="Q21" s="289"/>
      <c r="R21" s="289">
        <v>12397</v>
      </c>
      <c r="S21" s="289">
        <v>-284</v>
      </c>
      <c r="T21" s="289"/>
      <c r="U21" s="289">
        <v>948518</v>
      </c>
      <c r="V21" s="289"/>
      <c r="W21" s="289"/>
      <c r="X21" s="289">
        <v>82153</v>
      </c>
      <c r="Y21" s="289">
        <v>51006</v>
      </c>
      <c r="Z21" s="289"/>
      <c r="AA21" s="289"/>
      <c r="AB21" s="289">
        <v>1001611</v>
      </c>
      <c r="AC21" s="289">
        <v>65366</v>
      </c>
      <c r="AD21" s="289"/>
      <c r="AE21" s="289">
        <v>36445</v>
      </c>
      <c r="AF21" s="289"/>
      <c r="AG21" s="289">
        <v>120554</v>
      </c>
      <c r="AH21" s="289">
        <v>46215</v>
      </c>
      <c r="AI21" s="289">
        <v>23138</v>
      </c>
      <c r="AJ21" s="289">
        <v>236671</v>
      </c>
      <c r="AK21" s="289">
        <v>5235</v>
      </c>
      <c r="AL21" s="289">
        <v>4689</v>
      </c>
      <c r="AM21" s="289"/>
      <c r="AN21" s="289"/>
      <c r="AO21" s="289">
        <v>11225</v>
      </c>
      <c r="AP21" s="289">
        <v>308335</v>
      </c>
      <c r="AQ21" s="289"/>
      <c r="AR21" s="289"/>
      <c r="AS21" s="289"/>
      <c r="AT21" s="289"/>
      <c r="AU21" s="289"/>
      <c r="AV21" s="289"/>
      <c r="AW21" s="289"/>
      <c r="AX21" s="289"/>
      <c r="AY21" s="289">
        <v>255511</v>
      </c>
      <c r="AZ21" s="289"/>
      <c r="BA21" s="289">
        <v>36411</v>
      </c>
      <c r="BB21" s="289">
        <v>1017</v>
      </c>
      <c r="BC21" s="289"/>
      <c r="BD21" s="289">
        <v>-74970</v>
      </c>
      <c r="BE21" s="289">
        <v>34531</v>
      </c>
      <c r="BF21" s="289">
        <v>24858</v>
      </c>
      <c r="BG21" s="289"/>
      <c r="BH21" s="289">
        <v>1095577</v>
      </c>
      <c r="BI21" s="289"/>
      <c r="BJ21" s="289">
        <v>11926</v>
      </c>
      <c r="BK21" s="289">
        <v>12824</v>
      </c>
      <c r="BL21" s="289"/>
      <c r="BM21" s="289"/>
      <c r="BN21" s="289">
        <v>40016</v>
      </c>
      <c r="BO21" s="289">
        <v>29</v>
      </c>
      <c r="BP21" s="289">
        <v>271497</v>
      </c>
      <c r="BQ21" s="289"/>
      <c r="BR21" s="289">
        <v>176142</v>
      </c>
      <c r="BS21" s="289"/>
      <c r="BT21" s="289"/>
      <c r="BU21" s="289"/>
      <c r="BV21" s="289">
        <v>4396</v>
      </c>
      <c r="BW21" s="289">
        <v>2841</v>
      </c>
      <c r="BX21" s="289">
        <v>1729</v>
      </c>
      <c r="BY21" s="289">
        <v>2306</v>
      </c>
      <c r="BZ21" s="289"/>
      <c r="CA21" s="289"/>
      <c r="CB21" s="289"/>
      <c r="CC21" s="289"/>
      <c r="CD21" s="325" t="s">
        <v>221</v>
      </c>
      <c r="CE21" s="299">
        <f t="shared" si="0"/>
        <v>6819641</v>
      </c>
      <c r="CF21" s="328"/>
    </row>
    <row r="22" spans="1:84" ht="12.65" customHeight="1" x14ac:dyDescent="0.35">
      <c r="A22" s="275" t="s">
        <v>238</v>
      </c>
      <c r="B22" s="279"/>
      <c r="C22" s="288"/>
      <c r="D22" s="288"/>
      <c r="E22" s="288">
        <v>0</v>
      </c>
      <c r="F22" s="288"/>
      <c r="G22" s="288"/>
      <c r="H22" s="288"/>
      <c r="I22" s="289"/>
      <c r="J22" s="288"/>
      <c r="K22" s="289"/>
      <c r="L22" s="289"/>
      <c r="M22" s="288"/>
      <c r="N22" s="288"/>
      <c r="O22" s="288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>
        <v>5911</v>
      </c>
      <c r="AF22" s="289"/>
      <c r="AG22" s="289"/>
      <c r="AH22" s="289">
        <v>49741</v>
      </c>
      <c r="AI22" s="289"/>
      <c r="AJ22" s="289">
        <v>34927</v>
      </c>
      <c r="AK22" s="289">
        <v>638</v>
      </c>
      <c r="AL22" s="289">
        <v>388</v>
      </c>
      <c r="AM22" s="289"/>
      <c r="AN22" s="289"/>
      <c r="AO22" s="289"/>
      <c r="AP22" s="289">
        <v>25485</v>
      </c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>
        <v>475</v>
      </c>
      <c r="BC22" s="289"/>
      <c r="BD22" s="289">
        <v>651</v>
      </c>
      <c r="BE22" s="289">
        <v>284918</v>
      </c>
      <c r="BF22" s="289"/>
      <c r="BG22" s="289"/>
      <c r="BH22" s="289">
        <v>132537</v>
      </c>
      <c r="BI22" s="289"/>
      <c r="BJ22" s="289"/>
      <c r="BK22" s="289"/>
      <c r="BL22" s="289"/>
      <c r="BM22" s="289"/>
      <c r="BN22" s="289"/>
      <c r="BO22" s="289"/>
      <c r="BP22" s="289">
        <v>108</v>
      </c>
      <c r="BQ22" s="289"/>
      <c r="BR22" s="289"/>
      <c r="BS22" s="289"/>
      <c r="BT22" s="289"/>
      <c r="BU22" s="289"/>
      <c r="BV22" s="289"/>
      <c r="BW22" s="289"/>
      <c r="BX22" s="289"/>
      <c r="BY22" s="289"/>
      <c r="BZ22" s="289"/>
      <c r="CA22" s="289"/>
      <c r="CB22" s="289"/>
      <c r="CC22" s="289"/>
      <c r="CD22" s="325" t="s">
        <v>221</v>
      </c>
      <c r="CE22" s="299">
        <f t="shared" si="0"/>
        <v>535779</v>
      </c>
      <c r="CF22" s="328"/>
    </row>
    <row r="23" spans="1:84" ht="12.65" customHeight="1" x14ac:dyDescent="0.35">
      <c r="A23" s="275" t="s">
        <v>239</v>
      </c>
      <c r="B23" s="279"/>
      <c r="C23" s="288"/>
      <c r="D23" s="288"/>
      <c r="E23" s="288">
        <v>9518</v>
      </c>
      <c r="F23" s="288"/>
      <c r="G23" s="288"/>
      <c r="H23" s="288"/>
      <c r="I23" s="288"/>
      <c r="J23" s="288">
        <v>3399</v>
      </c>
      <c r="K23" s="289"/>
      <c r="L23" s="289">
        <v>8120</v>
      </c>
      <c r="M23" s="288"/>
      <c r="N23" s="288"/>
      <c r="O23" s="289">
        <v>15833</v>
      </c>
      <c r="P23" s="289">
        <v>95848</v>
      </c>
      <c r="Q23" s="289"/>
      <c r="R23" s="289">
        <v>4981</v>
      </c>
      <c r="S23" s="288"/>
      <c r="T23" s="288"/>
      <c r="U23" s="289">
        <v>354182</v>
      </c>
      <c r="V23" s="289"/>
      <c r="W23" s="289"/>
      <c r="X23" s="289">
        <v>423281</v>
      </c>
      <c r="Y23" s="289">
        <v>262803</v>
      </c>
      <c r="Z23" s="289"/>
      <c r="AA23" s="289"/>
      <c r="AB23" s="289">
        <v>134034</v>
      </c>
      <c r="AC23" s="289">
        <v>6398</v>
      </c>
      <c r="AD23" s="289"/>
      <c r="AE23" s="289">
        <v>20322</v>
      </c>
      <c r="AF23" s="289"/>
      <c r="AG23" s="289">
        <v>4904</v>
      </c>
      <c r="AH23" s="289">
        <v>127845</v>
      </c>
      <c r="AI23" s="289">
        <v>5989</v>
      </c>
      <c r="AJ23" s="289">
        <v>100033</v>
      </c>
      <c r="AK23" s="289">
        <v>1711</v>
      </c>
      <c r="AL23" s="289">
        <v>866</v>
      </c>
      <c r="AM23" s="289"/>
      <c r="AN23" s="289"/>
      <c r="AO23" s="289">
        <v>1699</v>
      </c>
      <c r="AP23" s="289">
        <v>91495</v>
      </c>
      <c r="AQ23" s="289"/>
      <c r="AR23" s="289"/>
      <c r="AS23" s="289"/>
      <c r="AT23" s="289"/>
      <c r="AU23" s="289"/>
      <c r="AV23" s="289"/>
      <c r="AW23" s="289"/>
      <c r="AX23" s="289"/>
      <c r="AY23" s="289">
        <v>10708</v>
      </c>
      <c r="AZ23" s="289"/>
      <c r="BA23" s="289">
        <v>1545</v>
      </c>
      <c r="BB23" s="289">
        <v>30688</v>
      </c>
      <c r="BC23" s="289"/>
      <c r="BD23" s="289">
        <v>777</v>
      </c>
      <c r="BE23" s="289">
        <v>80728</v>
      </c>
      <c r="BF23" s="289">
        <v>0</v>
      </c>
      <c r="BG23" s="289"/>
      <c r="BH23" s="289">
        <v>270301</v>
      </c>
      <c r="BI23" s="289"/>
      <c r="BJ23" s="289">
        <v>4033</v>
      </c>
      <c r="BK23" s="289">
        <v>429713</v>
      </c>
      <c r="BL23" s="289"/>
      <c r="BM23" s="289"/>
      <c r="BN23" s="289">
        <v>29968</v>
      </c>
      <c r="BO23" s="289"/>
      <c r="BP23" s="289">
        <v>579671</v>
      </c>
      <c r="BQ23" s="289"/>
      <c r="BR23" s="289">
        <v>54511</v>
      </c>
      <c r="BS23" s="289"/>
      <c r="BT23" s="289"/>
      <c r="BU23" s="289"/>
      <c r="BV23" s="289">
        <v>59877</v>
      </c>
      <c r="BW23" s="289">
        <v>13491</v>
      </c>
      <c r="BX23" s="289">
        <v>20931</v>
      </c>
      <c r="BY23" s="289">
        <v>60195</v>
      </c>
      <c r="BZ23" s="289"/>
      <c r="CA23" s="289"/>
      <c r="CB23" s="289"/>
      <c r="CC23" s="289"/>
      <c r="CD23" s="325" t="s">
        <v>221</v>
      </c>
      <c r="CE23" s="299">
        <f t="shared" si="0"/>
        <v>3320398</v>
      </c>
      <c r="CF23" s="328"/>
    </row>
    <row r="24" spans="1:84" ht="12.65" customHeight="1" x14ac:dyDescent="0.35">
      <c r="A24" s="275" t="s">
        <v>6</v>
      </c>
      <c r="B24" s="279"/>
      <c r="C24" s="299">
        <f>ROUND(C8+C9,0)</f>
        <v>0</v>
      </c>
      <c r="D24" s="299">
        <f>ROUND(D8+D9,0)</f>
        <v>0</v>
      </c>
      <c r="E24" s="299">
        <f t="shared" ref="E24:BP24" si="3">ROUND(E8+E9,0)</f>
        <v>99605</v>
      </c>
      <c r="F24" s="299">
        <f t="shared" si="3"/>
        <v>0</v>
      </c>
      <c r="G24" s="299">
        <f t="shared" si="3"/>
        <v>0</v>
      </c>
      <c r="H24" s="299">
        <f t="shared" si="3"/>
        <v>0</v>
      </c>
      <c r="I24" s="299">
        <f t="shared" si="3"/>
        <v>0</v>
      </c>
      <c r="J24" s="299">
        <f>ROUND(J8+J9,0)</f>
        <v>35585</v>
      </c>
      <c r="K24" s="299">
        <f t="shared" si="3"/>
        <v>0</v>
      </c>
      <c r="L24" s="299">
        <f t="shared" si="3"/>
        <v>84969</v>
      </c>
      <c r="M24" s="299">
        <f t="shared" si="3"/>
        <v>0</v>
      </c>
      <c r="N24" s="299">
        <f t="shared" si="3"/>
        <v>0</v>
      </c>
      <c r="O24" s="299">
        <f t="shared" si="3"/>
        <v>52063</v>
      </c>
      <c r="P24" s="299">
        <f t="shared" si="3"/>
        <v>166089</v>
      </c>
      <c r="Q24" s="299">
        <f t="shared" si="3"/>
        <v>0</v>
      </c>
      <c r="R24" s="299">
        <f t="shared" si="3"/>
        <v>3850</v>
      </c>
      <c r="S24" s="299">
        <f t="shared" si="3"/>
        <v>34437</v>
      </c>
      <c r="T24" s="299">
        <f t="shared" si="3"/>
        <v>0</v>
      </c>
      <c r="U24" s="299">
        <f t="shared" si="3"/>
        <v>32405</v>
      </c>
      <c r="V24" s="299">
        <f t="shared" si="3"/>
        <v>0</v>
      </c>
      <c r="W24" s="299">
        <f t="shared" si="3"/>
        <v>0</v>
      </c>
      <c r="X24" s="299">
        <f t="shared" si="3"/>
        <v>72701</v>
      </c>
      <c r="Y24" s="299">
        <f t="shared" si="3"/>
        <v>45127</v>
      </c>
      <c r="Z24" s="299">
        <f t="shared" si="3"/>
        <v>0</v>
      </c>
      <c r="AA24" s="299">
        <f t="shared" si="3"/>
        <v>0</v>
      </c>
      <c r="AB24" s="299">
        <f t="shared" si="3"/>
        <v>9494</v>
      </c>
      <c r="AC24" s="299">
        <f t="shared" si="3"/>
        <v>18391</v>
      </c>
      <c r="AD24" s="299">
        <f t="shared" si="3"/>
        <v>0</v>
      </c>
      <c r="AE24" s="299">
        <f t="shared" si="3"/>
        <v>74447</v>
      </c>
      <c r="AF24" s="299">
        <f t="shared" si="3"/>
        <v>0</v>
      </c>
      <c r="AG24" s="299">
        <f t="shared" si="3"/>
        <v>74208</v>
      </c>
      <c r="AH24" s="299">
        <f t="shared" si="3"/>
        <v>31831</v>
      </c>
      <c r="AI24" s="299">
        <f t="shared" si="3"/>
        <v>15329</v>
      </c>
      <c r="AJ24" s="299">
        <f t="shared" si="3"/>
        <v>478081</v>
      </c>
      <c r="AK24" s="299">
        <f t="shared" si="3"/>
        <v>17984</v>
      </c>
      <c r="AL24" s="299">
        <f t="shared" si="3"/>
        <v>10403</v>
      </c>
      <c r="AM24" s="299">
        <f t="shared" si="3"/>
        <v>0</v>
      </c>
      <c r="AN24" s="299">
        <f t="shared" si="3"/>
        <v>0</v>
      </c>
      <c r="AO24" s="299">
        <f t="shared" si="3"/>
        <v>17745</v>
      </c>
      <c r="AP24" s="299">
        <f t="shared" si="3"/>
        <v>412387</v>
      </c>
      <c r="AQ24" s="299">
        <f t="shared" si="3"/>
        <v>0</v>
      </c>
      <c r="AR24" s="299">
        <f t="shared" si="3"/>
        <v>0</v>
      </c>
      <c r="AS24" s="299">
        <f t="shared" si="3"/>
        <v>0</v>
      </c>
      <c r="AT24" s="299">
        <f t="shared" si="3"/>
        <v>0</v>
      </c>
      <c r="AU24" s="299">
        <f t="shared" si="3"/>
        <v>0</v>
      </c>
      <c r="AV24" s="299">
        <f t="shared" si="3"/>
        <v>0</v>
      </c>
      <c r="AW24" s="299">
        <f t="shared" si="3"/>
        <v>0</v>
      </c>
      <c r="AX24" s="299">
        <f t="shared" si="3"/>
        <v>0</v>
      </c>
      <c r="AY24" s="299">
        <f t="shared" si="3"/>
        <v>51656</v>
      </c>
      <c r="AZ24" s="299">
        <f>ROUND(AZ8+AZ9,0)</f>
        <v>0</v>
      </c>
      <c r="BA24" s="299">
        <f>ROUND(BA8+BA9,0)</f>
        <v>21236</v>
      </c>
      <c r="BB24" s="299">
        <f t="shared" si="3"/>
        <v>8490</v>
      </c>
      <c r="BC24" s="299">
        <f t="shared" si="3"/>
        <v>0</v>
      </c>
      <c r="BD24" s="299">
        <f t="shared" si="3"/>
        <v>0</v>
      </c>
      <c r="BE24" s="299">
        <f t="shared" si="3"/>
        <v>149946</v>
      </c>
      <c r="BF24" s="299">
        <f t="shared" si="3"/>
        <v>20088</v>
      </c>
      <c r="BG24" s="299">
        <f t="shared" si="3"/>
        <v>0</v>
      </c>
      <c r="BH24" s="299">
        <f t="shared" si="3"/>
        <v>16549</v>
      </c>
      <c r="BI24" s="299">
        <f t="shared" si="3"/>
        <v>0</v>
      </c>
      <c r="BJ24" s="299">
        <f t="shared" si="3"/>
        <v>15210</v>
      </c>
      <c r="BK24" s="299">
        <f t="shared" si="3"/>
        <v>42353</v>
      </c>
      <c r="BL24" s="299">
        <f t="shared" si="3"/>
        <v>0</v>
      </c>
      <c r="BM24" s="299">
        <f t="shared" si="3"/>
        <v>0</v>
      </c>
      <c r="BN24" s="299">
        <f t="shared" si="3"/>
        <v>247782</v>
      </c>
      <c r="BO24" s="299">
        <f t="shared" si="3"/>
        <v>0</v>
      </c>
      <c r="BP24" s="299">
        <f t="shared" si="3"/>
        <v>14660</v>
      </c>
      <c r="BQ24" s="299">
        <f t="shared" ref="BQ24:CC24" si="4">ROUND(BQ8+BQ9,0)</f>
        <v>0</v>
      </c>
      <c r="BR24" s="299">
        <f t="shared" si="4"/>
        <v>27287</v>
      </c>
      <c r="BS24" s="299">
        <f t="shared" si="4"/>
        <v>0</v>
      </c>
      <c r="BT24" s="299">
        <f t="shared" si="4"/>
        <v>0</v>
      </c>
      <c r="BU24" s="299">
        <f t="shared" si="4"/>
        <v>0</v>
      </c>
      <c r="BV24" s="299">
        <f t="shared" si="4"/>
        <v>23867</v>
      </c>
      <c r="BW24" s="299">
        <f t="shared" si="4"/>
        <v>3922</v>
      </c>
      <c r="BX24" s="299">
        <f t="shared" si="4"/>
        <v>8322</v>
      </c>
      <c r="BY24" s="299">
        <f t="shared" si="4"/>
        <v>5094</v>
      </c>
      <c r="BZ24" s="299">
        <f t="shared" si="4"/>
        <v>0</v>
      </c>
      <c r="CA24" s="299">
        <f t="shared" si="4"/>
        <v>0</v>
      </c>
      <c r="CB24" s="299">
        <f t="shared" si="4"/>
        <v>0</v>
      </c>
      <c r="CC24" s="299">
        <f t="shared" si="4"/>
        <v>0</v>
      </c>
      <c r="CD24" s="325" t="s">
        <v>221</v>
      </c>
      <c r="CE24" s="299">
        <f t="shared" si="0"/>
        <v>2443593</v>
      </c>
      <c r="CF24" s="328"/>
    </row>
    <row r="25" spans="1:84" ht="12.65" customHeight="1" x14ac:dyDescent="0.35">
      <c r="A25" s="275" t="s">
        <v>240</v>
      </c>
      <c r="B25" s="279"/>
      <c r="C25" s="288"/>
      <c r="D25" s="288"/>
      <c r="E25" s="288">
        <v>29869</v>
      </c>
      <c r="F25" s="288"/>
      <c r="G25" s="288"/>
      <c r="H25" s="288"/>
      <c r="I25" s="288"/>
      <c r="J25" s="288">
        <v>10668</v>
      </c>
      <c r="K25" s="289"/>
      <c r="L25" s="289">
        <v>25482</v>
      </c>
      <c r="M25" s="288"/>
      <c r="N25" s="288"/>
      <c r="O25" s="288">
        <v>23781</v>
      </c>
      <c r="P25" s="289">
        <v>224863</v>
      </c>
      <c r="Q25" s="289"/>
      <c r="R25" s="289">
        <v>0</v>
      </c>
      <c r="S25" s="289"/>
      <c r="T25" s="289"/>
      <c r="U25" s="289">
        <v>111532</v>
      </c>
      <c r="V25" s="289"/>
      <c r="W25" s="289"/>
      <c r="X25" s="289">
        <v>231269</v>
      </c>
      <c r="Y25" s="289">
        <v>143589</v>
      </c>
      <c r="Z25" s="289"/>
      <c r="AA25" s="289"/>
      <c r="AB25" s="289">
        <v>17274</v>
      </c>
      <c r="AC25" s="289">
        <v>13491</v>
      </c>
      <c r="AD25" s="289"/>
      <c r="AE25" s="289">
        <v>229027</v>
      </c>
      <c r="AF25" s="289"/>
      <c r="AG25" s="289">
        <v>33530</v>
      </c>
      <c r="AH25" s="289">
        <v>1276</v>
      </c>
      <c r="AI25" s="289">
        <v>2805</v>
      </c>
      <c r="AJ25" s="289">
        <v>614401</v>
      </c>
      <c r="AK25" s="289">
        <v>11497</v>
      </c>
      <c r="AL25" s="289">
        <v>6279</v>
      </c>
      <c r="AM25" s="289"/>
      <c r="AN25" s="289"/>
      <c r="AO25" s="289">
        <v>5328</v>
      </c>
      <c r="AP25" s="289">
        <v>258370</v>
      </c>
      <c r="AQ25" s="289"/>
      <c r="AR25" s="289"/>
      <c r="AS25" s="289"/>
      <c r="AT25" s="289"/>
      <c r="AU25" s="289"/>
      <c r="AV25" s="289"/>
      <c r="AW25" s="289"/>
      <c r="AX25" s="289"/>
      <c r="AY25" s="289"/>
      <c r="AZ25" s="289"/>
      <c r="BA25" s="289"/>
      <c r="BB25" s="289"/>
      <c r="BC25" s="289"/>
      <c r="BD25" s="289">
        <v>9743</v>
      </c>
      <c r="BE25" s="289">
        <v>2254</v>
      </c>
      <c r="BF25" s="289"/>
      <c r="BG25" s="289"/>
      <c r="BH25" s="289">
        <v>122718</v>
      </c>
      <c r="BI25" s="289"/>
      <c r="BJ25" s="289">
        <v>0</v>
      </c>
      <c r="BK25" s="289">
        <v>1302</v>
      </c>
      <c r="BL25" s="289"/>
      <c r="BM25" s="289"/>
      <c r="BN25" s="289">
        <v>25233</v>
      </c>
      <c r="BO25" s="289"/>
      <c r="BP25" s="289"/>
      <c r="BQ25" s="289"/>
      <c r="BR25" s="289"/>
      <c r="BS25" s="289"/>
      <c r="BT25" s="289"/>
      <c r="BU25" s="289"/>
      <c r="BV25" s="289">
        <v>1950</v>
      </c>
      <c r="BW25" s="289"/>
      <c r="BX25" s="289"/>
      <c r="BY25" s="289">
        <v>0</v>
      </c>
      <c r="BZ25" s="289"/>
      <c r="CA25" s="289"/>
      <c r="CB25" s="289"/>
      <c r="CC25" s="289"/>
      <c r="CD25" s="325" t="s">
        <v>221</v>
      </c>
      <c r="CE25" s="299">
        <f t="shared" si="0"/>
        <v>2157531</v>
      </c>
      <c r="CF25" s="328"/>
    </row>
    <row r="26" spans="1:84" ht="12.65" customHeight="1" x14ac:dyDescent="0.35">
      <c r="A26" s="275" t="s">
        <v>241</v>
      </c>
      <c r="B26" s="279"/>
      <c r="C26" s="288"/>
      <c r="D26" s="288"/>
      <c r="E26" s="289">
        <v>8628</v>
      </c>
      <c r="F26" s="289"/>
      <c r="G26" s="288"/>
      <c r="H26" s="288"/>
      <c r="I26" s="289"/>
      <c r="J26" s="289">
        <v>3082</v>
      </c>
      <c r="K26" s="289"/>
      <c r="L26" s="289">
        <v>7361</v>
      </c>
      <c r="M26" s="288"/>
      <c r="N26" s="288"/>
      <c r="O26" s="288">
        <v>3478</v>
      </c>
      <c r="P26" s="289">
        <v>91757</v>
      </c>
      <c r="Q26" s="289"/>
      <c r="R26" s="313">
        <v>286</v>
      </c>
      <c r="S26" s="289"/>
      <c r="T26" s="288"/>
      <c r="U26" s="289">
        <v>13971</v>
      </c>
      <c r="V26" s="289"/>
      <c r="W26" s="288"/>
      <c r="X26" s="289">
        <v>6767</v>
      </c>
      <c r="Y26" s="289">
        <v>4202</v>
      </c>
      <c r="Z26" s="289"/>
      <c r="AA26" s="289"/>
      <c r="AB26" s="289">
        <v>2219</v>
      </c>
      <c r="AC26" s="289">
        <v>11529</v>
      </c>
      <c r="AD26" s="289"/>
      <c r="AE26" s="289">
        <v>15397</v>
      </c>
      <c r="AF26" s="289"/>
      <c r="AG26" s="289">
        <v>31295</v>
      </c>
      <c r="AH26" s="289">
        <v>19768</v>
      </c>
      <c r="AI26" s="289">
        <v>5425</v>
      </c>
      <c r="AJ26" s="289">
        <v>109199</v>
      </c>
      <c r="AK26" s="289">
        <v>648</v>
      </c>
      <c r="AL26" s="289">
        <v>2173</v>
      </c>
      <c r="AM26" s="289"/>
      <c r="AN26" s="289"/>
      <c r="AO26" s="288">
        <v>1538</v>
      </c>
      <c r="AP26" s="289">
        <v>53861</v>
      </c>
      <c r="AQ26" s="288"/>
      <c r="AR26" s="288"/>
      <c r="AS26" s="288"/>
      <c r="AT26" s="288"/>
      <c r="AU26" s="289"/>
      <c r="AV26" s="289"/>
      <c r="AW26" s="289"/>
      <c r="AX26" s="289"/>
      <c r="AY26" s="289">
        <v>5478</v>
      </c>
      <c r="AZ26" s="289"/>
      <c r="BA26" s="289">
        <v>45</v>
      </c>
      <c r="BB26" s="289">
        <v>1600</v>
      </c>
      <c r="BC26" s="289"/>
      <c r="BD26" s="289">
        <v>79932</v>
      </c>
      <c r="BE26" s="289">
        <v>14079</v>
      </c>
      <c r="BF26" s="289">
        <v>2282</v>
      </c>
      <c r="BG26" s="289"/>
      <c r="BH26" s="313">
        <v>75027</v>
      </c>
      <c r="BI26" s="289"/>
      <c r="BJ26" s="289">
        <v>153436</v>
      </c>
      <c r="BK26" s="289">
        <v>31741</v>
      </c>
      <c r="BL26" s="289"/>
      <c r="BM26" s="289"/>
      <c r="BN26" s="289">
        <v>503165</v>
      </c>
      <c r="BO26" s="289"/>
      <c r="BP26" s="289">
        <v>57204</v>
      </c>
      <c r="BQ26" s="289"/>
      <c r="BR26" s="289">
        <v>87717</v>
      </c>
      <c r="BS26" s="289"/>
      <c r="BT26" s="289"/>
      <c r="BU26" s="289"/>
      <c r="BV26" s="289">
        <v>20001</v>
      </c>
      <c r="BW26" s="289">
        <v>541</v>
      </c>
      <c r="BX26" s="289">
        <v>7675</v>
      </c>
      <c r="BY26" s="289">
        <v>4074</v>
      </c>
      <c r="BZ26" s="289"/>
      <c r="CA26" s="289"/>
      <c r="CB26" s="289"/>
      <c r="CC26" s="289"/>
      <c r="CD26" s="292">
        <v>1089489</v>
      </c>
      <c r="CE26" s="299">
        <f t="shared" si="0"/>
        <v>2526070</v>
      </c>
      <c r="CF26" s="328"/>
    </row>
    <row r="27" spans="1:84" ht="12.65" customHeight="1" x14ac:dyDescent="0.35">
      <c r="A27" s="275" t="s">
        <v>242</v>
      </c>
      <c r="B27" s="279"/>
      <c r="C27" s="288"/>
      <c r="D27" s="288"/>
      <c r="E27" s="288"/>
      <c r="F27" s="289"/>
      <c r="G27" s="288"/>
      <c r="H27" s="288"/>
      <c r="I27" s="288"/>
      <c r="J27" s="289"/>
      <c r="K27" s="289"/>
      <c r="L27" s="289"/>
      <c r="M27" s="288"/>
      <c r="N27" s="288"/>
      <c r="O27" s="288"/>
      <c r="P27" s="288"/>
      <c r="Q27" s="288"/>
      <c r="R27" s="288"/>
      <c r="S27" s="288"/>
      <c r="T27" s="288"/>
      <c r="U27" s="289"/>
      <c r="V27" s="288"/>
      <c r="W27" s="288"/>
      <c r="X27" s="289"/>
      <c r="Y27" s="289"/>
      <c r="Z27" s="289"/>
      <c r="AA27" s="289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  <c r="BH27" s="289"/>
      <c r="BI27" s="289"/>
      <c r="BJ27" s="289"/>
      <c r="BK27" s="289"/>
      <c r="BL27" s="289"/>
      <c r="BM27" s="289"/>
      <c r="BN27" s="289"/>
      <c r="BO27" s="289"/>
      <c r="BP27" s="289"/>
      <c r="BQ27" s="289"/>
      <c r="BR27" s="289"/>
      <c r="BS27" s="289"/>
      <c r="BT27" s="289"/>
      <c r="BU27" s="289"/>
      <c r="BV27" s="289"/>
      <c r="BW27" s="289"/>
      <c r="BX27" s="289"/>
      <c r="BY27" s="289"/>
      <c r="BZ27" s="289"/>
      <c r="CA27" s="289"/>
      <c r="CB27" s="289"/>
      <c r="CC27" s="289"/>
      <c r="CD27" s="292"/>
      <c r="CE27" s="299">
        <f t="shared" si="0"/>
        <v>0</v>
      </c>
      <c r="CF27" s="328"/>
    </row>
    <row r="28" spans="1:84" ht="12.65" customHeight="1" x14ac:dyDescent="0.35">
      <c r="A28" s="275" t="s">
        <v>243</v>
      </c>
      <c r="B28" s="279"/>
      <c r="C28" s="299">
        <f>SUM(C18:C25)+C26-C27</f>
        <v>0</v>
      </c>
      <c r="D28" s="299">
        <f t="shared" ref="D28:AI28" si="5">SUM(D18:D26)-D27</f>
        <v>0</v>
      </c>
      <c r="E28" s="299">
        <f t="shared" si="5"/>
        <v>1832919</v>
      </c>
      <c r="F28" s="299">
        <f t="shared" si="5"/>
        <v>0</v>
      </c>
      <c r="G28" s="299">
        <f t="shared" si="5"/>
        <v>0</v>
      </c>
      <c r="H28" s="299">
        <f t="shared" si="5"/>
        <v>0</v>
      </c>
      <c r="I28" s="299">
        <f t="shared" si="5"/>
        <v>0</v>
      </c>
      <c r="J28" s="299">
        <f t="shared" si="5"/>
        <v>654648</v>
      </c>
      <c r="K28" s="299">
        <f t="shared" si="5"/>
        <v>0</v>
      </c>
      <c r="L28" s="299">
        <f t="shared" si="5"/>
        <v>1563711</v>
      </c>
      <c r="M28" s="299">
        <f t="shared" si="5"/>
        <v>0</v>
      </c>
      <c r="N28" s="299">
        <f t="shared" si="5"/>
        <v>0</v>
      </c>
      <c r="O28" s="299">
        <f t="shared" si="5"/>
        <v>2231297</v>
      </c>
      <c r="P28" s="299">
        <f t="shared" si="5"/>
        <v>3961103</v>
      </c>
      <c r="Q28" s="299">
        <f t="shared" si="5"/>
        <v>0</v>
      </c>
      <c r="R28" s="299">
        <f t="shared" si="5"/>
        <v>981514</v>
      </c>
      <c r="S28" s="299">
        <f t="shared" si="5"/>
        <v>34153</v>
      </c>
      <c r="T28" s="299">
        <f t="shared" si="5"/>
        <v>0</v>
      </c>
      <c r="U28" s="299">
        <f t="shared" si="5"/>
        <v>3021761</v>
      </c>
      <c r="V28" s="299">
        <f t="shared" si="5"/>
        <v>0</v>
      </c>
      <c r="W28" s="299">
        <f t="shared" si="5"/>
        <v>0</v>
      </c>
      <c r="X28" s="299">
        <f t="shared" si="5"/>
        <v>2530867</v>
      </c>
      <c r="Y28" s="299">
        <f t="shared" si="5"/>
        <v>1571334</v>
      </c>
      <c r="Z28" s="299">
        <f t="shared" si="5"/>
        <v>0</v>
      </c>
      <c r="AA28" s="299">
        <f t="shared" si="5"/>
        <v>0</v>
      </c>
      <c r="AB28" s="299">
        <f t="shared" si="5"/>
        <v>1447298</v>
      </c>
      <c r="AC28" s="299">
        <f t="shared" si="5"/>
        <v>848140</v>
      </c>
      <c r="AD28" s="299">
        <f t="shared" si="5"/>
        <v>0</v>
      </c>
      <c r="AE28" s="299">
        <f t="shared" si="5"/>
        <v>1849142</v>
      </c>
      <c r="AF28" s="299">
        <f t="shared" si="5"/>
        <v>0</v>
      </c>
      <c r="AG28" s="299">
        <f t="shared" si="5"/>
        <v>4572986</v>
      </c>
      <c r="AH28" s="299">
        <f t="shared" si="5"/>
        <v>1482987</v>
      </c>
      <c r="AI28" s="299">
        <f t="shared" si="5"/>
        <v>269616</v>
      </c>
      <c r="AJ28" s="299">
        <f t="shared" ref="AJ28:BO28" si="6">SUM(AJ18:AJ26)-AJ27</f>
        <v>11608020</v>
      </c>
      <c r="AK28" s="299">
        <f t="shared" si="6"/>
        <v>376824</v>
      </c>
      <c r="AL28" s="299">
        <f t="shared" si="6"/>
        <v>307982</v>
      </c>
      <c r="AM28" s="299">
        <f t="shared" si="6"/>
        <v>0</v>
      </c>
      <c r="AN28" s="299">
        <f t="shared" si="6"/>
        <v>0</v>
      </c>
      <c r="AO28" s="299">
        <f t="shared" si="6"/>
        <v>326952</v>
      </c>
      <c r="AP28" s="299">
        <f t="shared" si="6"/>
        <v>2038280</v>
      </c>
      <c r="AQ28" s="299">
        <f t="shared" si="6"/>
        <v>0</v>
      </c>
      <c r="AR28" s="299">
        <f t="shared" si="6"/>
        <v>0</v>
      </c>
      <c r="AS28" s="299">
        <f t="shared" si="6"/>
        <v>0</v>
      </c>
      <c r="AT28" s="299">
        <f t="shared" si="6"/>
        <v>0</v>
      </c>
      <c r="AU28" s="299">
        <f t="shared" si="6"/>
        <v>0</v>
      </c>
      <c r="AV28" s="299">
        <f t="shared" si="6"/>
        <v>0</v>
      </c>
      <c r="AW28" s="299">
        <f t="shared" si="6"/>
        <v>0</v>
      </c>
      <c r="AX28" s="299">
        <f t="shared" si="6"/>
        <v>0</v>
      </c>
      <c r="AY28" s="299">
        <f t="shared" si="6"/>
        <v>887480</v>
      </c>
      <c r="AZ28" s="299">
        <f t="shared" si="6"/>
        <v>0</v>
      </c>
      <c r="BA28" s="299">
        <f t="shared" si="6"/>
        <v>193202</v>
      </c>
      <c r="BB28" s="299">
        <f t="shared" si="6"/>
        <v>253769</v>
      </c>
      <c r="BC28" s="299">
        <f t="shared" si="6"/>
        <v>0</v>
      </c>
      <c r="BD28" s="299">
        <f t="shared" si="6"/>
        <v>290108</v>
      </c>
      <c r="BE28" s="299">
        <f t="shared" si="6"/>
        <v>1024736</v>
      </c>
      <c r="BF28" s="299">
        <f t="shared" si="6"/>
        <v>476732</v>
      </c>
      <c r="BG28" s="299">
        <f t="shared" si="6"/>
        <v>0</v>
      </c>
      <c r="BH28" s="299">
        <f t="shared" si="6"/>
        <v>2500411</v>
      </c>
      <c r="BI28" s="299">
        <f t="shared" si="6"/>
        <v>0</v>
      </c>
      <c r="BJ28" s="299">
        <f t="shared" si="6"/>
        <v>1049345</v>
      </c>
      <c r="BK28" s="299">
        <f t="shared" si="6"/>
        <v>1849430</v>
      </c>
      <c r="BL28" s="299">
        <f t="shared" si="6"/>
        <v>0</v>
      </c>
      <c r="BM28" s="299">
        <f t="shared" si="6"/>
        <v>0</v>
      </c>
      <c r="BN28" s="299">
        <f t="shared" si="6"/>
        <v>1814566</v>
      </c>
      <c r="BO28" s="299">
        <f t="shared" si="6"/>
        <v>2630</v>
      </c>
      <c r="BP28" s="299">
        <f t="shared" ref="BP28:CC28" si="7">SUM(BP18:BP26)-BP27</f>
        <v>1146508</v>
      </c>
      <c r="BQ28" s="299">
        <f t="shared" si="7"/>
        <v>0</v>
      </c>
      <c r="BR28" s="299">
        <f t="shared" si="7"/>
        <v>807788</v>
      </c>
      <c r="BS28" s="299">
        <f t="shared" si="7"/>
        <v>0</v>
      </c>
      <c r="BT28" s="299">
        <f t="shared" si="7"/>
        <v>0</v>
      </c>
      <c r="BU28" s="299">
        <f t="shared" si="7"/>
        <v>0</v>
      </c>
      <c r="BV28" s="299">
        <f t="shared" si="7"/>
        <v>583790</v>
      </c>
      <c r="BW28" s="299">
        <f t="shared" si="7"/>
        <v>379766</v>
      </c>
      <c r="BX28" s="299">
        <f t="shared" si="7"/>
        <v>98882</v>
      </c>
      <c r="BY28" s="299">
        <f t="shared" si="7"/>
        <v>978174</v>
      </c>
      <c r="BZ28" s="299">
        <f t="shared" si="7"/>
        <v>0</v>
      </c>
      <c r="CA28" s="299">
        <f t="shared" si="7"/>
        <v>0</v>
      </c>
      <c r="CB28" s="299">
        <f t="shared" si="7"/>
        <v>0</v>
      </c>
      <c r="CC28" s="299">
        <f t="shared" si="7"/>
        <v>0</v>
      </c>
      <c r="CD28" s="321">
        <f>CD26-CD27</f>
        <v>1089489</v>
      </c>
      <c r="CE28" s="299">
        <f>SUM(CE18:CE26)-CE27</f>
        <v>58938340</v>
      </c>
      <c r="CF28" s="328"/>
    </row>
    <row r="29" spans="1:84" ht="12.65" customHeight="1" x14ac:dyDescent="0.35">
      <c r="A29" s="275" t="s">
        <v>244</v>
      </c>
      <c r="B29" s="279"/>
      <c r="C29" s="325" t="s">
        <v>221</v>
      </c>
      <c r="D29" s="325" t="s">
        <v>221</v>
      </c>
      <c r="E29" s="325" t="s">
        <v>221</v>
      </c>
      <c r="F29" s="325" t="s">
        <v>221</v>
      </c>
      <c r="G29" s="325" t="s">
        <v>221</v>
      </c>
      <c r="H29" s="325" t="s">
        <v>221</v>
      </c>
      <c r="I29" s="325" t="s">
        <v>221</v>
      </c>
      <c r="J29" s="325" t="s">
        <v>221</v>
      </c>
      <c r="K29" s="329" t="s">
        <v>221</v>
      </c>
      <c r="L29" s="325" t="s">
        <v>221</v>
      </c>
      <c r="M29" s="325" t="s">
        <v>221</v>
      </c>
      <c r="N29" s="325" t="s">
        <v>221</v>
      </c>
      <c r="O29" s="325" t="s">
        <v>221</v>
      </c>
      <c r="P29" s="325" t="s">
        <v>221</v>
      </c>
      <c r="Q29" s="325" t="s">
        <v>221</v>
      </c>
      <c r="R29" s="325" t="s">
        <v>221</v>
      </c>
      <c r="S29" s="325" t="s">
        <v>221</v>
      </c>
      <c r="T29" s="325" t="s">
        <v>221</v>
      </c>
      <c r="U29" s="325" t="s">
        <v>221</v>
      </c>
      <c r="V29" s="325" t="s">
        <v>221</v>
      </c>
      <c r="W29" s="325" t="s">
        <v>221</v>
      </c>
      <c r="X29" s="325" t="s">
        <v>221</v>
      </c>
      <c r="Y29" s="325" t="s">
        <v>221</v>
      </c>
      <c r="Z29" s="325" t="s">
        <v>221</v>
      </c>
      <c r="AA29" s="325" t="s">
        <v>221</v>
      </c>
      <c r="AB29" s="325" t="s">
        <v>221</v>
      </c>
      <c r="AC29" s="325" t="s">
        <v>221</v>
      </c>
      <c r="AD29" s="325" t="s">
        <v>221</v>
      </c>
      <c r="AE29" s="325" t="s">
        <v>221</v>
      </c>
      <c r="AF29" s="325" t="s">
        <v>221</v>
      </c>
      <c r="AG29" s="325" t="s">
        <v>221</v>
      </c>
      <c r="AH29" s="325" t="s">
        <v>221</v>
      </c>
      <c r="AI29" s="325" t="s">
        <v>221</v>
      </c>
      <c r="AJ29" s="325" t="s">
        <v>221</v>
      </c>
      <c r="AK29" s="325" t="s">
        <v>221</v>
      </c>
      <c r="AL29" s="325" t="s">
        <v>221</v>
      </c>
      <c r="AM29" s="325" t="s">
        <v>221</v>
      </c>
      <c r="AN29" s="325" t="s">
        <v>221</v>
      </c>
      <c r="AO29" s="325" t="s">
        <v>221</v>
      </c>
      <c r="AP29" s="325" t="s">
        <v>221</v>
      </c>
      <c r="AQ29" s="325" t="s">
        <v>221</v>
      </c>
      <c r="AR29" s="325" t="s">
        <v>221</v>
      </c>
      <c r="AS29" s="325" t="s">
        <v>221</v>
      </c>
      <c r="AT29" s="325" t="s">
        <v>221</v>
      </c>
      <c r="AU29" s="325" t="s">
        <v>221</v>
      </c>
      <c r="AV29" s="325" t="s">
        <v>221</v>
      </c>
      <c r="AW29" s="325" t="s">
        <v>221</v>
      </c>
      <c r="AX29" s="325" t="s">
        <v>221</v>
      </c>
      <c r="AY29" s="325" t="s">
        <v>221</v>
      </c>
      <c r="AZ29" s="325" t="s">
        <v>221</v>
      </c>
      <c r="BA29" s="325" t="s">
        <v>221</v>
      </c>
      <c r="BB29" s="325" t="s">
        <v>221</v>
      </c>
      <c r="BC29" s="325" t="s">
        <v>221</v>
      </c>
      <c r="BD29" s="325" t="s">
        <v>221</v>
      </c>
      <c r="BE29" s="325" t="s">
        <v>221</v>
      </c>
      <c r="BF29" s="325" t="s">
        <v>221</v>
      </c>
      <c r="BG29" s="325" t="s">
        <v>221</v>
      </c>
      <c r="BH29" s="325" t="s">
        <v>221</v>
      </c>
      <c r="BI29" s="325" t="s">
        <v>221</v>
      </c>
      <c r="BJ29" s="325" t="s">
        <v>221</v>
      </c>
      <c r="BK29" s="325" t="s">
        <v>221</v>
      </c>
      <c r="BL29" s="325" t="s">
        <v>221</v>
      </c>
      <c r="BM29" s="325" t="s">
        <v>221</v>
      </c>
      <c r="BN29" s="325" t="s">
        <v>221</v>
      </c>
      <c r="BO29" s="325" t="s">
        <v>221</v>
      </c>
      <c r="BP29" s="325" t="s">
        <v>221</v>
      </c>
      <c r="BQ29" s="325" t="s">
        <v>221</v>
      </c>
      <c r="BR29" s="325" t="s">
        <v>221</v>
      </c>
      <c r="BS29" s="325" t="s">
        <v>221</v>
      </c>
      <c r="BT29" s="325" t="s">
        <v>221</v>
      </c>
      <c r="BU29" s="325" t="s">
        <v>221</v>
      </c>
      <c r="BV29" s="325" t="s">
        <v>221</v>
      </c>
      <c r="BW29" s="325" t="s">
        <v>221</v>
      </c>
      <c r="BX29" s="325" t="s">
        <v>221</v>
      </c>
      <c r="BY29" s="325" t="s">
        <v>221</v>
      </c>
      <c r="BZ29" s="325" t="s">
        <v>221</v>
      </c>
      <c r="CA29" s="325" t="s">
        <v>221</v>
      </c>
      <c r="CB29" s="325" t="s">
        <v>221</v>
      </c>
      <c r="CC29" s="325" t="s">
        <v>221</v>
      </c>
      <c r="CD29" s="325" t="s">
        <v>221</v>
      </c>
      <c r="CE29" s="292"/>
      <c r="CF29" s="328"/>
    </row>
    <row r="30" spans="1:84" ht="12.65" customHeight="1" x14ac:dyDescent="0.35">
      <c r="A30" s="275" t="s">
        <v>245</v>
      </c>
      <c r="B30" s="279"/>
      <c r="C30" s="288"/>
      <c r="D30" s="288"/>
      <c r="E30" s="289">
        <v>5034164</v>
      </c>
      <c r="F30" s="289"/>
      <c r="G30" s="288">
        <v>0</v>
      </c>
      <c r="H30" s="288"/>
      <c r="I30" s="289"/>
      <c r="J30" s="289">
        <v>1797980</v>
      </c>
      <c r="K30" s="289"/>
      <c r="L30" s="289">
        <v>4294792</v>
      </c>
      <c r="M30" s="288"/>
      <c r="N30" s="288"/>
      <c r="O30" s="288">
        <v>2063823</v>
      </c>
      <c r="P30" s="289">
        <v>3441233</v>
      </c>
      <c r="Q30" s="289"/>
      <c r="R30" s="289">
        <v>2307506</v>
      </c>
      <c r="S30" s="289">
        <v>1318063</v>
      </c>
      <c r="T30" s="289"/>
      <c r="U30" s="289">
        <v>2630466</v>
      </c>
      <c r="V30" s="289"/>
      <c r="W30" s="289"/>
      <c r="X30" s="289">
        <v>1080053</v>
      </c>
      <c r="Y30" s="289">
        <v>670574</v>
      </c>
      <c r="Z30" s="289"/>
      <c r="AA30" s="289"/>
      <c r="AB30" s="289">
        <v>2411519</v>
      </c>
      <c r="AC30" s="289">
        <v>1679493</v>
      </c>
      <c r="AD30" s="289"/>
      <c r="AE30" s="289">
        <v>577437</v>
      </c>
      <c r="AF30" s="289"/>
      <c r="AG30" s="289">
        <v>597132</v>
      </c>
      <c r="AH30" s="289">
        <v>6952</v>
      </c>
      <c r="AI30" s="289">
        <v>0</v>
      </c>
      <c r="AJ30" s="289">
        <v>260966</v>
      </c>
      <c r="AK30" s="289">
        <v>419726</v>
      </c>
      <c r="AL30" s="289">
        <v>187585</v>
      </c>
      <c r="AM30" s="289"/>
      <c r="AN30" s="289"/>
      <c r="AO30" s="289">
        <v>898052</v>
      </c>
      <c r="AP30" s="289">
        <v>716963</v>
      </c>
      <c r="AQ30" s="289"/>
      <c r="AR30" s="289"/>
      <c r="AS30" s="289"/>
      <c r="AT30" s="289"/>
      <c r="AU30" s="289"/>
      <c r="AV30" s="289"/>
      <c r="AW30" s="325" t="s">
        <v>221</v>
      </c>
      <c r="AX30" s="325" t="s">
        <v>221</v>
      </c>
      <c r="AY30" s="325" t="s">
        <v>221</v>
      </c>
      <c r="AZ30" s="325" t="s">
        <v>221</v>
      </c>
      <c r="BA30" s="325" t="s">
        <v>221</v>
      </c>
      <c r="BB30" s="325" t="s">
        <v>221</v>
      </c>
      <c r="BC30" s="325" t="s">
        <v>221</v>
      </c>
      <c r="BD30" s="325" t="s">
        <v>221</v>
      </c>
      <c r="BE30" s="325" t="s">
        <v>221</v>
      </c>
      <c r="BF30" s="325" t="s">
        <v>221</v>
      </c>
      <c r="BG30" s="325" t="s">
        <v>221</v>
      </c>
      <c r="BH30" s="325" t="s">
        <v>221</v>
      </c>
      <c r="BI30" s="325" t="s">
        <v>221</v>
      </c>
      <c r="BJ30" s="325" t="s">
        <v>221</v>
      </c>
      <c r="BK30" s="325" t="s">
        <v>221</v>
      </c>
      <c r="BL30" s="325" t="s">
        <v>221</v>
      </c>
      <c r="BM30" s="325" t="s">
        <v>221</v>
      </c>
      <c r="BN30" s="325" t="s">
        <v>221</v>
      </c>
      <c r="BO30" s="325" t="s">
        <v>221</v>
      </c>
      <c r="BP30" s="325" t="s">
        <v>221</v>
      </c>
      <c r="BQ30" s="325" t="s">
        <v>221</v>
      </c>
      <c r="BR30" s="325" t="s">
        <v>221</v>
      </c>
      <c r="BS30" s="325" t="s">
        <v>221</v>
      </c>
      <c r="BT30" s="325" t="s">
        <v>221</v>
      </c>
      <c r="BU30" s="325" t="s">
        <v>221</v>
      </c>
      <c r="BV30" s="325" t="s">
        <v>221</v>
      </c>
      <c r="BW30" s="325" t="s">
        <v>221</v>
      </c>
      <c r="BX30" s="325" t="s">
        <v>221</v>
      </c>
      <c r="BY30" s="325" t="s">
        <v>221</v>
      </c>
      <c r="BZ30" s="325" t="s">
        <v>221</v>
      </c>
      <c r="CA30" s="325" t="s">
        <v>221</v>
      </c>
      <c r="CB30" s="325" t="s">
        <v>221</v>
      </c>
      <c r="CC30" s="325" t="s">
        <v>221</v>
      </c>
      <c r="CD30" s="325" t="s">
        <v>221</v>
      </c>
      <c r="CE30" s="299">
        <f t="shared" ref="CE30:CE37" si="8">SUM(C30:CD30)</f>
        <v>32394479</v>
      </c>
      <c r="CF30" s="328"/>
    </row>
    <row r="31" spans="1:84" ht="12.65" customHeight="1" x14ac:dyDescent="0.35">
      <c r="A31" s="275" t="s">
        <v>246</v>
      </c>
      <c r="B31" s="279"/>
      <c r="C31" s="288"/>
      <c r="D31" s="288"/>
      <c r="E31" s="289">
        <v>1126759</v>
      </c>
      <c r="F31" s="289"/>
      <c r="G31" s="288">
        <v>0</v>
      </c>
      <c r="H31" s="288"/>
      <c r="I31" s="288"/>
      <c r="J31" s="289">
        <v>402428</v>
      </c>
      <c r="K31" s="289"/>
      <c r="L31" s="289">
        <v>471709</v>
      </c>
      <c r="M31" s="288"/>
      <c r="N31" s="288"/>
      <c r="O31" s="288">
        <v>466381</v>
      </c>
      <c r="P31" s="289">
        <v>13742179</v>
      </c>
      <c r="Q31" s="289"/>
      <c r="R31" s="289">
        <v>3911236</v>
      </c>
      <c r="S31" s="289">
        <v>3223492</v>
      </c>
      <c r="T31" s="289"/>
      <c r="U31" s="289">
        <v>12896099</v>
      </c>
      <c r="V31" s="289"/>
      <c r="W31" s="289"/>
      <c r="X31" s="289">
        <v>15942795</v>
      </c>
      <c r="Y31" s="289">
        <v>9898427</v>
      </c>
      <c r="Z31" s="289"/>
      <c r="AA31" s="289"/>
      <c r="AB31" s="289">
        <v>2964346</v>
      </c>
      <c r="AC31" s="289">
        <v>1501734</v>
      </c>
      <c r="AD31" s="289"/>
      <c r="AE31" s="289">
        <v>5926084</v>
      </c>
      <c r="AF31" s="289"/>
      <c r="AG31" s="289">
        <v>18148385</v>
      </c>
      <c r="AH31" s="289">
        <v>3056156</v>
      </c>
      <c r="AI31" s="289">
        <v>1071404</v>
      </c>
      <c r="AJ31" s="289">
        <v>9767955</v>
      </c>
      <c r="AK31" s="289">
        <v>623652</v>
      </c>
      <c r="AL31" s="289">
        <v>815071</v>
      </c>
      <c r="AM31" s="289"/>
      <c r="AN31" s="289"/>
      <c r="AO31" s="289">
        <v>690566</v>
      </c>
      <c r="AP31" s="289">
        <v>3026464</v>
      </c>
      <c r="AQ31" s="289"/>
      <c r="AR31" s="289"/>
      <c r="AS31" s="289"/>
      <c r="AT31" s="289"/>
      <c r="AU31" s="289"/>
      <c r="AV31" s="289"/>
      <c r="AW31" s="325" t="s">
        <v>221</v>
      </c>
      <c r="AX31" s="325" t="s">
        <v>221</v>
      </c>
      <c r="AY31" s="325" t="s">
        <v>221</v>
      </c>
      <c r="AZ31" s="325" t="s">
        <v>221</v>
      </c>
      <c r="BA31" s="325" t="s">
        <v>221</v>
      </c>
      <c r="BB31" s="325" t="s">
        <v>221</v>
      </c>
      <c r="BC31" s="325" t="s">
        <v>221</v>
      </c>
      <c r="BD31" s="325" t="s">
        <v>221</v>
      </c>
      <c r="BE31" s="325" t="s">
        <v>221</v>
      </c>
      <c r="BF31" s="325" t="s">
        <v>221</v>
      </c>
      <c r="BG31" s="325" t="s">
        <v>221</v>
      </c>
      <c r="BH31" s="325" t="s">
        <v>221</v>
      </c>
      <c r="BI31" s="325" t="s">
        <v>221</v>
      </c>
      <c r="BJ31" s="325" t="s">
        <v>221</v>
      </c>
      <c r="BK31" s="325" t="s">
        <v>221</v>
      </c>
      <c r="BL31" s="325" t="s">
        <v>221</v>
      </c>
      <c r="BM31" s="325" t="s">
        <v>221</v>
      </c>
      <c r="BN31" s="325" t="s">
        <v>221</v>
      </c>
      <c r="BO31" s="325" t="s">
        <v>221</v>
      </c>
      <c r="BP31" s="325" t="s">
        <v>221</v>
      </c>
      <c r="BQ31" s="325" t="s">
        <v>221</v>
      </c>
      <c r="BR31" s="325" t="s">
        <v>221</v>
      </c>
      <c r="BS31" s="325" t="s">
        <v>221</v>
      </c>
      <c r="BT31" s="325" t="s">
        <v>221</v>
      </c>
      <c r="BU31" s="325" t="s">
        <v>221</v>
      </c>
      <c r="BV31" s="325" t="s">
        <v>221</v>
      </c>
      <c r="BW31" s="325" t="s">
        <v>221</v>
      </c>
      <c r="BX31" s="325" t="s">
        <v>221</v>
      </c>
      <c r="BY31" s="325" t="s">
        <v>221</v>
      </c>
      <c r="BZ31" s="325" t="s">
        <v>221</v>
      </c>
      <c r="CA31" s="325" t="s">
        <v>221</v>
      </c>
      <c r="CB31" s="325" t="s">
        <v>221</v>
      </c>
      <c r="CC31" s="325" t="s">
        <v>221</v>
      </c>
      <c r="CD31" s="325" t="s">
        <v>221</v>
      </c>
      <c r="CE31" s="299">
        <f t="shared" si="8"/>
        <v>109673322</v>
      </c>
      <c r="CF31" s="328"/>
    </row>
    <row r="32" spans="1:84" ht="12.65" customHeight="1" x14ac:dyDescent="0.35">
      <c r="A32" s="275" t="s">
        <v>247</v>
      </c>
      <c r="B32" s="279"/>
      <c r="C32" s="299">
        <f t="shared" ref="C32:AV32" si="9">SUM(C30:C31)</f>
        <v>0</v>
      </c>
      <c r="D32" s="299">
        <f t="shared" si="9"/>
        <v>0</v>
      </c>
      <c r="E32" s="299">
        <f t="shared" si="9"/>
        <v>6160923</v>
      </c>
      <c r="F32" s="299">
        <f t="shared" si="9"/>
        <v>0</v>
      </c>
      <c r="G32" s="299">
        <f t="shared" si="9"/>
        <v>0</v>
      </c>
      <c r="H32" s="299">
        <f t="shared" si="9"/>
        <v>0</v>
      </c>
      <c r="I32" s="299">
        <f t="shared" si="9"/>
        <v>0</v>
      </c>
      <c r="J32" s="299">
        <f t="shared" si="9"/>
        <v>2200408</v>
      </c>
      <c r="K32" s="299">
        <f t="shared" si="9"/>
        <v>0</v>
      </c>
      <c r="L32" s="299">
        <f t="shared" si="9"/>
        <v>4766501</v>
      </c>
      <c r="M32" s="299">
        <f t="shared" si="9"/>
        <v>0</v>
      </c>
      <c r="N32" s="299">
        <f t="shared" si="9"/>
        <v>0</v>
      </c>
      <c r="O32" s="299">
        <f t="shared" si="9"/>
        <v>2530204</v>
      </c>
      <c r="P32" s="299">
        <f t="shared" si="9"/>
        <v>17183412</v>
      </c>
      <c r="Q32" s="299">
        <f t="shared" si="9"/>
        <v>0</v>
      </c>
      <c r="R32" s="299">
        <f t="shared" si="9"/>
        <v>6218742</v>
      </c>
      <c r="S32" s="299">
        <f t="shared" si="9"/>
        <v>4541555</v>
      </c>
      <c r="T32" s="299">
        <f t="shared" si="9"/>
        <v>0</v>
      </c>
      <c r="U32" s="299">
        <f t="shared" si="9"/>
        <v>15526565</v>
      </c>
      <c r="V32" s="299">
        <f t="shared" si="9"/>
        <v>0</v>
      </c>
      <c r="W32" s="299">
        <f t="shared" si="9"/>
        <v>0</v>
      </c>
      <c r="X32" s="299">
        <f t="shared" si="9"/>
        <v>17022848</v>
      </c>
      <c r="Y32" s="299">
        <f t="shared" si="9"/>
        <v>10569001</v>
      </c>
      <c r="Z32" s="299">
        <f t="shared" si="9"/>
        <v>0</v>
      </c>
      <c r="AA32" s="299">
        <f t="shared" si="9"/>
        <v>0</v>
      </c>
      <c r="AB32" s="299">
        <f t="shared" si="9"/>
        <v>5375865</v>
      </c>
      <c r="AC32" s="299">
        <f t="shared" si="9"/>
        <v>3181227</v>
      </c>
      <c r="AD32" s="299">
        <f t="shared" si="9"/>
        <v>0</v>
      </c>
      <c r="AE32" s="299">
        <f t="shared" si="9"/>
        <v>6503521</v>
      </c>
      <c r="AF32" s="299">
        <f t="shared" si="9"/>
        <v>0</v>
      </c>
      <c r="AG32" s="299">
        <f t="shared" si="9"/>
        <v>18745517</v>
      </c>
      <c r="AH32" s="299">
        <f t="shared" si="9"/>
        <v>3063108</v>
      </c>
      <c r="AI32" s="299">
        <f t="shared" si="9"/>
        <v>1071404</v>
      </c>
      <c r="AJ32" s="299">
        <f t="shared" si="9"/>
        <v>10028921</v>
      </c>
      <c r="AK32" s="299">
        <f t="shared" si="9"/>
        <v>1043378</v>
      </c>
      <c r="AL32" s="299">
        <f t="shared" si="9"/>
        <v>1002656</v>
      </c>
      <c r="AM32" s="299">
        <f t="shared" si="9"/>
        <v>0</v>
      </c>
      <c r="AN32" s="299">
        <f t="shared" si="9"/>
        <v>0</v>
      </c>
      <c r="AO32" s="299">
        <f t="shared" si="9"/>
        <v>1588618</v>
      </c>
      <c r="AP32" s="299">
        <f t="shared" si="9"/>
        <v>3743427</v>
      </c>
      <c r="AQ32" s="299">
        <f t="shared" si="9"/>
        <v>0</v>
      </c>
      <c r="AR32" s="299">
        <f t="shared" si="9"/>
        <v>0</v>
      </c>
      <c r="AS32" s="299">
        <f t="shared" si="9"/>
        <v>0</v>
      </c>
      <c r="AT32" s="299">
        <f t="shared" si="9"/>
        <v>0</v>
      </c>
      <c r="AU32" s="299">
        <f t="shared" si="9"/>
        <v>0</v>
      </c>
      <c r="AV32" s="299">
        <f t="shared" si="9"/>
        <v>0</v>
      </c>
      <c r="AW32" s="325" t="s">
        <v>221</v>
      </c>
      <c r="AX32" s="325" t="s">
        <v>221</v>
      </c>
      <c r="AY32" s="325" t="s">
        <v>221</v>
      </c>
      <c r="AZ32" s="325" t="s">
        <v>221</v>
      </c>
      <c r="BA32" s="325" t="s">
        <v>221</v>
      </c>
      <c r="BB32" s="325" t="s">
        <v>221</v>
      </c>
      <c r="BC32" s="325" t="s">
        <v>221</v>
      </c>
      <c r="BD32" s="325" t="s">
        <v>221</v>
      </c>
      <c r="BE32" s="325" t="s">
        <v>221</v>
      </c>
      <c r="BF32" s="325" t="s">
        <v>221</v>
      </c>
      <c r="BG32" s="325" t="s">
        <v>221</v>
      </c>
      <c r="BH32" s="325" t="s">
        <v>221</v>
      </c>
      <c r="BI32" s="325" t="s">
        <v>221</v>
      </c>
      <c r="BJ32" s="325" t="s">
        <v>221</v>
      </c>
      <c r="BK32" s="325" t="s">
        <v>221</v>
      </c>
      <c r="BL32" s="325" t="s">
        <v>221</v>
      </c>
      <c r="BM32" s="325" t="s">
        <v>221</v>
      </c>
      <c r="BN32" s="325" t="s">
        <v>221</v>
      </c>
      <c r="BO32" s="325" t="s">
        <v>221</v>
      </c>
      <c r="BP32" s="325" t="s">
        <v>221</v>
      </c>
      <c r="BQ32" s="325" t="s">
        <v>221</v>
      </c>
      <c r="BR32" s="325" t="s">
        <v>221</v>
      </c>
      <c r="BS32" s="325" t="s">
        <v>221</v>
      </c>
      <c r="BT32" s="325" t="s">
        <v>221</v>
      </c>
      <c r="BU32" s="325" t="s">
        <v>221</v>
      </c>
      <c r="BV32" s="325" t="s">
        <v>221</v>
      </c>
      <c r="BW32" s="325" t="s">
        <v>221</v>
      </c>
      <c r="BX32" s="325" t="s">
        <v>221</v>
      </c>
      <c r="BY32" s="325" t="s">
        <v>221</v>
      </c>
      <c r="BZ32" s="325" t="s">
        <v>221</v>
      </c>
      <c r="CA32" s="325" t="s">
        <v>221</v>
      </c>
      <c r="CB32" s="325" t="s">
        <v>221</v>
      </c>
      <c r="CC32" s="325" t="s">
        <v>221</v>
      </c>
      <c r="CD32" s="325" t="s">
        <v>221</v>
      </c>
      <c r="CE32" s="299">
        <f t="shared" si="8"/>
        <v>142067801</v>
      </c>
      <c r="CF32" s="328"/>
    </row>
    <row r="33" spans="1:84" ht="12.65" customHeight="1" x14ac:dyDescent="0.35">
      <c r="A33" s="275" t="s">
        <v>248</v>
      </c>
      <c r="B33" s="279"/>
      <c r="C33" s="288"/>
      <c r="D33" s="288"/>
      <c r="E33" s="348">
        <v>4165</v>
      </c>
      <c r="F33" s="289"/>
      <c r="G33" s="288"/>
      <c r="H33" s="288"/>
      <c r="I33" s="289"/>
      <c r="J33" s="348">
        <v>1488</v>
      </c>
      <c r="K33" s="289"/>
      <c r="L33" s="348">
        <v>3553</v>
      </c>
      <c r="M33" s="289"/>
      <c r="N33" s="289"/>
      <c r="O33" s="289">
        <v>2177</v>
      </c>
      <c r="P33" s="289">
        <v>6945</v>
      </c>
      <c r="Q33" s="289"/>
      <c r="R33" s="289">
        <v>161</v>
      </c>
      <c r="S33" s="289">
        <v>1440</v>
      </c>
      <c r="T33" s="289"/>
      <c r="U33" s="289">
        <v>1355</v>
      </c>
      <c r="V33" s="289"/>
      <c r="W33" s="348"/>
      <c r="X33" s="348">
        <v>3040</v>
      </c>
      <c r="Y33" s="348">
        <v>1887</v>
      </c>
      <c r="Z33" s="289"/>
      <c r="AA33" s="289"/>
      <c r="AB33" s="289">
        <v>397</v>
      </c>
      <c r="AC33" s="289">
        <v>769</v>
      </c>
      <c r="AD33" s="289"/>
      <c r="AE33" s="289">
        <v>3113</v>
      </c>
      <c r="AF33" s="289"/>
      <c r="AG33" s="289">
        <v>3103</v>
      </c>
      <c r="AH33" s="289">
        <v>1331</v>
      </c>
      <c r="AI33" s="289">
        <v>641</v>
      </c>
      <c r="AJ33" s="348">
        <v>19991</v>
      </c>
      <c r="AK33" s="289">
        <v>752</v>
      </c>
      <c r="AL33" s="289">
        <v>435</v>
      </c>
      <c r="AM33" s="289"/>
      <c r="AN33" s="289"/>
      <c r="AO33" s="289">
        <v>742</v>
      </c>
      <c r="AP33" s="348">
        <v>17244</v>
      </c>
      <c r="AQ33" s="289"/>
      <c r="AR33" s="289"/>
      <c r="AS33" s="289"/>
      <c r="AT33" s="289"/>
      <c r="AU33" s="289"/>
      <c r="AV33" s="289"/>
      <c r="AW33" s="289"/>
      <c r="AX33" s="289"/>
      <c r="AY33" s="289">
        <v>2160</v>
      </c>
      <c r="AZ33" s="289"/>
      <c r="BA33" s="289">
        <v>888</v>
      </c>
      <c r="BB33" s="289">
        <v>355</v>
      </c>
      <c r="BC33" s="289"/>
      <c r="BD33" s="289"/>
      <c r="BE33" s="289">
        <v>6270</v>
      </c>
      <c r="BF33" s="289">
        <v>840</v>
      </c>
      <c r="BG33" s="289"/>
      <c r="BH33" s="289">
        <v>692</v>
      </c>
      <c r="BI33" s="289"/>
      <c r="BJ33" s="289">
        <v>636</v>
      </c>
      <c r="BK33" s="289">
        <v>1771</v>
      </c>
      <c r="BL33" s="289"/>
      <c r="BM33" s="289"/>
      <c r="BN33" s="289">
        <v>10361</v>
      </c>
      <c r="BO33" s="289"/>
      <c r="BP33" s="289">
        <v>613</v>
      </c>
      <c r="BQ33" s="289"/>
      <c r="BR33" s="289">
        <v>1141</v>
      </c>
      <c r="BS33" s="289"/>
      <c r="BT33" s="289"/>
      <c r="BU33" s="289"/>
      <c r="BV33" s="289">
        <v>998</v>
      </c>
      <c r="BW33" s="289">
        <v>164</v>
      </c>
      <c r="BX33" s="289">
        <v>348</v>
      </c>
      <c r="BY33" s="289">
        <v>213</v>
      </c>
      <c r="BZ33" s="289"/>
      <c r="CA33" s="289"/>
      <c r="CB33" s="289"/>
      <c r="CC33" s="289"/>
      <c r="CD33" s="325" t="s">
        <v>221</v>
      </c>
      <c r="CE33" s="299">
        <f t="shared" si="8"/>
        <v>102179</v>
      </c>
      <c r="CF33" s="299">
        <f>BE16-CE33</f>
        <v>0</v>
      </c>
    </row>
    <row r="34" spans="1:84" ht="12.65" customHeight="1" x14ac:dyDescent="0.35">
      <c r="A34" s="275" t="s">
        <v>249</v>
      </c>
      <c r="B34" s="279"/>
      <c r="C34" s="349"/>
      <c r="D34" s="349"/>
      <c r="E34" s="353">
        <v>8049</v>
      </c>
      <c r="F34" s="349"/>
      <c r="G34" s="349"/>
      <c r="H34" s="349"/>
      <c r="I34" s="349"/>
      <c r="J34" s="353">
        <v>0</v>
      </c>
      <c r="K34" s="349"/>
      <c r="L34" s="353">
        <v>6866</v>
      </c>
      <c r="M34" s="349"/>
      <c r="N34" s="349"/>
      <c r="O34" s="353"/>
      <c r="P34" s="353"/>
      <c r="Q34" s="349"/>
      <c r="R34" s="353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53"/>
      <c r="AH34" s="353"/>
      <c r="AI34" s="353"/>
      <c r="AJ34" s="353"/>
      <c r="AK34" s="349"/>
      <c r="AL34" s="349"/>
      <c r="AM34" s="349"/>
      <c r="AN34" s="349"/>
      <c r="AO34" s="353">
        <v>1977</v>
      </c>
      <c r="AP34" s="353"/>
      <c r="AQ34" s="349"/>
      <c r="AR34" s="349"/>
      <c r="AS34" s="349"/>
      <c r="AT34" s="349"/>
      <c r="AU34" s="349"/>
      <c r="AV34" s="349"/>
      <c r="AW34" s="349"/>
      <c r="AX34" s="325" t="s">
        <v>221</v>
      </c>
      <c r="AY34" s="325" t="s">
        <v>221</v>
      </c>
      <c r="AZ34" s="349"/>
      <c r="BA34" s="349"/>
      <c r="BB34" s="349"/>
      <c r="BC34" s="349"/>
      <c r="BD34" s="325" t="s">
        <v>221</v>
      </c>
      <c r="BE34" s="325" t="s">
        <v>221</v>
      </c>
      <c r="BF34" s="349"/>
      <c r="BG34" s="325" t="s">
        <v>221</v>
      </c>
      <c r="BH34" s="349"/>
      <c r="BI34" s="349"/>
      <c r="BJ34" s="325" t="s">
        <v>221</v>
      </c>
      <c r="BK34" s="349"/>
      <c r="BL34" s="349"/>
      <c r="BM34" s="349"/>
      <c r="BN34" s="325" t="s">
        <v>221</v>
      </c>
      <c r="BO34" s="325" t="s">
        <v>221</v>
      </c>
      <c r="BP34" s="325" t="s">
        <v>221</v>
      </c>
      <c r="BQ34" s="325" t="s">
        <v>221</v>
      </c>
      <c r="BR34" s="349"/>
      <c r="BS34" s="349"/>
      <c r="BT34" s="349"/>
      <c r="BU34" s="349"/>
      <c r="BV34" s="349"/>
      <c r="BW34" s="349"/>
      <c r="BX34" s="349"/>
      <c r="BY34" s="349"/>
      <c r="BZ34" s="349"/>
      <c r="CA34" s="349"/>
      <c r="CB34" s="349"/>
      <c r="CC34" s="325" t="s">
        <v>221</v>
      </c>
      <c r="CD34" s="325" t="s">
        <v>221</v>
      </c>
      <c r="CE34" s="331">
        <f>SUM(C34:CD34)</f>
        <v>16892</v>
      </c>
      <c r="CF34" s="331">
        <f>AY16-CE34</f>
        <v>0</v>
      </c>
    </row>
    <row r="35" spans="1:84" ht="12.65" customHeight="1" x14ac:dyDescent="0.35">
      <c r="A35" s="275" t="s">
        <v>250</v>
      </c>
      <c r="B35" s="279"/>
      <c r="C35" s="288"/>
      <c r="D35" s="288"/>
      <c r="E35" s="288">
        <v>1118</v>
      </c>
      <c r="F35" s="288"/>
      <c r="G35" s="288"/>
      <c r="H35" s="288"/>
      <c r="I35" s="288"/>
      <c r="J35" s="288">
        <v>399</v>
      </c>
      <c r="K35" s="288"/>
      <c r="L35" s="288">
        <v>954</v>
      </c>
      <c r="M35" s="288"/>
      <c r="N35" s="288"/>
      <c r="O35" s="288">
        <v>585</v>
      </c>
      <c r="P35" s="288">
        <v>1865</v>
      </c>
      <c r="Q35" s="288"/>
      <c r="R35" s="288">
        <v>43</v>
      </c>
      <c r="S35" s="288">
        <v>387</v>
      </c>
      <c r="T35" s="288"/>
      <c r="U35" s="288">
        <v>364</v>
      </c>
      <c r="V35" s="288"/>
      <c r="W35" s="288"/>
      <c r="X35" s="288">
        <v>851</v>
      </c>
      <c r="Y35" s="288">
        <v>528</v>
      </c>
      <c r="Z35" s="288"/>
      <c r="AA35" s="288"/>
      <c r="AB35" s="288">
        <v>107</v>
      </c>
      <c r="AC35" s="288">
        <v>206</v>
      </c>
      <c r="AD35" s="288"/>
      <c r="AE35" s="288">
        <v>836</v>
      </c>
      <c r="AF35" s="288"/>
      <c r="AG35" s="288">
        <v>833</v>
      </c>
      <c r="AH35" s="288">
        <v>357</v>
      </c>
      <c r="AI35" s="288">
        <v>172</v>
      </c>
      <c r="AJ35" s="288">
        <v>9867</v>
      </c>
      <c r="AK35" s="288">
        <v>202</v>
      </c>
      <c r="AL35" s="288">
        <v>117</v>
      </c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325" t="s">
        <v>221</v>
      </c>
      <c r="AY35" s="325" t="s">
        <v>221</v>
      </c>
      <c r="AZ35" s="325" t="s">
        <v>221</v>
      </c>
      <c r="BA35" s="288">
        <v>238</v>
      </c>
      <c r="BB35" s="288">
        <v>95</v>
      </c>
      <c r="BC35" s="288"/>
      <c r="BD35" s="325" t="s">
        <v>221</v>
      </c>
      <c r="BE35" s="325" t="s">
        <v>221</v>
      </c>
      <c r="BF35" s="325" t="s">
        <v>221</v>
      </c>
      <c r="BG35" s="325" t="s">
        <v>221</v>
      </c>
      <c r="BH35" s="288">
        <v>186</v>
      </c>
      <c r="BI35" s="288"/>
      <c r="BJ35" s="325" t="s">
        <v>221</v>
      </c>
      <c r="BK35" s="288">
        <v>996</v>
      </c>
      <c r="BL35" s="288"/>
      <c r="BM35" s="288"/>
      <c r="BN35" s="325" t="s">
        <v>221</v>
      </c>
      <c r="BO35" s="325" t="s">
        <v>221</v>
      </c>
      <c r="BP35" s="325" t="s">
        <v>221</v>
      </c>
      <c r="BQ35" s="325" t="s">
        <v>221</v>
      </c>
      <c r="BR35" s="325" t="s">
        <v>221</v>
      </c>
      <c r="BS35" s="288"/>
      <c r="BT35" s="288"/>
      <c r="BU35" s="288"/>
      <c r="BV35" s="288">
        <v>268</v>
      </c>
      <c r="BW35" s="288"/>
      <c r="BX35" s="288"/>
      <c r="BY35" s="288">
        <v>151</v>
      </c>
      <c r="BZ35" s="288"/>
      <c r="CA35" s="288"/>
      <c r="CB35" s="288"/>
      <c r="CC35" s="325" t="s">
        <v>221</v>
      </c>
      <c r="CD35" s="325" t="s">
        <v>221</v>
      </c>
      <c r="CE35" s="299">
        <f t="shared" si="8"/>
        <v>21725</v>
      </c>
      <c r="CF35" s="299"/>
    </row>
    <row r="36" spans="1:84" ht="12.65" customHeight="1" x14ac:dyDescent="0.35">
      <c r="A36" s="275" t="s">
        <v>251</v>
      </c>
      <c r="B36" s="279"/>
      <c r="C36" s="314"/>
      <c r="D36" s="314"/>
      <c r="E36" s="288">
        <v>34783</v>
      </c>
      <c r="F36" s="288"/>
      <c r="G36" s="288"/>
      <c r="H36" s="288"/>
      <c r="I36" s="288"/>
      <c r="J36" s="288">
        <v>12423</v>
      </c>
      <c r="K36" s="288"/>
      <c r="L36" s="288">
        <v>29675</v>
      </c>
      <c r="M36" s="288"/>
      <c r="N36" s="288"/>
      <c r="O36" s="288">
        <v>18383</v>
      </c>
      <c r="P36" s="288">
        <v>15077</v>
      </c>
      <c r="Q36" s="288"/>
      <c r="R36" s="288"/>
      <c r="S36" s="288"/>
      <c r="T36" s="288"/>
      <c r="U36" s="288">
        <v>291</v>
      </c>
      <c r="V36" s="288"/>
      <c r="W36" s="288"/>
      <c r="X36" s="288">
        <v>8769</v>
      </c>
      <c r="Y36" s="288">
        <v>5444</v>
      </c>
      <c r="Z36" s="288"/>
      <c r="AA36" s="288"/>
      <c r="AB36" s="288"/>
      <c r="AC36" s="288">
        <v>454</v>
      </c>
      <c r="AD36" s="288"/>
      <c r="AE36" s="288">
        <v>19732</v>
      </c>
      <c r="AF36" s="288"/>
      <c r="AG36" s="288">
        <v>28654</v>
      </c>
      <c r="AH36" s="288">
        <v>2483</v>
      </c>
      <c r="AI36" s="288">
        <v>1235</v>
      </c>
      <c r="AJ36" s="288">
        <v>859</v>
      </c>
      <c r="AK36" s="288">
        <v>2487</v>
      </c>
      <c r="AL36" s="288">
        <v>2426</v>
      </c>
      <c r="AM36" s="288"/>
      <c r="AN36" s="288"/>
      <c r="AO36" s="288">
        <v>6205</v>
      </c>
      <c r="AP36" s="288">
        <v>993</v>
      </c>
      <c r="AQ36" s="288"/>
      <c r="AR36" s="288"/>
      <c r="AS36" s="288"/>
      <c r="AT36" s="288"/>
      <c r="AU36" s="288"/>
      <c r="AV36" s="288"/>
      <c r="AW36" s="288"/>
      <c r="AX36" s="325" t="s">
        <v>221</v>
      </c>
      <c r="AY36" s="325" t="s">
        <v>221</v>
      </c>
      <c r="AZ36" s="325" t="s">
        <v>221</v>
      </c>
      <c r="BA36" s="325" t="s">
        <v>221</v>
      </c>
      <c r="BB36" s="288"/>
      <c r="BC36" s="288"/>
      <c r="BD36" s="325" t="s">
        <v>221</v>
      </c>
      <c r="BE36" s="325" t="s">
        <v>221</v>
      </c>
      <c r="BF36" s="325" t="s">
        <v>221</v>
      </c>
      <c r="BG36" s="325" t="s">
        <v>221</v>
      </c>
      <c r="BH36" s="288"/>
      <c r="BI36" s="288"/>
      <c r="BJ36" s="325" t="s">
        <v>221</v>
      </c>
      <c r="BK36" s="288"/>
      <c r="BL36" s="288"/>
      <c r="BM36" s="288"/>
      <c r="BN36" s="325" t="s">
        <v>221</v>
      </c>
      <c r="BO36" s="325" t="s">
        <v>221</v>
      </c>
      <c r="BP36" s="325" t="s">
        <v>221</v>
      </c>
      <c r="BQ36" s="325" t="s">
        <v>221</v>
      </c>
      <c r="BR36" s="325" t="s">
        <v>221</v>
      </c>
      <c r="BS36" s="288"/>
      <c r="BT36" s="288"/>
      <c r="BU36" s="288"/>
      <c r="BV36" s="288"/>
      <c r="BW36" s="288"/>
      <c r="BX36" s="288"/>
      <c r="BY36" s="288"/>
      <c r="BZ36" s="288"/>
      <c r="CA36" s="288"/>
      <c r="CB36" s="288"/>
      <c r="CC36" s="325" t="s">
        <v>221</v>
      </c>
      <c r="CD36" s="325" t="s">
        <v>221</v>
      </c>
      <c r="CE36" s="299">
        <f t="shared" si="8"/>
        <v>190373</v>
      </c>
      <c r="CF36" s="299">
        <f>BA16-CE36</f>
        <v>0</v>
      </c>
    </row>
    <row r="37" spans="1:84" ht="21" customHeight="1" x14ac:dyDescent="0.35">
      <c r="A37" s="275" t="s">
        <v>252</v>
      </c>
      <c r="B37" s="279"/>
      <c r="C37" s="291"/>
      <c r="D37" s="291"/>
      <c r="E37" s="291">
        <v>9.5</v>
      </c>
      <c r="F37" s="291"/>
      <c r="G37" s="291"/>
      <c r="H37" s="291"/>
      <c r="I37" s="291"/>
      <c r="J37" s="291">
        <v>3</v>
      </c>
      <c r="K37" s="291"/>
      <c r="L37" s="291">
        <v>8.1</v>
      </c>
      <c r="M37" s="291"/>
      <c r="N37" s="291"/>
      <c r="O37" s="291">
        <v>20.43</v>
      </c>
      <c r="P37" s="291">
        <v>17.95</v>
      </c>
      <c r="Q37" s="288"/>
      <c r="R37" s="291"/>
      <c r="S37" s="288"/>
      <c r="T37" s="288"/>
      <c r="U37" s="288"/>
      <c r="V37" s="288"/>
      <c r="W37" s="288"/>
      <c r="X37" s="288">
        <v>0</v>
      </c>
      <c r="Y37" s="288">
        <v>0</v>
      </c>
      <c r="Z37" s="291"/>
      <c r="AA37" s="291"/>
      <c r="AB37" s="291"/>
      <c r="AC37" s="291"/>
      <c r="AD37" s="291"/>
      <c r="AE37" s="291"/>
      <c r="AF37" s="291"/>
      <c r="AG37" s="291">
        <v>21.18</v>
      </c>
      <c r="AH37" s="291"/>
      <c r="AI37" s="291">
        <v>1.25</v>
      </c>
      <c r="AJ37" s="291">
        <v>3.31</v>
      </c>
      <c r="AK37" s="288"/>
      <c r="AL37" s="288"/>
      <c r="AM37" s="288"/>
      <c r="AN37" s="288"/>
      <c r="AO37" s="291">
        <v>2.09</v>
      </c>
      <c r="AP37" s="291">
        <v>3.41</v>
      </c>
      <c r="AQ37" s="288"/>
      <c r="AR37" s="288"/>
      <c r="AS37" s="291"/>
      <c r="AT37" s="291"/>
      <c r="AU37" s="291"/>
      <c r="AV37" s="291"/>
      <c r="AW37" s="325" t="s">
        <v>221</v>
      </c>
      <c r="AX37" s="325" t="s">
        <v>221</v>
      </c>
      <c r="AY37" s="325" t="s">
        <v>221</v>
      </c>
      <c r="AZ37" s="325" t="s">
        <v>221</v>
      </c>
      <c r="BA37" s="325" t="s">
        <v>221</v>
      </c>
      <c r="BB37" s="325" t="s">
        <v>221</v>
      </c>
      <c r="BC37" s="325" t="s">
        <v>221</v>
      </c>
      <c r="BD37" s="325" t="s">
        <v>221</v>
      </c>
      <c r="BE37" s="325" t="s">
        <v>221</v>
      </c>
      <c r="BF37" s="325" t="s">
        <v>221</v>
      </c>
      <c r="BG37" s="325" t="s">
        <v>221</v>
      </c>
      <c r="BH37" s="325" t="s">
        <v>221</v>
      </c>
      <c r="BI37" s="325" t="s">
        <v>221</v>
      </c>
      <c r="BJ37" s="325" t="s">
        <v>221</v>
      </c>
      <c r="BK37" s="325" t="s">
        <v>221</v>
      </c>
      <c r="BL37" s="325" t="s">
        <v>221</v>
      </c>
      <c r="BM37" s="325" t="s">
        <v>221</v>
      </c>
      <c r="BN37" s="325" t="s">
        <v>221</v>
      </c>
      <c r="BO37" s="325" t="s">
        <v>221</v>
      </c>
      <c r="BP37" s="325" t="s">
        <v>221</v>
      </c>
      <c r="BQ37" s="325" t="s">
        <v>221</v>
      </c>
      <c r="BR37" s="325" t="s">
        <v>221</v>
      </c>
      <c r="BS37" s="325" t="s">
        <v>221</v>
      </c>
      <c r="BT37" s="325" t="s">
        <v>221</v>
      </c>
      <c r="BU37" s="330"/>
      <c r="BV37" s="330"/>
      <c r="BW37" s="330"/>
      <c r="BX37" s="330"/>
      <c r="BY37" s="330"/>
      <c r="BZ37" s="330"/>
      <c r="CA37" s="330"/>
      <c r="CB37" s="330"/>
      <c r="CC37" s="325" t="s">
        <v>221</v>
      </c>
      <c r="CD37" s="325" t="s">
        <v>221</v>
      </c>
      <c r="CE37" s="331">
        <f t="shared" si="8"/>
        <v>90.22</v>
      </c>
      <c r="CF37" s="331"/>
    </row>
    <row r="38" spans="1:84" ht="12.65" customHeight="1" x14ac:dyDescent="0.35">
      <c r="A38" s="309" t="s">
        <v>253</v>
      </c>
      <c r="B38" s="309"/>
      <c r="C38" s="309"/>
      <c r="D38" s="309"/>
      <c r="E38" s="309"/>
    </row>
    <row r="39" spans="1:84" ht="12.65" customHeight="1" x14ac:dyDescent="0.35">
      <c r="A39" s="275" t="s">
        <v>254</v>
      </c>
      <c r="B39" s="276"/>
      <c r="C39" s="347" t="s">
        <v>1008</v>
      </c>
      <c r="D39" s="332"/>
      <c r="E39" s="279"/>
    </row>
    <row r="40" spans="1:84" ht="12.65" customHeight="1" x14ac:dyDescent="0.35">
      <c r="A40" s="277" t="s">
        <v>255</v>
      </c>
      <c r="B40" s="276" t="s">
        <v>256</v>
      </c>
      <c r="C40" s="315" t="s">
        <v>998</v>
      </c>
      <c r="D40" s="332"/>
      <c r="E40" s="279"/>
    </row>
    <row r="41" spans="1:84" ht="12.65" customHeight="1" x14ac:dyDescent="0.35">
      <c r="A41" s="277" t="s">
        <v>257</v>
      </c>
      <c r="B41" s="276" t="s">
        <v>256</v>
      </c>
      <c r="C41" s="316" t="s">
        <v>999</v>
      </c>
      <c r="D41" s="306"/>
      <c r="E41" s="305"/>
    </row>
    <row r="42" spans="1:84" ht="12.65" customHeight="1" x14ac:dyDescent="0.35">
      <c r="A42" s="277" t="s">
        <v>988</v>
      </c>
      <c r="B42" s="276"/>
      <c r="C42" s="344" t="s">
        <v>1000</v>
      </c>
      <c r="D42" s="306"/>
      <c r="E42" s="305"/>
    </row>
    <row r="43" spans="1:84" ht="12.65" customHeight="1" x14ac:dyDescent="0.35">
      <c r="A43" s="277" t="s">
        <v>989</v>
      </c>
      <c r="B43" s="276" t="s">
        <v>256</v>
      </c>
      <c r="C43" s="317" t="s">
        <v>1000</v>
      </c>
      <c r="D43" s="306"/>
      <c r="E43" s="305"/>
    </row>
    <row r="44" spans="1:84" ht="12.65" customHeight="1" x14ac:dyDescent="0.35">
      <c r="A44" s="277" t="s">
        <v>258</v>
      </c>
      <c r="B44" s="276" t="s">
        <v>256</v>
      </c>
      <c r="C44" s="316" t="s">
        <v>1005</v>
      </c>
      <c r="D44" s="306"/>
      <c r="E44" s="305"/>
    </row>
    <row r="45" spans="1:84" ht="12.65" customHeight="1" x14ac:dyDescent="0.35">
      <c r="A45" s="277" t="s">
        <v>259</v>
      </c>
      <c r="B45" s="276" t="s">
        <v>256</v>
      </c>
      <c r="C45" s="316" t="s">
        <v>1001</v>
      </c>
      <c r="D45" s="306"/>
      <c r="E45" s="305"/>
    </row>
    <row r="46" spans="1:84" ht="12.65" customHeight="1" x14ac:dyDescent="0.35">
      <c r="A46" s="277" t="s">
        <v>260</v>
      </c>
      <c r="B46" s="276" t="s">
        <v>256</v>
      </c>
      <c r="C46" s="316" t="s">
        <v>1006</v>
      </c>
      <c r="D46" s="306"/>
      <c r="E46" s="305"/>
    </row>
    <row r="47" spans="1:84" ht="12.65" customHeight="1" x14ac:dyDescent="0.35">
      <c r="A47" s="277" t="s">
        <v>261</v>
      </c>
      <c r="B47" s="276" t="s">
        <v>256</v>
      </c>
      <c r="C47" s="354" t="s">
        <v>1009</v>
      </c>
      <c r="D47" s="306"/>
      <c r="E47" s="305"/>
    </row>
    <row r="48" spans="1:84" ht="12.65" customHeight="1" x14ac:dyDescent="0.35">
      <c r="A48" s="277" t="s">
        <v>262</v>
      </c>
      <c r="B48" s="276" t="s">
        <v>256</v>
      </c>
      <c r="C48" s="316" t="s">
        <v>1002</v>
      </c>
      <c r="D48" s="306"/>
      <c r="E48" s="305"/>
    </row>
    <row r="49" spans="1:5" ht="12.65" customHeight="1" x14ac:dyDescent="0.35">
      <c r="A49" s="277" t="s">
        <v>263</v>
      </c>
      <c r="B49" s="276" t="s">
        <v>256</v>
      </c>
      <c r="C49" s="222" t="s">
        <v>1003</v>
      </c>
      <c r="D49" s="332"/>
      <c r="E49" s="279"/>
    </row>
    <row r="50" spans="1:5" ht="12.65" customHeight="1" x14ac:dyDescent="0.35">
      <c r="A50" s="277" t="s">
        <v>264</v>
      </c>
      <c r="B50" s="276" t="s">
        <v>256</v>
      </c>
      <c r="C50" s="271" t="s">
        <v>1004</v>
      </c>
      <c r="D50" s="332"/>
      <c r="E50" s="279"/>
    </row>
    <row r="51" spans="1:5" ht="12.65" customHeight="1" x14ac:dyDescent="0.35">
      <c r="A51" s="277"/>
      <c r="B51" s="277"/>
      <c r="C51" s="295"/>
      <c r="D51" s="279"/>
      <c r="E51" s="279"/>
    </row>
    <row r="52" spans="1:5" ht="12.65" customHeight="1" x14ac:dyDescent="0.35">
      <c r="A52" s="309" t="s">
        <v>265</v>
      </c>
      <c r="B52" s="309"/>
      <c r="C52" s="309"/>
      <c r="D52" s="309"/>
      <c r="E52" s="309"/>
    </row>
    <row r="53" spans="1:5" ht="12.65" customHeight="1" x14ac:dyDescent="0.35">
      <c r="A53" s="333" t="s">
        <v>266</v>
      </c>
      <c r="B53" s="333"/>
      <c r="C53" s="333"/>
      <c r="D53" s="333"/>
      <c r="E53" s="333"/>
    </row>
    <row r="54" spans="1:5" ht="12.65" customHeight="1" x14ac:dyDescent="0.35">
      <c r="A54" s="277" t="s">
        <v>267</v>
      </c>
      <c r="B54" s="276" t="s">
        <v>256</v>
      </c>
      <c r="C54" s="293"/>
      <c r="D54" s="279"/>
      <c r="E54" s="279"/>
    </row>
    <row r="55" spans="1:5" ht="12.65" customHeight="1" x14ac:dyDescent="0.35">
      <c r="A55" s="277" t="s">
        <v>259</v>
      </c>
      <c r="B55" s="276" t="s">
        <v>256</v>
      </c>
      <c r="C55" s="293"/>
      <c r="D55" s="279"/>
      <c r="E55" s="279"/>
    </row>
    <row r="56" spans="1:5" ht="12.65" customHeight="1" x14ac:dyDescent="0.35">
      <c r="A56" s="277" t="s">
        <v>268</v>
      </c>
      <c r="B56" s="276" t="s">
        <v>256</v>
      </c>
      <c r="C56" s="311">
        <v>1</v>
      </c>
      <c r="D56" s="279"/>
      <c r="E56" s="279"/>
    </row>
    <row r="57" spans="1:5" ht="12.65" customHeight="1" x14ac:dyDescent="0.35">
      <c r="A57" s="333" t="s">
        <v>269</v>
      </c>
      <c r="B57" s="333"/>
      <c r="C57" s="333"/>
      <c r="D57" s="333"/>
      <c r="E57" s="333"/>
    </row>
    <row r="58" spans="1:5" ht="12.65" customHeight="1" x14ac:dyDescent="0.35">
      <c r="A58" s="277" t="s">
        <v>270</v>
      </c>
      <c r="B58" s="276" t="s">
        <v>256</v>
      </c>
      <c r="C58" s="293"/>
      <c r="D58" s="279"/>
      <c r="E58" s="279"/>
    </row>
    <row r="59" spans="1:5" ht="12.65" customHeight="1" x14ac:dyDescent="0.35">
      <c r="A59" s="277" t="s">
        <v>132</v>
      </c>
      <c r="B59" s="276" t="s">
        <v>256</v>
      </c>
      <c r="C59" s="311"/>
      <c r="D59" s="279"/>
      <c r="E59" s="279"/>
    </row>
    <row r="60" spans="1:5" ht="12.65" customHeight="1" x14ac:dyDescent="0.35">
      <c r="A60" s="333" t="s">
        <v>271</v>
      </c>
      <c r="B60" s="333"/>
      <c r="C60" s="333"/>
      <c r="D60" s="333"/>
      <c r="E60" s="333"/>
    </row>
    <row r="61" spans="1:5" ht="12.65" customHeight="1" x14ac:dyDescent="0.35">
      <c r="A61" s="277" t="s">
        <v>272</v>
      </c>
      <c r="B61" s="276" t="s">
        <v>256</v>
      </c>
      <c r="C61" s="293"/>
      <c r="D61" s="279"/>
      <c r="E61" s="279"/>
    </row>
    <row r="62" spans="1:5" ht="12.65" customHeight="1" x14ac:dyDescent="0.35">
      <c r="A62" s="277" t="s">
        <v>273</v>
      </c>
      <c r="B62" s="276" t="s">
        <v>256</v>
      </c>
      <c r="C62" s="293"/>
      <c r="D62" s="279"/>
      <c r="E62" s="279"/>
    </row>
    <row r="63" spans="1:5" ht="12.65" customHeight="1" x14ac:dyDescent="0.35">
      <c r="A63" s="277" t="s">
        <v>274</v>
      </c>
      <c r="B63" s="276" t="s">
        <v>256</v>
      </c>
      <c r="C63" s="293"/>
      <c r="D63" s="279"/>
      <c r="E63" s="279"/>
    </row>
    <row r="64" spans="1:5" ht="21.75" customHeight="1" x14ac:dyDescent="0.35">
      <c r="A64" s="277"/>
      <c r="B64" s="276"/>
      <c r="C64" s="294"/>
      <c r="D64" s="279"/>
      <c r="E64" s="279"/>
    </row>
    <row r="65" spans="1:5" ht="13.5" customHeight="1" x14ac:dyDescent="0.35">
      <c r="A65" s="308" t="s">
        <v>275</v>
      </c>
      <c r="B65" s="309"/>
      <c r="C65" s="309"/>
      <c r="D65" s="309"/>
      <c r="E65" s="309"/>
    </row>
    <row r="66" spans="1:5" ht="13.5" customHeight="1" x14ac:dyDescent="0.35">
      <c r="A66" s="277"/>
      <c r="B66" s="276"/>
      <c r="C66" s="294"/>
      <c r="D66" s="279"/>
      <c r="E66" s="279"/>
    </row>
    <row r="67" spans="1:5" ht="12.65" customHeight="1" x14ac:dyDescent="0.35">
      <c r="A67" s="275" t="s">
        <v>276</v>
      </c>
      <c r="B67" s="279"/>
      <c r="C67" s="286" t="s">
        <v>277</v>
      </c>
      <c r="D67" s="274" t="s">
        <v>215</v>
      </c>
      <c r="E67" s="279"/>
    </row>
    <row r="68" spans="1:5" ht="12.65" customHeight="1" x14ac:dyDescent="0.35">
      <c r="A68" s="277" t="s">
        <v>278</v>
      </c>
      <c r="B68" s="276" t="s">
        <v>256</v>
      </c>
      <c r="C68" s="293">
        <v>992</v>
      </c>
      <c r="D68" s="351">
        <v>2194</v>
      </c>
      <c r="E68" s="279"/>
    </row>
    <row r="69" spans="1:5" ht="12.65" customHeight="1" x14ac:dyDescent="0.35">
      <c r="A69" s="277" t="s">
        <v>279</v>
      </c>
      <c r="B69" s="276" t="s">
        <v>256</v>
      </c>
      <c r="C69" s="293">
        <v>141</v>
      </c>
      <c r="D69" s="351">
        <v>2004</v>
      </c>
      <c r="E69" s="279"/>
    </row>
    <row r="70" spans="1:5" ht="12.65" customHeight="1" x14ac:dyDescent="0.35">
      <c r="A70" s="277" t="s">
        <v>280</v>
      </c>
      <c r="B70" s="276" t="s">
        <v>256</v>
      </c>
      <c r="C70" s="293"/>
      <c r="D70" s="278"/>
      <c r="E70" s="279"/>
    </row>
    <row r="71" spans="1:5" ht="12.65" customHeight="1" x14ac:dyDescent="0.35">
      <c r="A71" s="277" t="s">
        <v>281</v>
      </c>
      <c r="B71" s="276" t="s">
        <v>256</v>
      </c>
      <c r="C71" s="293">
        <v>439</v>
      </c>
      <c r="D71" s="278">
        <v>681</v>
      </c>
      <c r="E71" s="279"/>
    </row>
    <row r="72" spans="1:5" ht="12.65" customHeight="1" x14ac:dyDescent="0.35">
      <c r="A72" s="275" t="s">
        <v>282</v>
      </c>
      <c r="B72" s="279"/>
      <c r="C72" s="286" t="s">
        <v>167</v>
      </c>
      <c r="D72" s="279"/>
      <c r="E72" s="279"/>
    </row>
    <row r="73" spans="1:5" ht="12.65" customHeight="1" x14ac:dyDescent="0.35">
      <c r="A73" s="277" t="s">
        <v>283</v>
      </c>
      <c r="B73" s="276" t="s">
        <v>256</v>
      </c>
      <c r="C73" s="293"/>
      <c r="D73" s="279"/>
      <c r="E73" s="279"/>
    </row>
    <row r="74" spans="1:5" ht="12.65" customHeight="1" x14ac:dyDescent="0.35">
      <c r="A74" s="277" t="s">
        <v>284</v>
      </c>
      <c r="B74" s="276" t="s">
        <v>256</v>
      </c>
      <c r="C74" s="293">
        <v>0</v>
      </c>
      <c r="D74" s="279"/>
      <c r="E74" s="279"/>
    </row>
    <row r="75" spans="1:5" ht="12.65" customHeight="1" x14ac:dyDescent="0.35">
      <c r="A75" s="277" t="s">
        <v>976</v>
      </c>
      <c r="B75" s="276" t="s">
        <v>256</v>
      </c>
      <c r="C75" s="293">
        <v>19</v>
      </c>
      <c r="D75" s="279"/>
      <c r="E75" s="279"/>
    </row>
    <row r="76" spans="1:5" ht="12.65" customHeight="1" x14ac:dyDescent="0.35">
      <c r="A76" s="277" t="s">
        <v>285</v>
      </c>
      <c r="B76" s="276" t="s">
        <v>256</v>
      </c>
      <c r="C76" s="293"/>
      <c r="D76" s="279"/>
      <c r="E76" s="279"/>
    </row>
    <row r="77" spans="1:5" ht="12.65" customHeight="1" x14ac:dyDescent="0.35">
      <c r="A77" s="277" t="s">
        <v>286</v>
      </c>
      <c r="B77" s="276" t="s">
        <v>256</v>
      </c>
      <c r="C77" s="293"/>
      <c r="D77" s="279"/>
      <c r="E77" s="279"/>
    </row>
    <row r="78" spans="1:5" ht="12.65" customHeight="1" x14ac:dyDescent="0.35">
      <c r="A78" s="277" t="s">
        <v>287</v>
      </c>
      <c r="B78" s="276" t="s">
        <v>256</v>
      </c>
      <c r="C78" s="293"/>
      <c r="D78" s="279"/>
      <c r="E78" s="279"/>
    </row>
    <row r="79" spans="1:5" ht="12.65" customHeight="1" x14ac:dyDescent="0.35">
      <c r="A79" s="277" t="s">
        <v>97</v>
      </c>
      <c r="B79" s="276" t="s">
        <v>256</v>
      </c>
      <c r="C79" s="293"/>
      <c r="D79" s="279"/>
      <c r="E79" s="279"/>
    </row>
    <row r="80" spans="1:5" ht="12.65" customHeight="1" x14ac:dyDescent="0.35">
      <c r="A80" s="277" t="s">
        <v>288</v>
      </c>
      <c r="B80" s="276" t="s">
        <v>256</v>
      </c>
      <c r="C80" s="293"/>
      <c r="D80" s="279"/>
      <c r="E80" s="279"/>
    </row>
    <row r="81" spans="1:5" ht="12.65" customHeight="1" x14ac:dyDescent="0.35">
      <c r="A81" s="277" t="s">
        <v>289</v>
      </c>
      <c r="B81" s="276"/>
      <c r="C81" s="293">
        <v>6</v>
      </c>
      <c r="D81" s="279"/>
      <c r="E81" s="279"/>
    </row>
    <row r="82" spans="1:5" ht="12.65" customHeight="1" x14ac:dyDescent="0.35">
      <c r="A82" s="277" t="s">
        <v>280</v>
      </c>
      <c r="B82" s="276" t="s">
        <v>256</v>
      </c>
      <c r="C82" s="293"/>
      <c r="D82" s="279"/>
      <c r="E82" s="279"/>
    </row>
    <row r="83" spans="1:5" ht="12.65" customHeight="1" x14ac:dyDescent="0.35">
      <c r="A83" s="277" t="s">
        <v>290</v>
      </c>
      <c r="B83" s="276" t="s">
        <v>256</v>
      </c>
      <c r="C83" s="293"/>
      <c r="D83" s="279"/>
      <c r="E83" s="279"/>
    </row>
    <row r="84" spans="1:5" ht="12.65" customHeight="1" x14ac:dyDescent="0.35">
      <c r="A84" s="277" t="s">
        <v>291</v>
      </c>
      <c r="B84" s="279"/>
      <c r="C84" s="295"/>
      <c r="D84" s="279"/>
      <c r="E84" s="279">
        <f>SUM(C73:C83)</f>
        <v>25</v>
      </c>
    </row>
    <row r="85" spans="1:5" ht="12.65" customHeight="1" x14ac:dyDescent="0.35">
      <c r="A85" s="277" t="s">
        <v>292</v>
      </c>
      <c r="B85" s="276" t="s">
        <v>256</v>
      </c>
      <c r="C85" s="293"/>
      <c r="D85" s="279"/>
      <c r="E85" s="279"/>
    </row>
    <row r="86" spans="1:5" ht="12.65" customHeight="1" x14ac:dyDescent="0.35">
      <c r="A86" s="277" t="s">
        <v>293</v>
      </c>
      <c r="B86" s="276" t="s">
        <v>256</v>
      </c>
      <c r="C86" s="293"/>
      <c r="D86" s="279"/>
      <c r="E86" s="279"/>
    </row>
    <row r="87" spans="1:5" ht="12.65" customHeight="1" x14ac:dyDescent="0.35">
      <c r="A87" s="277"/>
      <c r="B87" s="279"/>
      <c r="C87" s="295"/>
      <c r="D87" s="279"/>
      <c r="E87" s="279"/>
    </row>
    <row r="88" spans="1:5" ht="12.65" customHeight="1" x14ac:dyDescent="0.35">
      <c r="A88" s="277" t="s">
        <v>294</v>
      </c>
      <c r="B88" s="276" t="s">
        <v>256</v>
      </c>
      <c r="C88" s="293"/>
      <c r="D88" s="279"/>
      <c r="E88" s="279"/>
    </row>
    <row r="89" spans="1:5" ht="12.65" customHeight="1" x14ac:dyDescent="0.35">
      <c r="A89" s="277"/>
      <c r="B89" s="277"/>
      <c r="C89" s="295"/>
      <c r="D89" s="279"/>
      <c r="E89" s="279"/>
    </row>
    <row r="90" spans="1:5" ht="12.65" customHeight="1" x14ac:dyDescent="0.35">
      <c r="A90" s="277"/>
      <c r="B90" s="277"/>
      <c r="C90" s="295"/>
      <c r="D90" s="279"/>
      <c r="E90" s="279"/>
    </row>
    <row r="91" spans="1:5" ht="12.65" customHeight="1" x14ac:dyDescent="0.35">
      <c r="A91" s="277"/>
      <c r="B91" s="277"/>
      <c r="C91" s="295"/>
      <c r="D91" s="279"/>
      <c r="E91" s="279"/>
    </row>
    <row r="92" spans="1:5" ht="18" customHeight="1" x14ac:dyDescent="0.35">
      <c r="A92" s="277"/>
      <c r="B92" s="277"/>
      <c r="C92" s="295"/>
      <c r="D92" s="279"/>
      <c r="E92" s="279"/>
    </row>
    <row r="93" spans="1:5" ht="12.65" customHeight="1" x14ac:dyDescent="0.35">
      <c r="A93" s="309" t="s">
        <v>977</v>
      </c>
      <c r="B93" s="308"/>
      <c r="C93" s="308"/>
      <c r="D93" s="308"/>
      <c r="E93" s="308"/>
    </row>
    <row r="94" spans="1:5" ht="12.65" customHeight="1" x14ac:dyDescent="0.35">
      <c r="A94" s="334" t="s">
        <v>295</v>
      </c>
      <c r="B94" s="280" t="s">
        <v>296</v>
      </c>
      <c r="C94" s="296" t="s">
        <v>297</v>
      </c>
      <c r="D94" s="280" t="s">
        <v>132</v>
      </c>
      <c r="E94" s="280" t="s">
        <v>203</v>
      </c>
    </row>
    <row r="95" spans="1:5" ht="12.65" customHeight="1" x14ac:dyDescent="0.35">
      <c r="A95" s="277" t="s">
        <v>277</v>
      </c>
      <c r="B95" s="278">
        <v>425</v>
      </c>
      <c r="C95" s="293">
        <v>502</v>
      </c>
      <c r="D95" s="278">
        <v>65</v>
      </c>
      <c r="E95" s="279">
        <f>SUM(B95:D95)</f>
        <v>992</v>
      </c>
    </row>
    <row r="96" spans="1:5" ht="12.65" customHeight="1" x14ac:dyDescent="0.35">
      <c r="A96" s="277" t="s">
        <v>215</v>
      </c>
      <c r="B96" s="351">
        <v>940</v>
      </c>
      <c r="C96" s="352">
        <v>1111</v>
      </c>
      <c r="D96" s="351">
        <f>2194-1111-940</f>
        <v>143</v>
      </c>
      <c r="E96" s="279">
        <f>SUM(B96:D96)</f>
        <v>2194</v>
      </c>
    </row>
    <row r="97" spans="1:6" ht="12.65" customHeight="1" x14ac:dyDescent="0.35">
      <c r="A97" s="277" t="s">
        <v>298</v>
      </c>
      <c r="B97" s="278"/>
      <c r="C97" s="278"/>
      <c r="D97" s="278"/>
      <c r="E97" s="279">
        <f>SUM(B97:D97)</f>
        <v>0</v>
      </c>
    </row>
    <row r="98" spans="1:6" ht="12.65" customHeight="1" x14ac:dyDescent="0.35">
      <c r="A98" s="277" t="s">
        <v>245</v>
      </c>
      <c r="B98" s="278">
        <v>6640811</v>
      </c>
      <c r="C98" s="293">
        <v>14088837</v>
      </c>
      <c r="D98" s="278">
        <v>8102928</v>
      </c>
      <c r="E98" s="279">
        <f>SUM(B98:D98)</f>
        <v>28832576</v>
      </c>
      <c r="F98" s="303"/>
    </row>
    <row r="99" spans="1:6" ht="12.65" customHeight="1" x14ac:dyDescent="0.35">
      <c r="A99" s="277" t="s">
        <v>246</v>
      </c>
      <c r="B99" s="278">
        <v>35306983</v>
      </c>
      <c r="C99" s="293">
        <v>31593950</v>
      </c>
      <c r="D99" s="278">
        <v>42332439</v>
      </c>
      <c r="E99" s="279">
        <f>SUM(B99:D99)</f>
        <v>109233372</v>
      </c>
      <c r="F99" s="303"/>
    </row>
    <row r="100" spans="1:6" ht="12.65" customHeight="1" x14ac:dyDescent="0.35">
      <c r="A100" s="334" t="s">
        <v>299</v>
      </c>
      <c r="B100" s="280" t="s">
        <v>296</v>
      </c>
      <c r="C100" s="296" t="s">
        <v>297</v>
      </c>
      <c r="D100" s="280" t="s">
        <v>132</v>
      </c>
      <c r="E100" s="280" t="s">
        <v>203</v>
      </c>
    </row>
    <row r="101" spans="1:6" ht="12.65" customHeight="1" x14ac:dyDescent="0.35">
      <c r="A101" s="277" t="s">
        <v>277</v>
      </c>
      <c r="B101" s="351">
        <v>133</v>
      </c>
      <c r="C101" s="352">
        <v>0</v>
      </c>
      <c r="D101" s="351">
        <v>8</v>
      </c>
      <c r="E101" s="279">
        <f>SUM(B101:D101)</f>
        <v>141</v>
      </c>
    </row>
    <row r="102" spans="1:6" ht="12.65" customHeight="1" x14ac:dyDescent="0.35">
      <c r="A102" s="277" t="s">
        <v>215</v>
      </c>
      <c r="B102" s="351">
        <v>1896</v>
      </c>
      <c r="C102" s="352">
        <v>0</v>
      </c>
      <c r="D102" s="351">
        <v>108</v>
      </c>
      <c r="E102" s="279">
        <f>SUM(B102:D102)</f>
        <v>2004</v>
      </c>
    </row>
    <row r="103" spans="1:6" ht="12.65" customHeight="1" x14ac:dyDescent="0.35">
      <c r="A103" s="277" t="s">
        <v>298</v>
      </c>
      <c r="B103" s="351"/>
      <c r="C103" s="352"/>
      <c r="D103" s="351"/>
      <c r="E103" s="279">
        <f>SUM(B103:D103)</f>
        <v>0</v>
      </c>
    </row>
    <row r="104" spans="1:6" ht="12.65" customHeight="1" x14ac:dyDescent="0.35">
      <c r="A104" s="277" t="s">
        <v>245</v>
      </c>
      <c r="B104" s="351">
        <v>3369942</v>
      </c>
      <c r="C104" s="352">
        <v>0</v>
      </c>
      <c r="D104" s="351">
        <v>191959</v>
      </c>
      <c r="E104" s="279">
        <f>SUM(B104:D104)</f>
        <v>3561901</v>
      </c>
    </row>
    <row r="105" spans="1:6" ht="12.65" customHeight="1" x14ac:dyDescent="0.35">
      <c r="A105" s="277" t="s">
        <v>246</v>
      </c>
      <c r="B105" s="351">
        <v>416239</v>
      </c>
      <c r="C105" s="352">
        <v>0</v>
      </c>
      <c r="D105" s="351">
        <v>23710</v>
      </c>
      <c r="E105" s="279">
        <f>SUM(B105:D105)</f>
        <v>439949</v>
      </c>
    </row>
    <row r="106" spans="1:6" ht="12.65" customHeight="1" x14ac:dyDescent="0.35">
      <c r="A106" s="334" t="s">
        <v>300</v>
      </c>
      <c r="B106" s="280" t="s">
        <v>296</v>
      </c>
      <c r="C106" s="296" t="s">
        <v>297</v>
      </c>
      <c r="D106" s="280" t="s">
        <v>132</v>
      </c>
      <c r="E106" s="280" t="s">
        <v>203</v>
      </c>
    </row>
    <row r="107" spans="1:6" ht="12.65" customHeight="1" x14ac:dyDescent="0.35">
      <c r="A107" s="277" t="s">
        <v>277</v>
      </c>
      <c r="B107" s="278"/>
      <c r="C107" s="293"/>
      <c r="D107" s="278"/>
      <c r="E107" s="279">
        <f>SUM(B107:D107)</f>
        <v>0</v>
      </c>
    </row>
    <row r="108" spans="1:6" ht="12.65" customHeight="1" x14ac:dyDescent="0.35">
      <c r="A108" s="277" t="s">
        <v>215</v>
      </c>
      <c r="B108" s="278"/>
      <c r="C108" s="293"/>
      <c r="D108" s="278"/>
      <c r="E108" s="279">
        <f>SUM(B108:D108)</f>
        <v>0</v>
      </c>
    </row>
    <row r="109" spans="1:6" ht="12.65" customHeight="1" x14ac:dyDescent="0.35">
      <c r="A109" s="277" t="s">
        <v>298</v>
      </c>
      <c r="B109" s="278"/>
      <c r="C109" s="293"/>
      <c r="D109" s="278"/>
      <c r="E109" s="279">
        <f>SUM(B109:D109)</f>
        <v>0</v>
      </c>
    </row>
    <row r="110" spans="1:6" ht="12.65" customHeight="1" x14ac:dyDescent="0.35">
      <c r="A110" s="277" t="s">
        <v>245</v>
      </c>
      <c r="B110" s="278"/>
      <c r="C110" s="293"/>
      <c r="D110" s="278"/>
      <c r="E110" s="279">
        <f>SUM(B110:D110)</f>
        <v>0</v>
      </c>
    </row>
    <row r="111" spans="1:6" ht="12.65" customHeight="1" x14ac:dyDescent="0.35">
      <c r="A111" s="277" t="s">
        <v>246</v>
      </c>
      <c r="B111" s="278"/>
      <c r="C111" s="293"/>
      <c r="D111" s="278"/>
      <c r="E111" s="279">
        <f>SUM(B111:D111)</f>
        <v>0</v>
      </c>
    </row>
    <row r="112" spans="1:6" ht="12.65" customHeight="1" x14ac:dyDescent="0.35">
      <c r="A112" s="281"/>
      <c r="B112" s="281"/>
      <c r="C112" s="297"/>
      <c r="D112" s="282"/>
      <c r="E112" s="279"/>
    </row>
    <row r="113" spans="1:5" ht="12.65" customHeight="1" x14ac:dyDescent="0.35">
      <c r="A113" s="334" t="s">
        <v>301</v>
      </c>
      <c r="B113" s="280" t="s">
        <v>302</v>
      </c>
      <c r="C113" s="296" t="s">
        <v>303</v>
      </c>
      <c r="D113" s="279"/>
      <c r="E113" s="279"/>
    </row>
    <row r="114" spans="1:5" ht="12.65" customHeight="1" x14ac:dyDescent="0.35">
      <c r="A114" s="281" t="s">
        <v>304</v>
      </c>
      <c r="B114" s="278">
        <v>18014014</v>
      </c>
      <c r="C114" s="351">
        <v>7664078</v>
      </c>
      <c r="D114" s="279"/>
      <c r="E114" s="279"/>
    </row>
    <row r="115" spans="1:5" ht="12.65" customHeight="1" x14ac:dyDescent="0.35">
      <c r="A115" s="281"/>
      <c r="B115" s="282"/>
      <c r="C115" s="297"/>
      <c r="D115" s="279"/>
      <c r="E115" s="279"/>
    </row>
    <row r="116" spans="1:5" ht="12.65" customHeight="1" x14ac:dyDescent="0.35">
      <c r="A116" s="281"/>
      <c r="B116" s="281"/>
      <c r="C116" s="297"/>
      <c r="D116" s="282"/>
      <c r="E116" s="279"/>
    </row>
    <row r="117" spans="1:5" ht="12.65" customHeight="1" x14ac:dyDescent="0.35">
      <c r="A117" s="281"/>
      <c r="B117" s="281"/>
      <c r="C117" s="297"/>
      <c r="D117" s="282"/>
      <c r="E117" s="279"/>
    </row>
    <row r="118" spans="1:5" ht="12.65" customHeight="1" x14ac:dyDescent="0.35">
      <c r="A118" s="281"/>
      <c r="B118" s="281"/>
      <c r="C118" s="297"/>
      <c r="D118" s="282"/>
      <c r="E118" s="279"/>
    </row>
    <row r="119" spans="1:5" ht="21.75" customHeight="1" x14ac:dyDescent="0.35">
      <c r="A119" s="281"/>
      <c r="B119" s="281"/>
      <c r="C119" s="297"/>
      <c r="D119" s="282"/>
      <c r="E119" s="279"/>
    </row>
    <row r="120" spans="1:5" ht="11.5" customHeight="1" x14ac:dyDescent="0.35">
      <c r="A120" s="308" t="s">
        <v>305</v>
      </c>
      <c r="B120" s="309"/>
      <c r="C120" s="309"/>
      <c r="D120" s="309"/>
      <c r="E120" s="309"/>
    </row>
    <row r="121" spans="1:5" ht="11.5" customHeight="1" x14ac:dyDescent="0.35">
      <c r="A121" s="333" t="s">
        <v>306</v>
      </c>
      <c r="B121" s="333"/>
      <c r="C121" s="333"/>
      <c r="D121" s="333"/>
      <c r="E121" s="333"/>
    </row>
    <row r="122" spans="1:5" ht="11.5" customHeight="1" x14ac:dyDescent="0.35">
      <c r="A122" s="277" t="s">
        <v>307</v>
      </c>
      <c r="B122" s="276" t="s">
        <v>256</v>
      </c>
      <c r="C122" s="293">
        <v>1738200</v>
      </c>
      <c r="D122" s="279"/>
      <c r="E122" s="279"/>
    </row>
    <row r="123" spans="1:5" ht="11.5" customHeight="1" x14ac:dyDescent="0.35">
      <c r="A123" s="277" t="s">
        <v>308</v>
      </c>
      <c r="B123" s="276" t="s">
        <v>256</v>
      </c>
      <c r="C123" s="293">
        <v>76556</v>
      </c>
      <c r="D123" s="279"/>
      <c r="E123" s="279"/>
    </row>
    <row r="124" spans="1:5" ht="11.5" customHeight="1" x14ac:dyDescent="0.35">
      <c r="A124" s="281" t="s">
        <v>309</v>
      </c>
      <c r="B124" s="276" t="s">
        <v>256</v>
      </c>
      <c r="C124" s="293">
        <v>153841</v>
      </c>
      <c r="D124" s="279"/>
      <c r="E124" s="279"/>
    </row>
    <row r="125" spans="1:5" ht="11.5" customHeight="1" x14ac:dyDescent="0.35">
      <c r="A125" s="277" t="s">
        <v>310</v>
      </c>
      <c r="B125" s="276" t="s">
        <v>256</v>
      </c>
      <c r="C125" s="293">
        <v>3500171</v>
      </c>
      <c r="D125" s="279"/>
      <c r="E125" s="279"/>
    </row>
    <row r="126" spans="1:5" ht="11.5" customHeight="1" x14ac:dyDescent="0.35">
      <c r="A126" s="277" t="s">
        <v>311</v>
      </c>
      <c r="B126" s="276" t="s">
        <v>256</v>
      </c>
      <c r="C126" s="293">
        <v>66095</v>
      </c>
      <c r="D126" s="279"/>
      <c r="E126" s="279"/>
    </row>
    <row r="127" spans="1:5" ht="11.5" customHeight="1" x14ac:dyDescent="0.35">
      <c r="A127" s="277" t="s">
        <v>312</v>
      </c>
      <c r="B127" s="276" t="s">
        <v>256</v>
      </c>
      <c r="C127" s="293">
        <v>699737</v>
      </c>
      <c r="D127" s="279"/>
      <c r="E127" s="279"/>
    </row>
    <row r="128" spans="1:5" ht="11.5" customHeight="1" x14ac:dyDescent="0.35">
      <c r="A128" s="277" t="s">
        <v>313</v>
      </c>
      <c r="B128" s="276" t="s">
        <v>256</v>
      </c>
      <c r="C128" s="293">
        <v>0</v>
      </c>
      <c r="D128" s="279"/>
      <c r="E128" s="279"/>
    </row>
    <row r="129" spans="1:5" ht="11.5" customHeight="1" x14ac:dyDescent="0.35">
      <c r="A129" s="277" t="s">
        <v>313</v>
      </c>
      <c r="B129" s="276" t="s">
        <v>256</v>
      </c>
      <c r="C129" s="293">
        <v>25413</v>
      </c>
      <c r="D129" s="279"/>
      <c r="E129" s="279"/>
    </row>
    <row r="130" spans="1:5" ht="11.5" customHeight="1" x14ac:dyDescent="0.35">
      <c r="A130" s="277" t="s">
        <v>203</v>
      </c>
      <c r="B130" s="279"/>
      <c r="C130" s="295"/>
      <c r="D130" s="279">
        <f>SUM(C122:C129)</f>
        <v>6260013</v>
      </c>
      <c r="E130" s="279"/>
    </row>
    <row r="131" spans="1:5" ht="11.5" customHeight="1" x14ac:dyDescent="0.35">
      <c r="A131" s="333" t="s">
        <v>314</v>
      </c>
      <c r="B131" s="333"/>
      <c r="C131" s="333"/>
      <c r="D131" s="333"/>
      <c r="E131" s="333"/>
    </row>
    <row r="132" spans="1:5" ht="11.5" customHeight="1" x14ac:dyDescent="0.35">
      <c r="A132" s="277" t="s">
        <v>315</v>
      </c>
      <c r="B132" s="276" t="s">
        <v>256</v>
      </c>
      <c r="C132" s="293">
        <v>1118998</v>
      </c>
      <c r="D132" s="279"/>
      <c r="E132" s="279"/>
    </row>
    <row r="133" spans="1:5" ht="11.5" customHeight="1" x14ac:dyDescent="0.35">
      <c r="A133" s="277" t="s">
        <v>316</v>
      </c>
      <c r="B133" s="276" t="s">
        <v>256</v>
      </c>
      <c r="C133" s="293">
        <v>1038533</v>
      </c>
      <c r="D133" s="279"/>
      <c r="E133" s="279"/>
    </row>
    <row r="134" spans="1:5" ht="11.5" customHeight="1" x14ac:dyDescent="0.35">
      <c r="A134" s="277" t="s">
        <v>203</v>
      </c>
      <c r="B134" s="279"/>
      <c r="C134" s="295"/>
      <c r="D134" s="279">
        <f>SUM(C132:C133)</f>
        <v>2157531</v>
      </c>
      <c r="E134" s="279"/>
    </row>
    <row r="135" spans="1:5" ht="11.5" customHeight="1" x14ac:dyDescent="0.35">
      <c r="A135" s="333" t="s">
        <v>317</v>
      </c>
      <c r="B135" s="333"/>
      <c r="C135" s="333"/>
      <c r="D135" s="333"/>
      <c r="E135" s="333"/>
    </row>
    <row r="136" spans="1:5" ht="11.5" customHeight="1" x14ac:dyDescent="0.35">
      <c r="A136" s="277" t="s">
        <v>318</v>
      </c>
      <c r="B136" s="276" t="s">
        <v>256</v>
      </c>
      <c r="C136" s="352">
        <v>217975</v>
      </c>
      <c r="D136" s="279"/>
      <c r="E136" s="279"/>
    </row>
    <row r="137" spans="1:5" ht="11.5" customHeight="1" x14ac:dyDescent="0.35">
      <c r="A137" s="277" t="s">
        <v>319</v>
      </c>
      <c r="B137" s="276" t="s">
        <v>256</v>
      </c>
      <c r="C137" s="352">
        <v>94624</v>
      </c>
      <c r="D137" s="279"/>
      <c r="E137" s="279"/>
    </row>
    <row r="138" spans="1:5" ht="11.5" customHeight="1" x14ac:dyDescent="0.35">
      <c r="A138" s="277" t="s">
        <v>203</v>
      </c>
      <c r="B138" s="279"/>
      <c r="C138" s="295"/>
      <c r="D138" s="279">
        <f>SUM(C136:C137)</f>
        <v>312599</v>
      </c>
      <c r="E138" s="279"/>
    </row>
    <row r="139" spans="1:5" ht="11.5" customHeight="1" x14ac:dyDescent="0.35">
      <c r="A139" s="333" t="s">
        <v>320</v>
      </c>
      <c r="B139" s="333"/>
      <c r="C139" s="333"/>
      <c r="D139" s="333"/>
      <c r="E139" s="333"/>
    </row>
    <row r="140" spans="1:5" ht="11.5" customHeight="1" x14ac:dyDescent="0.35">
      <c r="A140" s="277" t="s">
        <v>321</v>
      </c>
      <c r="B140" s="276" t="s">
        <v>256</v>
      </c>
      <c r="C140" s="293"/>
      <c r="D140" s="279"/>
      <c r="E140" s="279"/>
    </row>
    <row r="141" spans="1:5" ht="11.5" customHeight="1" x14ac:dyDescent="0.35">
      <c r="A141" s="277" t="s">
        <v>322</v>
      </c>
      <c r="B141" s="276" t="s">
        <v>256</v>
      </c>
      <c r="C141" s="293">
        <v>425776</v>
      </c>
      <c r="D141" s="279"/>
      <c r="E141" s="279"/>
    </row>
    <row r="142" spans="1:5" ht="11.5" customHeight="1" x14ac:dyDescent="0.35">
      <c r="A142" s="277" t="s">
        <v>132</v>
      </c>
      <c r="B142" s="276" t="s">
        <v>256</v>
      </c>
      <c r="C142" s="293"/>
      <c r="D142" s="279"/>
      <c r="E142" s="279"/>
    </row>
    <row r="143" spans="1:5" ht="11.5" customHeight="1" x14ac:dyDescent="0.35">
      <c r="A143" s="277" t="s">
        <v>203</v>
      </c>
      <c r="B143" s="279"/>
      <c r="C143" s="295"/>
      <c r="D143" s="279">
        <f>SUM(C140:C142)</f>
        <v>425776</v>
      </c>
      <c r="E143" s="279"/>
    </row>
    <row r="144" spans="1:5" ht="11.5" customHeight="1" x14ac:dyDescent="0.35">
      <c r="A144" s="333" t="s">
        <v>323</v>
      </c>
      <c r="B144" s="333"/>
      <c r="C144" s="333"/>
      <c r="D144" s="333"/>
      <c r="E144" s="333"/>
    </row>
    <row r="145" spans="1:5" ht="11.5" customHeight="1" x14ac:dyDescent="0.35">
      <c r="A145" s="277" t="s">
        <v>324</v>
      </c>
      <c r="B145" s="276" t="s">
        <v>256</v>
      </c>
      <c r="C145" s="293"/>
      <c r="D145" s="279"/>
      <c r="E145" s="279"/>
    </row>
    <row r="146" spans="1:5" ht="11.5" customHeight="1" x14ac:dyDescent="0.35">
      <c r="A146" s="277" t="s">
        <v>325</v>
      </c>
      <c r="B146" s="276" t="s">
        <v>256</v>
      </c>
      <c r="C146" s="352">
        <v>351114</v>
      </c>
      <c r="D146" s="279"/>
      <c r="E146" s="279"/>
    </row>
    <row r="147" spans="1:5" ht="11.5" customHeight="1" x14ac:dyDescent="0.35">
      <c r="A147" s="277" t="s">
        <v>203</v>
      </c>
      <c r="B147" s="279"/>
      <c r="C147" s="295"/>
      <c r="D147" s="279">
        <f>SUM(C145:C146)</f>
        <v>351114</v>
      </c>
      <c r="E147" s="279"/>
    </row>
    <row r="148" spans="1:5" ht="18" customHeight="1" x14ac:dyDescent="0.35">
      <c r="A148" s="277"/>
      <c r="B148" s="279"/>
      <c r="C148" s="295"/>
      <c r="D148" s="279"/>
      <c r="E148" s="279"/>
    </row>
    <row r="149" spans="1:5" ht="12.65" customHeight="1" x14ac:dyDescent="0.35">
      <c r="A149" s="309" t="s">
        <v>326</v>
      </c>
      <c r="B149" s="309"/>
      <c r="C149" s="309"/>
      <c r="D149" s="309"/>
      <c r="E149" s="309"/>
    </row>
    <row r="150" spans="1:5" ht="12.65" customHeight="1" x14ac:dyDescent="0.35">
      <c r="A150" s="308" t="s">
        <v>327</v>
      </c>
      <c r="B150" s="309"/>
      <c r="C150" s="309"/>
      <c r="D150" s="309"/>
      <c r="E150" s="309"/>
    </row>
    <row r="151" spans="1:5" ht="12.65" customHeight="1" x14ac:dyDescent="0.35">
      <c r="A151" s="275"/>
      <c r="B151" s="274" t="s">
        <v>328</v>
      </c>
      <c r="C151" s="286" t="s">
        <v>329</v>
      </c>
      <c r="D151" s="274" t="s">
        <v>330</v>
      </c>
      <c r="E151" s="274" t="s">
        <v>331</v>
      </c>
    </row>
    <row r="152" spans="1:5" ht="12.65" customHeight="1" x14ac:dyDescent="0.35">
      <c r="A152" s="277" t="s">
        <v>332</v>
      </c>
      <c r="B152" s="278">
        <f>78396+2649946</f>
        <v>2728342</v>
      </c>
      <c r="C152" s="278">
        <v>400000</v>
      </c>
      <c r="D152" s="278"/>
      <c r="E152" s="279">
        <f t="shared" ref="E152:E160" si="10">SUM(B152:C152)-D152</f>
        <v>3128342</v>
      </c>
    </row>
    <row r="153" spans="1:5" ht="12.65" customHeight="1" x14ac:dyDescent="0.35">
      <c r="A153" s="277" t="s">
        <v>333</v>
      </c>
      <c r="B153" s="278">
        <v>545656</v>
      </c>
      <c r="C153" s="278">
        <v>84300</v>
      </c>
      <c r="D153" s="278"/>
      <c r="E153" s="279">
        <f t="shared" si="10"/>
        <v>629956</v>
      </c>
    </row>
    <row r="154" spans="1:5" ht="12.65" customHeight="1" x14ac:dyDescent="0.35">
      <c r="A154" s="277" t="s">
        <v>334</v>
      </c>
      <c r="B154" s="278">
        <f>16912544+803755</f>
        <v>17716299</v>
      </c>
      <c r="C154" s="278">
        <v>4840341</v>
      </c>
      <c r="D154" s="278"/>
      <c r="E154" s="279">
        <f t="shared" si="10"/>
        <v>22556640</v>
      </c>
    </row>
    <row r="155" spans="1:5" ht="12.65" customHeight="1" x14ac:dyDescent="0.35">
      <c r="A155" s="277" t="s">
        <v>335</v>
      </c>
      <c r="B155" s="278">
        <v>3065816</v>
      </c>
      <c r="C155" s="278">
        <v>97484</v>
      </c>
      <c r="D155" s="278"/>
      <c r="E155" s="279">
        <f t="shared" si="10"/>
        <v>3163300</v>
      </c>
    </row>
    <row r="156" spans="1:5" ht="12.65" customHeight="1" x14ac:dyDescent="0.35">
      <c r="A156" s="277" t="s">
        <v>336</v>
      </c>
      <c r="B156" s="278">
        <v>663719</v>
      </c>
      <c r="C156" s="278">
        <v>1459</v>
      </c>
      <c r="D156" s="278"/>
      <c r="E156" s="279">
        <f t="shared" si="10"/>
        <v>665178</v>
      </c>
    </row>
    <row r="157" spans="1:5" ht="12.65" customHeight="1" x14ac:dyDescent="0.35">
      <c r="A157" s="277" t="s">
        <v>337</v>
      </c>
      <c r="B157" s="278">
        <v>11790942</v>
      </c>
      <c r="C157" s="278">
        <v>2881087</v>
      </c>
      <c r="D157" s="278">
        <v>52959</v>
      </c>
      <c r="E157" s="279">
        <f t="shared" si="10"/>
        <v>14619070</v>
      </c>
    </row>
    <row r="158" spans="1:5" ht="12.65" customHeight="1" x14ac:dyDescent="0.35">
      <c r="A158" s="277" t="s">
        <v>338</v>
      </c>
      <c r="B158" s="278"/>
      <c r="C158" s="293"/>
      <c r="D158" s="278"/>
      <c r="E158" s="279">
        <f t="shared" si="10"/>
        <v>0</v>
      </c>
    </row>
    <row r="159" spans="1:5" ht="12.65" customHeight="1" x14ac:dyDescent="0.35">
      <c r="A159" s="277" t="s">
        <v>339</v>
      </c>
      <c r="B159" s="278"/>
      <c r="C159" s="293"/>
      <c r="D159" s="278"/>
      <c r="E159" s="279">
        <f t="shared" si="10"/>
        <v>0</v>
      </c>
    </row>
    <row r="160" spans="1:5" ht="12.65" customHeight="1" x14ac:dyDescent="0.35">
      <c r="A160" s="277" t="s">
        <v>340</v>
      </c>
      <c r="B160" s="278">
        <v>2089656</v>
      </c>
      <c r="C160" s="293">
        <v>8099054</v>
      </c>
      <c r="D160" s="278">
        <f>8304671+1655321</f>
        <v>9959992</v>
      </c>
      <c r="E160" s="279">
        <f t="shared" si="10"/>
        <v>228718</v>
      </c>
    </row>
    <row r="161" spans="1:8" ht="12.65" customHeight="1" x14ac:dyDescent="0.35">
      <c r="A161" s="277" t="s">
        <v>203</v>
      </c>
      <c r="B161" s="279">
        <f>SUM(B152:B160)</f>
        <v>38600430</v>
      </c>
      <c r="C161" s="295">
        <f>SUM(C152:C160)</f>
        <v>16403725</v>
      </c>
      <c r="D161" s="279">
        <f>SUM(D152:D160)</f>
        <v>10012951</v>
      </c>
      <c r="E161" s="279">
        <f>SUM(E152:E160)</f>
        <v>44991204</v>
      </c>
    </row>
    <row r="162" spans="1:8" ht="12.65" customHeight="1" x14ac:dyDescent="0.35">
      <c r="A162" s="277"/>
      <c r="B162" s="277"/>
      <c r="C162" s="295"/>
      <c r="D162" s="279"/>
      <c r="E162" s="279"/>
    </row>
    <row r="163" spans="1:8" ht="12.65" customHeight="1" x14ac:dyDescent="0.35">
      <c r="A163" s="308" t="s">
        <v>341</v>
      </c>
      <c r="B163" s="308"/>
      <c r="C163" s="308"/>
      <c r="D163" s="308"/>
      <c r="E163" s="308"/>
    </row>
    <row r="164" spans="1:8" ht="12.65" customHeight="1" x14ac:dyDescent="0.35">
      <c r="A164" s="275"/>
      <c r="B164" s="274" t="s">
        <v>328</v>
      </c>
      <c r="C164" s="286" t="s">
        <v>329</v>
      </c>
      <c r="D164" s="274" t="s">
        <v>330</v>
      </c>
      <c r="E164" s="274" t="s">
        <v>331</v>
      </c>
      <c r="H164" s="335"/>
    </row>
    <row r="165" spans="1:8" ht="12.65" customHeight="1" x14ac:dyDescent="0.35">
      <c r="A165" s="277" t="s">
        <v>332</v>
      </c>
      <c r="B165" s="282"/>
      <c r="C165" s="297"/>
      <c r="D165" s="282"/>
      <c r="E165" s="279"/>
      <c r="H165" s="335"/>
    </row>
    <row r="166" spans="1:8" ht="12.65" customHeight="1" x14ac:dyDescent="0.35">
      <c r="A166" s="277" t="s">
        <v>333</v>
      </c>
      <c r="B166" s="278">
        <v>412130</v>
      </c>
      <c r="C166" s="293">
        <v>40850</v>
      </c>
      <c r="D166" s="278"/>
      <c r="E166" s="279">
        <f t="shared" ref="E166:E173" si="11">SUM(B166:C166)-D166</f>
        <v>452980</v>
      </c>
      <c r="H166" s="335"/>
    </row>
    <row r="167" spans="1:8" ht="12.65" customHeight="1" x14ac:dyDescent="0.35">
      <c r="A167" s="277" t="s">
        <v>334</v>
      </c>
      <c r="B167" s="278">
        <v>14247119</v>
      </c>
      <c r="C167" s="293">
        <v>617469</v>
      </c>
      <c r="D167" s="278"/>
      <c r="E167" s="279">
        <f t="shared" si="11"/>
        <v>14864588</v>
      </c>
      <c r="H167" s="335"/>
    </row>
    <row r="168" spans="1:8" ht="12.65" customHeight="1" x14ac:dyDescent="0.35">
      <c r="A168" s="277" t="s">
        <v>335</v>
      </c>
      <c r="B168" s="278">
        <v>1213946</v>
      </c>
      <c r="C168" s="293">
        <v>207328</v>
      </c>
      <c r="D168" s="278"/>
      <c r="E168" s="279">
        <f t="shared" si="11"/>
        <v>1421274</v>
      </c>
      <c r="H168" s="335"/>
    </row>
    <row r="169" spans="1:8" ht="12.65" customHeight="1" x14ac:dyDescent="0.35">
      <c r="A169" s="277" t="s">
        <v>336</v>
      </c>
      <c r="B169" s="278">
        <v>486818</v>
      </c>
      <c r="C169" s="293">
        <v>41597</v>
      </c>
      <c r="D169" s="278"/>
      <c r="E169" s="279">
        <f t="shared" si="11"/>
        <v>528415</v>
      </c>
      <c r="H169" s="335"/>
    </row>
    <row r="170" spans="1:8" ht="12.65" customHeight="1" x14ac:dyDescent="0.35">
      <c r="A170" s="277" t="s">
        <v>337</v>
      </c>
      <c r="B170" s="278">
        <v>7926617</v>
      </c>
      <c r="C170" s="293">
        <v>1536350</v>
      </c>
      <c r="D170" s="278">
        <v>52959</v>
      </c>
      <c r="E170" s="279">
        <f t="shared" si="11"/>
        <v>9410008</v>
      </c>
      <c r="H170" s="335"/>
    </row>
    <row r="171" spans="1:8" ht="12.65" customHeight="1" x14ac:dyDescent="0.35">
      <c r="A171" s="277" t="s">
        <v>338</v>
      </c>
      <c r="B171" s="351"/>
      <c r="C171" s="352"/>
      <c r="D171" s="278"/>
      <c r="E171" s="279">
        <f t="shared" si="11"/>
        <v>0</v>
      </c>
      <c r="H171" s="335"/>
    </row>
    <row r="172" spans="1:8" ht="12.65" customHeight="1" x14ac:dyDescent="0.35">
      <c r="A172" s="277" t="s">
        <v>339</v>
      </c>
      <c r="B172" s="278"/>
      <c r="C172" s="293"/>
      <c r="D172" s="278"/>
      <c r="E172" s="279">
        <f t="shared" si="11"/>
        <v>0</v>
      </c>
      <c r="H172" s="335"/>
    </row>
    <row r="173" spans="1:8" ht="12.65" customHeight="1" x14ac:dyDescent="0.35">
      <c r="A173" s="277" t="s">
        <v>340</v>
      </c>
      <c r="B173" s="278"/>
      <c r="C173" s="293"/>
      <c r="D173" s="278"/>
      <c r="E173" s="279">
        <f t="shared" si="11"/>
        <v>0</v>
      </c>
      <c r="H173" s="335"/>
    </row>
    <row r="174" spans="1:8" ht="12.65" customHeight="1" x14ac:dyDescent="0.35">
      <c r="A174" s="277" t="s">
        <v>203</v>
      </c>
      <c r="B174" s="279">
        <f>SUM(B165:B173)</f>
        <v>24286630</v>
      </c>
      <c r="C174" s="295">
        <f>SUM(C165:C173)</f>
        <v>2443594</v>
      </c>
      <c r="D174" s="279">
        <f>SUM(D165:D173)</f>
        <v>52959</v>
      </c>
      <c r="E174" s="279">
        <f>SUM(E165:E173)</f>
        <v>26677265</v>
      </c>
    </row>
    <row r="175" spans="1:8" ht="21.75" customHeight="1" x14ac:dyDescent="0.35">
      <c r="A175" s="277"/>
      <c r="B175" s="279"/>
      <c r="C175" s="295"/>
      <c r="D175" s="279"/>
      <c r="E175" s="279"/>
    </row>
    <row r="176" spans="1:8" ht="12.65" customHeight="1" x14ac:dyDescent="0.35">
      <c r="A176" s="309" t="s">
        <v>342</v>
      </c>
      <c r="B176" s="309"/>
      <c r="C176" s="309"/>
      <c r="D176" s="309"/>
      <c r="E176" s="309"/>
    </row>
    <row r="177" spans="1:5" ht="12.65" customHeight="1" x14ac:dyDescent="0.35">
      <c r="A177" s="309"/>
      <c r="B177" s="364" t="s">
        <v>994</v>
      </c>
      <c r="C177" s="364"/>
      <c r="D177" s="309"/>
      <c r="E177" s="309"/>
    </row>
    <row r="178" spans="1:5" ht="12.65" customHeight="1" x14ac:dyDescent="0.35">
      <c r="A178" s="345" t="s">
        <v>994</v>
      </c>
      <c r="B178" s="309"/>
      <c r="C178" s="293">
        <v>4031596</v>
      </c>
      <c r="D178" s="276">
        <f>C178</f>
        <v>4031596</v>
      </c>
      <c r="E178" s="309"/>
    </row>
    <row r="179" spans="1:5" ht="12.65" customHeight="1" x14ac:dyDescent="0.35">
      <c r="A179" s="333" t="s">
        <v>343</v>
      </c>
      <c r="B179" s="333"/>
      <c r="C179" s="333"/>
      <c r="D179" s="333"/>
      <c r="E179" s="333"/>
    </row>
    <row r="180" spans="1:5" ht="12.65" customHeight="1" x14ac:dyDescent="0.35">
      <c r="A180" s="277" t="s">
        <v>344</v>
      </c>
      <c r="B180" s="276" t="s">
        <v>256</v>
      </c>
      <c r="C180" s="352">
        <v>27928741</v>
      </c>
      <c r="D180" s="279"/>
      <c r="E180" s="279"/>
    </row>
    <row r="181" spans="1:5" ht="12.65" customHeight="1" x14ac:dyDescent="0.35">
      <c r="A181" s="277" t="s">
        <v>345</v>
      </c>
      <c r="B181" s="276" t="s">
        <v>256</v>
      </c>
      <c r="C181" s="352">
        <v>31723464</v>
      </c>
      <c r="D181" s="279"/>
      <c r="E181" s="279"/>
    </row>
    <row r="182" spans="1:5" ht="12.65" customHeight="1" x14ac:dyDescent="0.35">
      <c r="A182" s="277" t="s">
        <v>346</v>
      </c>
      <c r="B182" s="276" t="s">
        <v>256</v>
      </c>
      <c r="C182" s="352">
        <v>2199188</v>
      </c>
      <c r="D182" s="279"/>
      <c r="E182" s="279"/>
    </row>
    <row r="183" spans="1:5" ht="12.65" customHeight="1" x14ac:dyDescent="0.35">
      <c r="A183" s="277" t="s">
        <v>347</v>
      </c>
      <c r="B183" s="276" t="s">
        <v>256</v>
      </c>
      <c r="C183" s="352"/>
      <c r="D183" s="279"/>
      <c r="E183" s="279"/>
    </row>
    <row r="184" spans="1:5" ht="12.65" customHeight="1" x14ac:dyDescent="0.35">
      <c r="A184" s="277" t="s">
        <v>348</v>
      </c>
      <c r="B184" s="276" t="s">
        <v>256</v>
      </c>
      <c r="C184" s="293"/>
      <c r="D184" s="279"/>
      <c r="E184" s="279"/>
    </row>
    <row r="185" spans="1:5" ht="12.65" customHeight="1" x14ac:dyDescent="0.35">
      <c r="A185" s="277" t="s">
        <v>349</v>
      </c>
      <c r="B185" s="276" t="s">
        <v>256</v>
      </c>
      <c r="C185" s="352">
        <v>15379043</v>
      </c>
      <c r="D185" s="279"/>
      <c r="E185" s="279"/>
    </row>
    <row r="186" spans="1:5" ht="12.65" customHeight="1" x14ac:dyDescent="0.35">
      <c r="A186" s="277" t="s">
        <v>350</v>
      </c>
      <c r="B186" s="279"/>
      <c r="C186" s="295"/>
      <c r="D186" s="279">
        <f>SUM(C180:C185)</f>
        <v>77230436</v>
      </c>
      <c r="E186" s="279"/>
    </row>
    <row r="187" spans="1:5" ht="12.65" customHeight="1" x14ac:dyDescent="0.35">
      <c r="A187" s="333" t="s">
        <v>351</v>
      </c>
      <c r="B187" s="333"/>
      <c r="C187" s="333"/>
      <c r="D187" s="333"/>
      <c r="E187" s="333"/>
    </row>
    <row r="188" spans="1:5" ht="12.65" customHeight="1" x14ac:dyDescent="0.35">
      <c r="A188" s="275" t="s">
        <v>352</v>
      </c>
      <c r="B188" s="276" t="s">
        <v>256</v>
      </c>
      <c r="C188" s="293">
        <v>1864</v>
      </c>
      <c r="D188" s="279"/>
      <c r="E188" s="279"/>
    </row>
    <row r="189" spans="1:5" ht="12.65" customHeight="1" x14ac:dyDescent="0.35">
      <c r="A189" s="275"/>
      <c r="B189" s="276"/>
      <c r="C189" s="295"/>
      <c r="D189" s="279"/>
      <c r="E189" s="279"/>
    </row>
    <row r="190" spans="1:5" ht="12.65" customHeight="1" x14ac:dyDescent="0.35">
      <c r="A190" s="275" t="s">
        <v>353</v>
      </c>
      <c r="B190" s="276" t="s">
        <v>256</v>
      </c>
      <c r="C190" s="293">
        <v>381213</v>
      </c>
      <c r="D190" s="279"/>
      <c r="E190" s="279"/>
    </row>
    <row r="191" spans="1:5" ht="12.65" customHeight="1" x14ac:dyDescent="0.35">
      <c r="A191" s="275" t="s">
        <v>354</v>
      </c>
      <c r="B191" s="276" t="s">
        <v>256</v>
      </c>
      <c r="C191" s="293">
        <v>1290619</v>
      </c>
      <c r="D191" s="279"/>
      <c r="E191" s="279"/>
    </row>
    <row r="192" spans="1:5" ht="12.65" customHeight="1" x14ac:dyDescent="0.35">
      <c r="A192" s="277"/>
      <c r="B192" s="279"/>
      <c r="C192" s="295"/>
      <c r="D192" s="279"/>
      <c r="E192" s="279"/>
    </row>
    <row r="193" spans="1:5" ht="12.65" customHeight="1" x14ac:dyDescent="0.35">
      <c r="A193" s="275" t="s">
        <v>355</v>
      </c>
      <c r="B193" s="279"/>
      <c r="C193" s="295"/>
      <c r="D193" s="279">
        <f>SUM(C190:C192)</f>
        <v>1671832</v>
      </c>
      <c r="E193" s="279"/>
    </row>
    <row r="194" spans="1:5" ht="12.65" customHeight="1" x14ac:dyDescent="0.35">
      <c r="A194" s="333" t="s">
        <v>356</v>
      </c>
      <c r="B194" s="333"/>
      <c r="C194" s="333"/>
      <c r="D194" s="333"/>
      <c r="E194" s="333"/>
    </row>
    <row r="195" spans="1:5" ht="12.65" customHeight="1" x14ac:dyDescent="0.35">
      <c r="A195" s="277" t="s">
        <v>357</v>
      </c>
      <c r="B195" s="276" t="s">
        <v>256</v>
      </c>
      <c r="C195" s="293"/>
      <c r="D195" s="279"/>
      <c r="E195" s="279"/>
    </row>
    <row r="196" spans="1:5" ht="12.65" customHeight="1" x14ac:dyDescent="0.35">
      <c r="A196" s="277" t="s">
        <v>356</v>
      </c>
      <c r="B196" s="276" t="s">
        <v>256</v>
      </c>
      <c r="C196" s="293"/>
      <c r="D196" s="279"/>
      <c r="E196" s="279"/>
    </row>
    <row r="197" spans="1:5" ht="12.65" customHeight="1" x14ac:dyDescent="0.35">
      <c r="A197" s="277" t="s">
        <v>358</v>
      </c>
      <c r="B197" s="279"/>
      <c r="C197" s="295"/>
      <c r="D197" s="279">
        <f>SUM(C195:C196)</f>
        <v>0</v>
      </c>
      <c r="E197" s="279"/>
    </row>
    <row r="198" spans="1:5" ht="12.65" customHeight="1" x14ac:dyDescent="0.35">
      <c r="A198" s="277"/>
      <c r="B198" s="279"/>
      <c r="C198" s="295"/>
      <c r="D198" s="279"/>
      <c r="E198" s="279"/>
    </row>
    <row r="199" spans="1:5" ht="12.65" customHeight="1" x14ac:dyDescent="0.35">
      <c r="A199" s="277" t="s">
        <v>359</v>
      </c>
      <c r="B199" s="279"/>
      <c r="C199" s="295"/>
      <c r="D199" s="279">
        <f>D178+D186+D193+D197</f>
        <v>82933864</v>
      </c>
      <c r="E199" s="279"/>
    </row>
    <row r="200" spans="1:5" ht="12.65" customHeight="1" x14ac:dyDescent="0.35">
      <c r="A200" s="277"/>
      <c r="B200" s="277"/>
      <c r="C200" s="295"/>
      <c r="D200" s="279"/>
      <c r="E200" s="279"/>
    </row>
    <row r="201" spans="1:5" ht="12.65" customHeight="1" x14ac:dyDescent="0.35">
      <c r="A201" s="277"/>
      <c r="B201" s="277"/>
      <c r="C201" s="295"/>
      <c r="D201" s="279"/>
      <c r="E201" s="279"/>
    </row>
    <row r="202" spans="1:5" ht="12.65" customHeight="1" x14ac:dyDescent="0.35">
      <c r="A202" s="277"/>
      <c r="B202" s="277"/>
      <c r="C202" s="295"/>
      <c r="D202" s="279"/>
      <c r="E202" s="279"/>
    </row>
    <row r="203" spans="1:5" ht="12.65" customHeight="1" x14ac:dyDescent="0.35">
      <c r="A203" s="277"/>
      <c r="B203" s="277"/>
      <c r="C203" s="295"/>
      <c r="D203" s="279"/>
      <c r="E203" s="279"/>
    </row>
    <row r="204" spans="1:5" ht="21.75" customHeight="1" x14ac:dyDescent="0.35">
      <c r="A204" s="277"/>
      <c r="B204" s="277"/>
      <c r="C204" s="295"/>
      <c r="D204" s="279"/>
      <c r="E204" s="279"/>
    </row>
    <row r="205" spans="1:5" ht="12.45" customHeight="1" x14ac:dyDescent="0.35">
      <c r="A205" s="309" t="s">
        <v>360</v>
      </c>
      <c r="B205" s="309"/>
      <c r="C205" s="309"/>
      <c r="D205" s="309"/>
      <c r="E205" s="309"/>
    </row>
    <row r="206" spans="1:5" ht="11.25" customHeight="1" x14ac:dyDescent="0.35">
      <c r="A206" s="333" t="s">
        <v>361</v>
      </c>
      <c r="B206" s="333"/>
      <c r="C206" s="333"/>
      <c r="D206" s="333"/>
      <c r="E206" s="333"/>
    </row>
    <row r="207" spans="1:5" ht="12.45" customHeight="1" x14ac:dyDescent="0.35">
      <c r="A207" s="277" t="s">
        <v>362</v>
      </c>
      <c r="B207" s="276" t="s">
        <v>256</v>
      </c>
      <c r="C207" s="293">
        <v>790127</v>
      </c>
      <c r="D207" s="279"/>
      <c r="E207" s="279"/>
    </row>
    <row r="208" spans="1:5" ht="12.45" customHeight="1" x14ac:dyDescent="0.35">
      <c r="A208" s="277" t="s">
        <v>363</v>
      </c>
      <c r="B208" s="276" t="s">
        <v>256</v>
      </c>
      <c r="C208" s="293">
        <v>13880674</v>
      </c>
      <c r="D208" s="279"/>
      <c r="E208" s="279"/>
    </row>
    <row r="209" spans="1:5" ht="12.45" customHeight="1" x14ac:dyDescent="0.35">
      <c r="A209" s="277" t="s">
        <v>364</v>
      </c>
      <c r="B209" s="276" t="s">
        <v>256</v>
      </c>
      <c r="C209" s="293">
        <v>26427776</v>
      </c>
      <c r="D209" s="279"/>
      <c r="E209" s="279"/>
    </row>
    <row r="210" spans="1:5" ht="12.45" customHeight="1" x14ac:dyDescent="0.35">
      <c r="A210" s="277" t="s">
        <v>365</v>
      </c>
      <c r="B210" s="276" t="s">
        <v>256</v>
      </c>
      <c r="C210" s="293">
        <v>15682981</v>
      </c>
      <c r="D210" s="279"/>
      <c r="E210" s="279"/>
    </row>
    <row r="211" spans="1:5" ht="12.45" customHeight="1" x14ac:dyDescent="0.35">
      <c r="A211" s="277" t="s">
        <v>978</v>
      </c>
      <c r="B211" s="276" t="s">
        <v>256</v>
      </c>
      <c r="C211" s="350">
        <v>0</v>
      </c>
      <c r="D211" s="279"/>
      <c r="E211" s="279"/>
    </row>
    <row r="212" spans="1:5" ht="12.45" customHeight="1" x14ac:dyDescent="0.35">
      <c r="A212" s="277" t="s">
        <v>366</v>
      </c>
      <c r="B212" s="276" t="s">
        <v>256</v>
      </c>
      <c r="C212" s="293">
        <v>231394</v>
      </c>
      <c r="D212" s="279"/>
      <c r="E212" s="279"/>
    </row>
    <row r="213" spans="1:5" ht="12.45" customHeight="1" x14ac:dyDescent="0.35">
      <c r="A213" s="277" t="s">
        <v>367</v>
      </c>
      <c r="B213" s="276" t="s">
        <v>256</v>
      </c>
      <c r="C213" s="293"/>
      <c r="D213" s="279"/>
      <c r="E213" s="279"/>
    </row>
    <row r="214" spans="1:5" ht="12.45" customHeight="1" x14ac:dyDescent="0.35">
      <c r="A214" s="277" t="s">
        <v>368</v>
      </c>
      <c r="B214" s="276" t="s">
        <v>256</v>
      </c>
      <c r="C214" s="293">
        <v>401623</v>
      </c>
      <c r="D214" s="279"/>
      <c r="E214" s="279"/>
    </row>
    <row r="215" spans="1:5" ht="12.45" customHeight="1" x14ac:dyDescent="0.35">
      <c r="A215" s="277" t="s">
        <v>369</v>
      </c>
      <c r="B215" s="276" t="s">
        <v>256</v>
      </c>
      <c r="C215" s="293">
        <v>899840</v>
      </c>
      <c r="D215" s="279"/>
      <c r="E215" s="279"/>
    </row>
    <row r="216" spans="1:5" ht="12.45" customHeight="1" x14ac:dyDescent="0.35">
      <c r="A216" s="277" t="s">
        <v>370</v>
      </c>
      <c r="B216" s="276" t="s">
        <v>256</v>
      </c>
      <c r="C216" s="293"/>
      <c r="D216" s="279"/>
      <c r="E216" s="279"/>
    </row>
    <row r="217" spans="1:5" ht="12.45" customHeight="1" x14ac:dyDescent="0.35">
      <c r="A217" s="277" t="s">
        <v>371</v>
      </c>
      <c r="B217" s="279"/>
      <c r="C217" s="295"/>
      <c r="D217" s="279">
        <f>SUM(C207:C209)-C210+SUM(C211:C216)</f>
        <v>26948453</v>
      </c>
      <c r="E217" s="279"/>
    </row>
    <row r="218" spans="1:5" ht="11.25" customHeight="1" x14ac:dyDescent="0.35">
      <c r="A218" s="333" t="s">
        <v>372</v>
      </c>
      <c r="B218" s="333"/>
      <c r="C218" s="333"/>
      <c r="D218" s="333"/>
      <c r="E218" s="333"/>
    </row>
    <row r="219" spans="1:5" ht="12.45" customHeight="1" x14ac:dyDescent="0.35">
      <c r="A219" s="277" t="s">
        <v>362</v>
      </c>
      <c r="B219" s="276" t="s">
        <v>256</v>
      </c>
      <c r="C219" s="293">
        <v>1250261</v>
      </c>
      <c r="D219" s="279"/>
      <c r="E219" s="279"/>
    </row>
    <row r="220" spans="1:5" ht="12.45" customHeight="1" x14ac:dyDescent="0.35">
      <c r="A220" s="277" t="s">
        <v>363</v>
      </c>
      <c r="B220" s="276" t="s">
        <v>256</v>
      </c>
      <c r="C220" s="293"/>
      <c r="D220" s="279"/>
      <c r="E220" s="279"/>
    </row>
    <row r="221" spans="1:5" ht="12.45" customHeight="1" x14ac:dyDescent="0.35">
      <c r="A221" s="277" t="s">
        <v>373</v>
      </c>
      <c r="B221" s="276" t="s">
        <v>256</v>
      </c>
      <c r="C221" s="293">
        <v>346920</v>
      </c>
      <c r="D221" s="279"/>
      <c r="E221" s="279"/>
    </row>
    <row r="222" spans="1:5" ht="12.45" customHeight="1" x14ac:dyDescent="0.35">
      <c r="A222" s="277" t="s">
        <v>374</v>
      </c>
      <c r="B222" s="279"/>
      <c r="C222" s="295"/>
      <c r="D222" s="279">
        <f>SUM(C219:C221)</f>
        <v>1597181</v>
      </c>
      <c r="E222" s="279"/>
    </row>
    <row r="223" spans="1:5" ht="11.25" customHeight="1" x14ac:dyDescent="0.35">
      <c r="A223" s="333" t="s">
        <v>375</v>
      </c>
      <c r="B223" s="333"/>
      <c r="C223" s="333"/>
      <c r="D223" s="333"/>
      <c r="E223" s="333"/>
    </row>
    <row r="224" spans="1:5" ht="12.45" customHeight="1" x14ac:dyDescent="0.35">
      <c r="A224" s="277" t="s">
        <v>332</v>
      </c>
      <c r="B224" s="276" t="s">
        <v>256</v>
      </c>
      <c r="C224" s="293">
        <f>478396+2649946</f>
        <v>3128342</v>
      </c>
      <c r="D224" s="279"/>
      <c r="E224" s="279"/>
    </row>
    <row r="225" spans="1:5" ht="12.45" customHeight="1" x14ac:dyDescent="0.35">
      <c r="A225" s="277" t="s">
        <v>333</v>
      </c>
      <c r="B225" s="276" t="s">
        <v>256</v>
      </c>
      <c r="C225" s="293">
        <f>629956+803755</f>
        <v>1433711</v>
      </c>
      <c r="D225" s="279"/>
      <c r="E225" s="279"/>
    </row>
    <row r="226" spans="1:5" ht="12.45" customHeight="1" x14ac:dyDescent="0.35">
      <c r="A226" s="277" t="s">
        <v>334</v>
      </c>
      <c r="B226" s="276" t="s">
        <v>256</v>
      </c>
      <c r="C226" s="293">
        <v>21752885</v>
      </c>
      <c r="D226" s="279"/>
      <c r="E226" s="279"/>
    </row>
    <row r="227" spans="1:5" ht="12.45" customHeight="1" x14ac:dyDescent="0.35">
      <c r="A227" s="277" t="s">
        <v>376</v>
      </c>
      <c r="B227" s="276" t="s">
        <v>256</v>
      </c>
      <c r="C227" s="293">
        <v>3163300</v>
      </c>
      <c r="D227" s="279"/>
      <c r="E227" s="279"/>
    </row>
    <row r="228" spans="1:5" ht="12.45" customHeight="1" x14ac:dyDescent="0.35">
      <c r="A228" s="277" t="s">
        <v>377</v>
      </c>
      <c r="B228" s="276" t="s">
        <v>256</v>
      </c>
      <c r="C228" s="293">
        <v>665178</v>
      </c>
      <c r="D228" s="279"/>
      <c r="E228" s="279"/>
    </row>
    <row r="229" spans="1:5" ht="12.45" customHeight="1" x14ac:dyDescent="0.35">
      <c r="A229" s="277" t="s">
        <v>378</v>
      </c>
      <c r="B229" s="276" t="s">
        <v>256</v>
      </c>
      <c r="C229" s="293">
        <v>14619070</v>
      </c>
      <c r="D229" s="279"/>
      <c r="E229" s="279"/>
    </row>
    <row r="230" spans="1:5" ht="12.45" customHeight="1" x14ac:dyDescent="0.35">
      <c r="A230" s="277" t="s">
        <v>339</v>
      </c>
      <c r="B230" s="276" t="s">
        <v>256</v>
      </c>
      <c r="C230" s="293"/>
      <c r="D230" s="279"/>
      <c r="E230" s="279"/>
    </row>
    <row r="231" spans="1:5" ht="12.45" customHeight="1" x14ac:dyDescent="0.35">
      <c r="A231" s="277" t="s">
        <v>340</v>
      </c>
      <c r="B231" s="276" t="s">
        <v>256</v>
      </c>
      <c r="C231" s="293">
        <v>228718</v>
      </c>
      <c r="D231" s="279"/>
      <c r="E231" s="279"/>
    </row>
    <row r="232" spans="1:5" ht="12.45" customHeight="1" x14ac:dyDescent="0.35">
      <c r="A232" s="277" t="s">
        <v>379</v>
      </c>
      <c r="B232" s="279"/>
      <c r="C232" s="295"/>
      <c r="D232" s="279">
        <f>SUM(C224:C231)</f>
        <v>44991204</v>
      </c>
      <c r="E232" s="279"/>
    </row>
    <row r="233" spans="1:5" ht="12.65" customHeight="1" x14ac:dyDescent="0.35">
      <c r="A233" s="277" t="s">
        <v>380</v>
      </c>
      <c r="B233" s="276" t="s">
        <v>256</v>
      </c>
      <c r="C233" s="293">
        <v>26677265</v>
      </c>
      <c r="D233" s="279"/>
      <c r="E233" s="279"/>
    </row>
    <row r="234" spans="1:5" ht="12.65" customHeight="1" x14ac:dyDescent="0.35">
      <c r="A234" s="277" t="s">
        <v>381</v>
      </c>
      <c r="B234" s="279"/>
      <c r="C234" s="295"/>
      <c r="D234" s="279">
        <f>D232-C233</f>
        <v>18313939</v>
      </c>
      <c r="E234" s="279"/>
    </row>
    <row r="235" spans="1:5" ht="12.65" customHeight="1" x14ac:dyDescent="0.35">
      <c r="A235" s="333" t="s">
        <v>382</v>
      </c>
      <c r="B235" s="333"/>
      <c r="C235" s="333"/>
      <c r="D235" s="333"/>
      <c r="E235" s="333"/>
    </row>
    <row r="236" spans="1:5" ht="12.65" customHeight="1" x14ac:dyDescent="0.35">
      <c r="A236" s="277" t="s">
        <v>383</v>
      </c>
      <c r="B236" s="276" t="s">
        <v>256</v>
      </c>
      <c r="C236" s="293"/>
      <c r="D236" s="279"/>
      <c r="E236" s="279"/>
    </row>
    <row r="237" spans="1:5" ht="12.65" customHeight="1" x14ac:dyDescent="0.35">
      <c r="A237" s="277" t="s">
        <v>384</v>
      </c>
      <c r="B237" s="276" t="s">
        <v>256</v>
      </c>
      <c r="C237" s="293"/>
      <c r="D237" s="279"/>
      <c r="E237" s="279"/>
    </row>
    <row r="238" spans="1:5" ht="12.65" customHeight="1" x14ac:dyDescent="0.35">
      <c r="A238" s="277" t="s">
        <v>385</v>
      </c>
      <c r="B238" s="276" t="s">
        <v>256</v>
      </c>
      <c r="C238" s="293"/>
      <c r="D238" s="279"/>
      <c r="E238" s="279"/>
    </row>
    <row r="239" spans="1:5" ht="12.65" customHeight="1" x14ac:dyDescent="0.35">
      <c r="A239" s="277" t="s">
        <v>373</v>
      </c>
      <c r="B239" s="276" t="s">
        <v>256</v>
      </c>
      <c r="C239" s="293">
        <v>700753</v>
      </c>
      <c r="D239" s="279"/>
      <c r="E239" s="279"/>
    </row>
    <row r="240" spans="1:5" ht="12.65" customHeight="1" x14ac:dyDescent="0.35">
      <c r="A240" s="277" t="s">
        <v>386</v>
      </c>
      <c r="B240" s="279"/>
      <c r="C240" s="295"/>
      <c r="D240" s="279">
        <f>C236-C237+C238+C239</f>
        <v>700753</v>
      </c>
      <c r="E240" s="279"/>
    </row>
    <row r="241" spans="1:5" ht="12.65" customHeight="1" x14ac:dyDescent="0.35">
      <c r="A241" s="277"/>
      <c r="B241" s="279"/>
      <c r="C241" s="295"/>
      <c r="D241" s="279"/>
      <c r="E241" s="279"/>
    </row>
    <row r="242" spans="1:5" ht="12.65" customHeight="1" x14ac:dyDescent="0.35">
      <c r="A242" s="333" t="s">
        <v>387</v>
      </c>
      <c r="B242" s="333"/>
      <c r="C242" s="333"/>
      <c r="D242" s="333"/>
      <c r="E242" s="333"/>
    </row>
    <row r="243" spans="1:5" ht="12.65" customHeight="1" x14ac:dyDescent="0.35">
      <c r="A243" s="277" t="s">
        <v>388</v>
      </c>
      <c r="B243" s="276" t="s">
        <v>256</v>
      </c>
      <c r="C243" s="293"/>
      <c r="D243" s="279"/>
      <c r="E243" s="279"/>
    </row>
    <row r="244" spans="1:5" ht="12.65" customHeight="1" x14ac:dyDescent="0.35">
      <c r="A244" s="277" t="s">
        <v>389</v>
      </c>
      <c r="B244" s="276" t="s">
        <v>256</v>
      </c>
      <c r="C244" s="293"/>
      <c r="D244" s="279"/>
      <c r="E244" s="279"/>
    </row>
    <row r="245" spans="1:5" ht="12.65" customHeight="1" x14ac:dyDescent="0.35">
      <c r="A245" s="277" t="s">
        <v>390</v>
      </c>
      <c r="B245" s="276" t="s">
        <v>256</v>
      </c>
      <c r="C245" s="293"/>
      <c r="D245" s="279"/>
      <c r="E245" s="279"/>
    </row>
    <row r="246" spans="1:5" ht="12.65" customHeight="1" x14ac:dyDescent="0.35">
      <c r="A246" s="277" t="s">
        <v>391</v>
      </c>
      <c r="B246" s="276" t="s">
        <v>256</v>
      </c>
      <c r="C246" s="293"/>
      <c r="D246" s="279"/>
      <c r="E246" s="279"/>
    </row>
    <row r="247" spans="1:5" ht="12.65" customHeight="1" x14ac:dyDescent="0.35">
      <c r="A247" s="277" t="s">
        <v>392</v>
      </c>
      <c r="B247" s="279"/>
      <c r="C247" s="295"/>
      <c r="D247" s="279">
        <f>SUM(C243:C246)</f>
        <v>0</v>
      </c>
      <c r="E247" s="279"/>
    </row>
    <row r="248" spans="1:5" ht="12.65" customHeight="1" x14ac:dyDescent="0.35">
      <c r="A248" s="277"/>
      <c r="B248" s="279"/>
      <c r="C248" s="295"/>
      <c r="D248" s="279"/>
      <c r="E248" s="279"/>
    </row>
    <row r="249" spans="1:5" ht="12.65" customHeight="1" x14ac:dyDescent="0.35">
      <c r="A249" s="277" t="s">
        <v>393</v>
      </c>
      <c r="B249" s="279"/>
      <c r="C249" s="295"/>
      <c r="D249" s="279">
        <f>D217+D222+D234+D240+D247</f>
        <v>47560326</v>
      </c>
      <c r="E249" s="279"/>
    </row>
    <row r="250" spans="1:5" ht="12.65" customHeight="1" x14ac:dyDescent="0.35">
      <c r="A250" s="277"/>
      <c r="B250" s="277"/>
      <c r="C250" s="295"/>
      <c r="D250" s="279"/>
      <c r="E250" s="279"/>
    </row>
    <row r="251" spans="1:5" ht="12.65" customHeight="1" x14ac:dyDescent="0.35">
      <c r="A251" s="277"/>
      <c r="B251" s="277"/>
      <c r="C251" s="295"/>
      <c r="D251" s="279"/>
      <c r="E251" s="279"/>
    </row>
    <row r="252" spans="1:5" ht="12.65" customHeight="1" x14ac:dyDescent="0.35">
      <c r="A252" s="277"/>
      <c r="B252" s="277"/>
      <c r="C252" s="295"/>
      <c r="D252" s="279"/>
      <c r="E252" s="279"/>
    </row>
    <row r="253" spans="1:5" ht="12.65" customHeight="1" x14ac:dyDescent="0.35">
      <c r="A253" s="277"/>
      <c r="B253" s="277"/>
      <c r="C253" s="295"/>
      <c r="D253" s="279"/>
      <c r="E253" s="279"/>
    </row>
    <row r="254" spans="1:5" ht="12.65" customHeight="1" x14ac:dyDescent="0.35">
      <c r="A254" s="277"/>
      <c r="B254" s="277"/>
      <c r="C254" s="295"/>
      <c r="D254" s="279"/>
      <c r="E254" s="279"/>
    </row>
    <row r="255" spans="1:5" ht="12.65" customHeight="1" x14ac:dyDescent="0.35">
      <c r="A255" s="277"/>
      <c r="B255" s="277"/>
      <c r="C255" s="295"/>
      <c r="D255" s="279"/>
      <c r="E255" s="279"/>
    </row>
    <row r="256" spans="1:5" ht="12.65" customHeight="1" x14ac:dyDescent="0.35">
      <c r="A256" s="277"/>
      <c r="B256" s="277"/>
      <c r="C256" s="295"/>
      <c r="D256" s="279"/>
      <c r="E256" s="279"/>
    </row>
    <row r="257" spans="1:5" ht="12.65" customHeight="1" x14ac:dyDescent="0.35">
      <c r="A257" s="277"/>
      <c r="B257" s="277"/>
      <c r="C257" s="295"/>
      <c r="D257" s="279"/>
      <c r="E257" s="279"/>
    </row>
    <row r="258" spans="1:5" ht="20.25" customHeight="1" x14ac:dyDescent="0.35">
      <c r="A258" s="277"/>
      <c r="B258" s="277"/>
      <c r="C258" s="295"/>
      <c r="D258" s="279"/>
      <c r="E258" s="279"/>
    </row>
    <row r="259" spans="1:5" ht="12.65" customHeight="1" x14ac:dyDescent="0.35">
      <c r="A259" s="309" t="s">
        <v>394</v>
      </c>
      <c r="B259" s="309"/>
      <c r="C259" s="309"/>
      <c r="D259" s="309"/>
      <c r="E259" s="309"/>
    </row>
    <row r="260" spans="1:5" ht="14.25" customHeight="1" x14ac:dyDescent="0.35">
      <c r="A260" s="333" t="s">
        <v>395</v>
      </c>
      <c r="B260" s="333"/>
      <c r="C260" s="333"/>
      <c r="D260" s="333"/>
      <c r="E260" s="333"/>
    </row>
    <row r="261" spans="1:5" ht="12.65" customHeight="1" x14ac:dyDescent="0.35">
      <c r="A261" s="277" t="s">
        <v>396</v>
      </c>
      <c r="B261" s="276" t="s">
        <v>256</v>
      </c>
      <c r="C261" s="293"/>
      <c r="D261" s="279"/>
      <c r="E261" s="279"/>
    </row>
    <row r="262" spans="1:5" ht="12.65" customHeight="1" x14ac:dyDescent="0.35">
      <c r="A262" s="277" t="s">
        <v>397</v>
      </c>
      <c r="B262" s="276" t="s">
        <v>256</v>
      </c>
      <c r="C262" s="293">
        <v>1217345</v>
      </c>
      <c r="D262" s="279"/>
      <c r="E262" s="279"/>
    </row>
    <row r="263" spans="1:5" ht="12.65" customHeight="1" x14ac:dyDescent="0.35">
      <c r="A263" s="277" t="s">
        <v>398</v>
      </c>
      <c r="B263" s="276" t="s">
        <v>256</v>
      </c>
      <c r="C263" s="293">
        <v>2282536</v>
      </c>
      <c r="D263" s="279"/>
      <c r="E263" s="279"/>
    </row>
    <row r="264" spans="1:5" ht="12.65" customHeight="1" x14ac:dyDescent="0.35">
      <c r="A264" s="277" t="s">
        <v>399</v>
      </c>
      <c r="B264" s="276" t="s">
        <v>256</v>
      </c>
      <c r="C264" s="293">
        <v>1233493</v>
      </c>
      <c r="D264" s="279"/>
      <c r="E264" s="279"/>
    </row>
    <row r="265" spans="1:5" ht="12.65" customHeight="1" x14ac:dyDescent="0.35">
      <c r="A265" s="277" t="s">
        <v>400</v>
      </c>
      <c r="B265" s="276" t="s">
        <v>256</v>
      </c>
      <c r="C265" s="293"/>
      <c r="D265" s="279"/>
      <c r="E265" s="279"/>
    </row>
    <row r="266" spans="1:5" ht="12.65" customHeight="1" x14ac:dyDescent="0.35">
      <c r="A266" s="277" t="s">
        <v>979</v>
      </c>
      <c r="B266" s="276" t="s">
        <v>256</v>
      </c>
      <c r="C266" s="293">
        <v>472704</v>
      </c>
      <c r="D266" s="279"/>
      <c r="E266" s="279"/>
    </row>
    <row r="267" spans="1:5" ht="12.65" customHeight="1" x14ac:dyDescent="0.35">
      <c r="A267" s="277" t="s">
        <v>401</v>
      </c>
      <c r="B267" s="276" t="s">
        <v>256</v>
      </c>
      <c r="C267" s="293"/>
      <c r="D267" s="279"/>
      <c r="E267" s="279"/>
    </row>
    <row r="268" spans="1:5" ht="12.65" customHeight="1" x14ac:dyDescent="0.35">
      <c r="A268" s="277" t="s">
        <v>402</v>
      </c>
      <c r="B268" s="276" t="s">
        <v>256</v>
      </c>
      <c r="C268" s="293"/>
      <c r="D268" s="279"/>
      <c r="E268" s="279"/>
    </row>
    <row r="269" spans="1:5" ht="12.65" customHeight="1" x14ac:dyDescent="0.35">
      <c r="A269" s="277" t="s">
        <v>403</v>
      </c>
      <c r="B269" s="276" t="s">
        <v>256</v>
      </c>
      <c r="C269" s="293">
        <v>19670</v>
      </c>
      <c r="D269" s="279"/>
      <c r="E269" s="279"/>
    </row>
    <row r="270" spans="1:5" ht="12.65" customHeight="1" x14ac:dyDescent="0.35">
      <c r="A270" s="277" t="s">
        <v>404</v>
      </c>
      <c r="B270" s="276" t="s">
        <v>256</v>
      </c>
      <c r="C270" s="352">
        <v>806614</v>
      </c>
      <c r="D270" s="279"/>
      <c r="E270" s="279"/>
    </row>
    <row r="271" spans="1:5" ht="12.65" customHeight="1" x14ac:dyDescent="0.35">
      <c r="A271" s="277" t="s">
        <v>405</v>
      </c>
      <c r="B271" s="279"/>
      <c r="C271" s="295"/>
      <c r="D271" s="279">
        <f>SUM(C261:C270)</f>
        <v>6032362</v>
      </c>
      <c r="E271" s="279"/>
    </row>
    <row r="272" spans="1:5" ht="12.65" customHeight="1" x14ac:dyDescent="0.35">
      <c r="A272" s="333" t="s">
        <v>406</v>
      </c>
      <c r="B272" s="333"/>
      <c r="C272" s="333"/>
      <c r="D272" s="333"/>
      <c r="E272" s="333"/>
    </row>
    <row r="273" spans="1:5" ht="12.65" customHeight="1" x14ac:dyDescent="0.35">
      <c r="A273" s="277" t="s">
        <v>407</v>
      </c>
      <c r="B273" s="276" t="s">
        <v>256</v>
      </c>
      <c r="C273" s="293"/>
      <c r="D273" s="279"/>
      <c r="E273" s="279"/>
    </row>
    <row r="274" spans="1:5" ht="12.65" customHeight="1" x14ac:dyDescent="0.35">
      <c r="A274" s="277" t="s">
        <v>408</v>
      </c>
      <c r="B274" s="276" t="s">
        <v>256</v>
      </c>
      <c r="C274" s="293"/>
      <c r="D274" s="279"/>
      <c r="E274" s="279"/>
    </row>
    <row r="275" spans="1:5" ht="12.65" customHeight="1" x14ac:dyDescent="0.35">
      <c r="A275" s="277" t="s">
        <v>409</v>
      </c>
      <c r="B275" s="276" t="s">
        <v>256</v>
      </c>
      <c r="C275" s="293">
        <v>330200</v>
      </c>
      <c r="D275" s="279"/>
      <c r="E275" s="279"/>
    </row>
    <row r="276" spans="1:5" ht="12.65" customHeight="1" x14ac:dyDescent="0.35">
      <c r="A276" s="277" t="s">
        <v>410</v>
      </c>
      <c r="B276" s="279"/>
      <c r="C276" s="295"/>
      <c r="D276" s="279">
        <f>SUM(C273:C275)</f>
        <v>330200</v>
      </c>
      <c r="E276" s="279"/>
    </row>
    <row r="277" spans="1:5" ht="12.65" customHeight="1" x14ac:dyDescent="0.35">
      <c r="A277" s="333" t="s">
        <v>411</v>
      </c>
      <c r="B277" s="333"/>
      <c r="C277" s="333"/>
      <c r="D277" s="333"/>
      <c r="E277" s="333"/>
    </row>
    <row r="278" spans="1:5" ht="12.65" customHeight="1" x14ac:dyDescent="0.35">
      <c r="A278" s="277" t="s">
        <v>412</v>
      </c>
      <c r="B278" s="276" t="s">
        <v>256</v>
      </c>
      <c r="C278" s="293"/>
      <c r="D278" s="279"/>
      <c r="E278" s="279"/>
    </row>
    <row r="279" spans="1:5" ht="12.65" customHeight="1" x14ac:dyDescent="0.35">
      <c r="A279" s="277" t="s">
        <v>413</v>
      </c>
      <c r="B279" s="276" t="s">
        <v>256</v>
      </c>
      <c r="C279" s="293"/>
      <c r="D279" s="279"/>
      <c r="E279" s="279"/>
    </row>
    <row r="280" spans="1:5" ht="12.65" customHeight="1" x14ac:dyDescent="0.35">
      <c r="A280" s="277" t="s">
        <v>414</v>
      </c>
      <c r="B280" s="276" t="s">
        <v>256</v>
      </c>
      <c r="C280" s="293">
        <v>11958842</v>
      </c>
      <c r="D280" s="279"/>
      <c r="E280" s="279"/>
    </row>
    <row r="281" spans="1:5" ht="12.65" customHeight="1" x14ac:dyDescent="0.35">
      <c r="A281" s="275" t="s">
        <v>415</v>
      </c>
      <c r="B281" s="276" t="s">
        <v>256</v>
      </c>
      <c r="C281" s="293">
        <v>418578</v>
      </c>
      <c r="D281" s="279"/>
      <c r="E281" s="279"/>
    </row>
    <row r="282" spans="1:5" ht="12.65" customHeight="1" x14ac:dyDescent="0.35">
      <c r="A282" s="277" t="s">
        <v>416</v>
      </c>
      <c r="B282" s="276" t="s">
        <v>256</v>
      </c>
      <c r="C282" s="293"/>
      <c r="D282" s="279"/>
      <c r="E282" s="279"/>
    </row>
    <row r="283" spans="1:5" ht="12.65" customHeight="1" x14ac:dyDescent="0.35">
      <c r="A283" s="275" t="s">
        <v>417</v>
      </c>
      <c r="B283" s="276" t="s">
        <v>256</v>
      </c>
      <c r="C283" s="293"/>
      <c r="D283" s="279"/>
      <c r="E283" s="279"/>
    </row>
    <row r="284" spans="1:5" ht="12.65" customHeight="1" x14ac:dyDescent="0.35">
      <c r="A284" s="277" t="s">
        <v>418</v>
      </c>
      <c r="B284" s="276" t="s">
        <v>256</v>
      </c>
      <c r="C284" s="293"/>
      <c r="D284" s="279"/>
      <c r="E284" s="279"/>
    </row>
    <row r="285" spans="1:5" ht="19.5" customHeight="1" x14ac:dyDescent="0.35">
      <c r="A285" s="277" t="s">
        <v>203</v>
      </c>
      <c r="B285" s="279"/>
      <c r="C285" s="295"/>
      <c r="D285" s="279">
        <f>SUM(C278:C284)</f>
        <v>12377420</v>
      </c>
      <c r="E285" s="279"/>
    </row>
    <row r="286" spans="1:5" ht="12.65" customHeight="1" x14ac:dyDescent="0.35">
      <c r="A286" s="277" t="s">
        <v>419</v>
      </c>
      <c r="B286" s="279"/>
      <c r="C286" s="295"/>
      <c r="D286" s="279">
        <f>C270</f>
        <v>806614</v>
      </c>
      <c r="E286" s="279"/>
    </row>
    <row r="287" spans="1:5" ht="12.65" customHeight="1" x14ac:dyDescent="0.35">
      <c r="A287" s="277" t="s">
        <v>420</v>
      </c>
      <c r="B287" s="279"/>
      <c r="C287" s="295"/>
      <c r="D287" s="279">
        <f>D285-D286</f>
        <v>11570806</v>
      </c>
      <c r="E287" s="279"/>
    </row>
    <row r="288" spans="1:5" ht="12.65" customHeight="1" x14ac:dyDescent="0.35">
      <c r="A288" s="277"/>
      <c r="B288" s="279"/>
      <c r="C288" s="295"/>
      <c r="D288" s="279"/>
      <c r="E288" s="279"/>
    </row>
    <row r="289" spans="1:5" ht="12.65" customHeight="1" x14ac:dyDescent="0.35">
      <c r="A289" s="277" t="s">
        <v>421</v>
      </c>
      <c r="B289" s="276" t="s">
        <v>256</v>
      </c>
      <c r="C289" s="311">
        <v>29626958</v>
      </c>
      <c r="D289" s="279"/>
      <c r="E289" s="279"/>
    </row>
    <row r="290" spans="1:5" ht="12.65" customHeight="1" x14ac:dyDescent="0.35">
      <c r="A290" s="277"/>
      <c r="B290" s="276"/>
      <c r="C290" s="318"/>
      <c r="D290" s="279"/>
      <c r="E290" s="279"/>
    </row>
    <row r="291" spans="1:5" ht="12.65" customHeight="1" x14ac:dyDescent="0.35">
      <c r="A291" s="277" t="s">
        <v>879</v>
      </c>
      <c r="B291" s="276" t="s">
        <v>256</v>
      </c>
      <c r="C291" s="311"/>
      <c r="D291" s="279"/>
      <c r="E291" s="279"/>
    </row>
    <row r="292" spans="1:5" ht="12.65" customHeight="1" x14ac:dyDescent="0.35">
      <c r="A292" s="277" t="s">
        <v>880</v>
      </c>
      <c r="B292" s="276" t="s">
        <v>256</v>
      </c>
      <c r="C292" s="311"/>
      <c r="D292" s="279"/>
      <c r="E292" s="279"/>
    </row>
    <row r="293" spans="1:5" ht="12.65" customHeight="1" x14ac:dyDescent="0.35">
      <c r="A293" s="277" t="s">
        <v>423</v>
      </c>
      <c r="B293" s="276" t="s">
        <v>256</v>
      </c>
      <c r="C293" s="311"/>
      <c r="D293" s="279"/>
      <c r="E293" s="279"/>
    </row>
    <row r="294" spans="1:5" ht="12.65" customHeight="1" x14ac:dyDescent="0.35">
      <c r="A294" s="277" t="s">
        <v>422</v>
      </c>
      <c r="B294" s="276" t="s">
        <v>256</v>
      </c>
      <c r="C294" s="293"/>
      <c r="D294" s="279"/>
      <c r="E294" s="279"/>
    </row>
    <row r="295" spans="1:5" ht="12.65" customHeight="1" x14ac:dyDescent="0.35">
      <c r="A295" s="277" t="s">
        <v>990</v>
      </c>
      <c r="B295" s="276" t="s">
        <v>256</v>
      </c>
      <c r="C295" s="293"/>
      <c r="D295" s="279"/>
      <c r="E295" s="279"/>
    </row>
    <row r="296" spans="1:5" ht="12.65" customHeight="1" x14ac:dyDescent="0.35">
      <c r="A296" s="277" t="s">
        <v>424</v>
      </c>
      <c r="B296" s="279"/>
      <c r="C296" s="295"/>
      <c r="D296" s="279">
        <f>D271+D276+D287+C289+C293+C294</f>
        <v>47560326</v>
      </c>
      <c r="E296" s="279"/>
    </row>
    <row r="297" spans="1:5" ht="12.65" customHeight="1" x14ac:dyDescent="0.35">
      <c r="A297" s="277"/>
      <c r="B297" s="279"/>
      <c r="C297" s="295"/>
      <c r="D297" s="279"/>
      <c r="E297" s="279"/>
    </row>
    <row r="298" spans="1:5" ht="12.65" customHeight="1" x14ac:dyDescent="0.35">
      <c r="A298" s="277" t="s">
        <v>425</v>
      </c>
      <c r="B298" s="279"/>
      <c r="C298" s="295"/>
      <c r="D298" s="279">
        <f>D249</f>
        <v>47560326</v>
      </c>
      <c r="E298" s="279"/>
    </row>
    <row r="299" spans="1:5" ht="12.65" customHeight="1" x14ac:dyDescent="0.35">
      <c r="A299" s="277"/>
      <c r="B299" s="277"/>
      <c r="C299" s="295"/>
      <c r="D299" s="279"/>
      <c r="E299" s="279"/>
    </row>
    <row r="300" spans="1:5" ht="12.65" customHeight="1" x14ac:dyDescent="0.35">
      <c r="A300" s="277"/>
      <c r="B300" s="277"/>
      <c r="C300" s="295"/>
      <c r="D300" s="279"/>
      <c r="E300" s="279"/>
    </row>
    <row r="301" spans="1:5" ht="12.65" customHeight="1" x14ac:dyDescent="0.35">
      <c r="A301" s="277"/>
      <c r="B301" s="277"/>
      <c r="C301" s="295"/>
      <c r="D301" s="279"/>
      <c r="E301" s="279"/>
    </row>
    <row r="302" spans="1:5" ht="12.65" customHeight="1" x14ac:dyDescent="0.35">
      <c r="A302" s="277"/>
      <c r="B302" s="277"/>
      <c r="C302" s="295"/>
      <c r="D302" s="279"/>
      <c r="E302" s="279"/>
    </row>
    <row r="303" spans="1:5" ht="12.65" customHeight="1" x14ac:dyDescent="0.35">
      <c r="A303" s="277"/>
      <c r="B303" s="277"/>
      <c r="C303" s="295"/>
      <c r="D303" s="279"/>
      <c r="E303" s="279"/>
    </row>
    <row r="304" spans="1:5" ht="12.65" customHeight="1" x14ac:dyDescent="0.35">
      <c r="A304" s="277"/>
      <c r="B304" s="277"/>
      <c r="C304" s="295"/>
      <c r="D304" s="279"/>
      <c r="E304" s="279"/>
    </row>
    <row r="305" spans="1:5" ht="12.65" customHeight="1" x14ac:dyDescent="0.35">
      <c r="A305" s="277"/>
      <c r="B305" s="277"/>
      <c r="C305" s="295"/>
      <c r="D305" s="279"/>
      <c r="E305" s="279"/>
    </row>
    <row r="306" spans="1:5" ht="12.65" customHeight="1" x14ac:dyDescent="0.35">
      <c r="A306" s="277"/>
      <c r="B306" s="277"/>
      <c r="C306" s="295"/>
      <c r="D306" s="279"/>
      <c r="E306" s="279"/>
    </row>
    <row r="307" spans="1:5" ht="12.65" customHeight="1" x14ac:dyDescent="0.35">
      <c r="A307" s="277"/>
      <c r="B307" s="277"/>
      <c r="C307" s="295"/>
      <c r="D307" s="279"/>
      <c r="E307" s="279"/>
    </row>
    <row r="308" spans="1:5" ht="12.65" customHeight="1" x14ac:dyDescent="0.35">
      <c r="A308" s="277"/>
      <c r="B308" s="277"/>
      <c r="C308" s="295"/>
      <c r="D308" s="279"/>
      <c r="E308" s="279"/>
    </row>
    <row r="309" spans="1:5" ht="12.65" customHeight="1" x14ac:dyDescent="0.35">
      <c r="A309" s="277"/>
      <c r="B309" s="277"/>
      <c r="C309" s="295"/>
      <c r="D309" s="279"/>
      <c r="E309" s="279"/>
    </row>
    <row r="310" spans="1:5" ht="12.65" customHeight="1" x14ac:dyDescent="0.35">
      <c r="A310" s="277"/>
      <c r="B310" s="277"/>
      <c r="C310" s="295"/>
      <c r="D310" s="279"/>
      <c r="E310" s="279"/>
    </row>
    <row r="311" spans="1:5" ht="12.65" customHeight="1" x14ac:dyDescent="0.35">
      <c r="A311" s="277"/>
      <c r="B311" s="277"/>
      <c r="C311" s="295"/>
      <c r="D311" s="279"/>
      <c r="E311" s="279"/>
    </row>
    <row r="312" spans="1:5" ht="12.65" customHeight="1" x14ac:dyDescent="0.35">
      <c r="A312" s="277"/>
      <c r="B312" s="277"/>
      <c r="C312" s="295"/>
      <c r="D312" s="279"/>
      <c r="E312" s="279"/>
    </row>
    <row r="313" spans="1:5" ht="20.25" customHeight="1" x14ac:dyDescent="0.35">
      <c r="A313" s="277"/>
      <c r="B313" s="277"/>
      <c r="C313" s="295"/>
      <c r="D313" s="279"/>
      <c r="E313" s="279"/>
    </row>
    <row r="314" spans="1:5" ht="12.65" customHeight="1" x14ac:dyDescent="0.35">
      <c r="A314" s="309" t="s">
        <v>426</v>
      </c>
      <c r="B314" s="309"/>
      <c r="C314" s="309"/>
      <c r="D314" s="309"/>
      <c r="E314" s="309"/>
    </row>
    <row r="315" spans="1:5" ht="12.65" customHeight="1" x14ac:dyDescent="0.35">
      <c r="A315" s="333" t="s">
        <v>427</v>
      </c>
      <c r="B315" s="333"/>
      <c r="C315" s="333"/>
      <c r="D315" s="333"/>
      <c r="E315" s="333"/>
    </row>
    <row r="316" spans="1:5" ht="12.65" customHeight="1" x14ac:dyDescent="0.35">
      <c r="A316" s="277" t="s">
        <v>428</v>
      </c>
      <c r="B316" s="276" t="s">
        <v>256</v>
      </c>
      <c r="C316" s="293">
        <v>32394477</v>
      </c>
      <c r="D316" s="279"/>
      <c r="E316" s="279"/>
    </row>
    <row r="317" spans="1:5" ht="12.65" customHeight="1" x14ac:dyDescent="0.35">
      <c r="A317" s="277" t="s">
        <v>429</v>
      </c>
      <c r="B317" s="276" t="s">
        <v>256</v>
      </c>
      <c r="C317" s="293">
        <v>109673321</v>
      </c>
      <c r="D317" s="279"/>
      <c r="E317" s="279"/>
    </row>
    <row r="318" spans="1:5" ht="12.65" customHeight="1" x14ac:dyDescent="0.35">
      <c r="A318" s="277" t="s">
        <v>430</v>
      </c>
      <c r="B318" s="279"/>
      <c r="C318" s="295"/>
      <c r="D318" s="279">
        <f>SUM(C316:C317)</f>
        <v>142067798</v>
      </c>
      <c r="E318" s="279"/>
    </row>
    <row r="319" spans="1:5" ht="12.65" customHeight="1" x14ac:dyDescent="0.35">
      <c r="A319" s="333" t="s">
        <v>431</v>
      </c>
      <c r="B319" s="333"/>
      <c r="C319" s="333"/>
      <c r="D319" s="333"/>
      <c r="E319" s="333"/>
    </row>
    <row r="320" spans="1:5" ht="12.65" customHeight="1" x14ac:dyDescent="0.35">
      <c r="A320" s="277" t="s">
        <v>994</v>
      </c>
      <c r="B320" s="333"/>
      <c r="C320" s="293">
        <v>4031596</v>
      </c>
      <c r="D320" s="279"/>
      <c r="E320" s="333"/>
    </row>
    <row r="321" spans="1:5" ht="12.65" customHeight="1" x14ac:dyDescent="0.35">
      <c r="A321" s="277" t="s">
        <v>432</v>
      </c>
      <c r="B321" s="276" t="s">
        <v>256</v>
      </c>
      <c r="C321" s="293">
        <v>77230436</v>
      </c>
      <c r="D321" s="279"/>
      <c r="E321" s="279"/>
    </row>
    <row r="322" spans="1:5" ht="12.65" customHeight="1" x14ac:dyDescent="0.35">
      <c r="A322" s="277" t="s">
        <v>433</v>
      </c>
      <c r="B322" s="276" t="s">
        <v>256</v>
      </c>
      <c r="C322" s="293">
        <v>1671832</v>
      </c>
      <c r="D322" s="279"/>
      <c r="E322" s="279"/>
    </row>
    <row r="323" spans="1:5" ht="12.65" customHeight="1" x14ac:dyDescent="0.35">
      <c r="A323" s="277" t="s">
        <v>434</v>
      </c>
      <c r="B323" s="276" t="s">
        <v>256</v>
      </c>
      <c r="C323" s="293"/>
      <c r="D323" s="279"/>
      <c r="E323" s="279"/>
    </row>
    <row r="324" spans="1:5" ht="12.65" customHeight="1" x14ac:dyDescent="0.35">
      <c r="A324" s="277" t="s">
        <v>359</v>
      </c>
      <c r="B324" s="279"/>
      <c r="C324" s="295"/>
      <c r="D324" s="279">
        <f>SUM(C320:C323)</f>
        <v>82933864</v>
      </c>
      <c r="E324" s="279"/>
    </row>
    <row r="325" spans="1:5" ht="12.65" customHeight="1" x14ac:dyDescent="0.35">
      <c r="A325" s="277" t="s">
        <v>435</v>
      </c>
      <c r="B325" s="279"/>
      <c r="C325" s="295"/>
      <c r="D325" s="279">
        <f>D318-D324</f>
        <v>59133934</v>
      </c>
      <c r="E325" s="279"/>
    </row>
    <row r="326" spans="1:5" ht="12.65" customHeight="1" x14ac:dyDescent="0.35">
      <c r="A326" s="333" t="s">
        <v>436</v>
      </c>
      <c r="B326" s="333"/>
      <c r="C326" s="333"/>
      <c r="D326" s="333"/>
      <c r="E326" s="333"/>
    </row>
    <row r="327" spans="1:5" ht="12.65" customHeight="1" x14ac:dyDescent="0.35">
      <c r="A327" s="277" t="s">
        <v>437</v>
      </c>
      <c r="B327" s="276" t="s">
        <v>256</v>
      </c>
      <c r="C327" s="293">
        <v>2109080</v>
      </c>
      <c r="D327" s="279"/>
      <c r="E327" s="279"/>
    </row>
    <row r="328" spans="1:5" ht="12.65" customHeight="1" x14ac:dyDescent="0.35">
      <c r="A328" s="277" t="s">
        <v>438</v>
      </c>
      <c r="B328" s="276" t="s">
        <v>256</v>
      </c>
      <c r="C328" s="293">
        <v>846680</v>
      </c>
      <c r="D328" s="279"/>
      <c r="E328" s="279"/>
    </row>
    <row r="329" spans="1:5" ht="12.65" customHeight="1" x14ac:dyDescent="0.35">
      <c r="A329" s="277" t="s">
        <v>439</v>
      </c>
      <c r="B329" s="279"/>
      <c r="C329" s="295"/>
      <c r="D329" s="279">
        <f>SUM(C327:C328)</f>
        <v>2955760</v>
      </c>
      <c r="E329" s="279"/>
    </row>
    <row r="330" spans="1:5" ht="12.65" customHeight="1" x14ac:dyDescent="0.35">
      <c r="A330" s="277" t="s">
        <v>440</v>
      </c>
      <c r="B330" s="279"/>
      <c r="C330" s="295"/>
      <c r="D330" s="279">
        <f>D325+D329</f>
        <v>62089694</v>
      </c>
      <c r="E330" s="279"/>
    </row>
    <row r="331" spans="1:5" ht="12.65" customHeight="1" x14ac:dyDescent="0.35">
      <c r="A331" s="277"/>
      <c r="B331" s="279"/>
      <c r="C331" s="295"/>
      <c r="D331" s="279"/>
      <c r="E331" s="279"/>
    </row>
    <row r="332" spans="1:5" ht="12.65" customHeight="1" x14ac:dyDescent="0.35">
      <c r="A332" s="277"/>
      <c r="B332" s="279"/>
      <c r="C332" s="295"/>
      <c r="D332" s="279"/>
      <c r="E332" s="279"/>
    </row>
    <row r="333" spans="1:5" ht="12.65" customHeight="1" x14ac:dyDescent="0.35">
      <c r="A333" s="277"/>
      <c r="B333" s="279"/>
      <c r="C333" s="295"/>
      <c r="D333" s="279"/>
      <c r="E333" s="279"/>
    </row>
    <row r="334" spans="1:5" ht="12.65" customHeight="1" x14ac:dyDescent="0.35">
      <c r="A334" s="333" t="s">
        <v>441</v>
      </c>
      <c r="B334" s="333"/>
      <c r="C334" s="333"/>
      <c r="D334" s="333"/>
      <c r="E334" s="333"/>
    </row>
    <row r="335" spans="1:5" ht="12.65" customHeight="1" x14ac:dyDescent="0.35">
      <c r="A335" s="277" t="s">
        <v>442</v>
      </c>
      <c r="B335" s="276" t="s">
        <v>256</v>
      </c>
      <c r="C335" s="293">
        <v>27475681</v>
      </c>
      <c r="D335" s="279"/>
      <c r="E335" s="279"/>
    </row>
    <row r="336" spans="1:5" ht="12.65" customHeight="1" x14ac:dyDescent="0.35">
      <c r="A336" s="277" t="s">
        <v>3</v>
      </c>
      <c r="B336" s="276" t="s">
        <v>256</v>
      </c>
      <c r="C336" s="293">
        <v>6260013</v>
      </c>
      <c r="D336" s="279"/>
      <c r="E336" s="279"/>
    </row>
    <row r="337" spans="1:6" ht="12.65" customHeight="1" x14ac:dyDescent="0.35">
      <c r="A337" s="277" t="s">
        <v>236</v>
      </c>
      <c r="B337" s="276" t="s">
        <v>256</v>
      </c>
      <c r="C337" s="293">
        <v>7399636</v>
      </c>
      <c r="D337" s="279"/>
      <c r="E337" s="279"/>
    </row>
    <row r="338" spans="1:6" ht="12.65" customHeight="1" x14ac:dyDescent="0.35">
      <c r="A338" s="277" t="s">
        <v>443</v>
      </c>
      <c r="B338" s="276" t="s">
        <v>256</v>
      </c>
      <c r="C338" s="352">
        <v>6819641</v>
      </c>
      <c r="D338" s="279"/>
      <c r="E338" s="279"/>
    </row>
    <row r="339" spans="1:6" ht="12.65" customHeight="1" x14ac:dyDescent="0.35">
      <c r="A339" s="277" t="s">
        <v>444</v>
      </c>
      <c r="B339" s="276" t="s">
        <v>256</v>
      </c>
      <c r="C339" s="352">
        <v>535779</v>
      </c>
      <c r="D339" s="279"/>
      <c r="E339" s="279"/>
    </row>
    <row r="340" spans="1:6" ht="12.65" customHeight="1" x14ac:dyDescent="0.35">
      <c r="A340" s="277" t="s">
        <v>445</v>
      </c>
      <c r="B340" s="276" t="s">
        <v>256</v>
      </c>
      <c r="C340" s="352">
        <v>3320398</v>
      </c>
      <c r="D340" s="279"/>
      <c r="E340" s="279"/>
    </row>
    <row r="341" spans="1:6" ht="12.65" customHeight="1" x14ac:dyDescent="0.35">
      <c r="A341" s="277" t="s">
        <v>6</v>
      </c>
      <c r="B341" s="276" t="s">
        <v>256</v>
      </c>
      <c r="C341" s="352">
        <v>2443594</v>
      </c>
      <c r="D341" s="279"/>
      <c r="E341" s="279"/>
    </row>
    <row r="342" spans="1:6" ht="12.65" customHeight="1" x14ac:dyDescent="0.35">
      <c r="A342" s="277" t="s">
        <v>446</v>
      </c>
      <c r="B342" s="276" t="s">
        <v>256</v>
      </c>
      <c r="C342" s="352">
        <v>2157531</v>
      </c>
      <c r="D342" s="279"/>
      <c r="E342" s="279"/>
    </row>
    <row r="343" spans="1:6" ht="12.65" customHeight="1" x14ac:dyDescent="0.35">
      <c r="A343" s="277" t="s">
        <v>447</v>
      </c>
      <c r="B343" s="276" t="s">
        <v>256</v>
      </c>
      <c r="C343" s="352">
        <v>312599</v>
      </c>
      <c r="D343" s="279"/>
      <c r="E343" s="279"/>
    </row>
    <row r="344" spans="1:6" ht="12.65" customHeight="1" x14ac:dyDescent="0.35">
      <c r="A344" s="277" t="s">
        <v>448</v>
      </c>
      <c r="B344" s="276" t="s">
        <v>256</v>
      </c>
      <c r="C344" s="352">
        <v>425776</v>
      </c>
      <c r="D344" s="279"/>
      <c r="E344" s="279"/>
    </row>
    <row r="345" spans="1:6" ht="12.65" customHeight="1" x14ac:dyDescent="0.35">
      <c r="A345" s="277" t="s">
        <v>449</v>
      </c>
      <c r="B345" s="276" t="s">
        <v>256</v>
      </c>
      <c r="C345" s="352">
        <v>351114</v>
      </c>
      <c r="D345" s="279"/>
      <c r="E345" s="279"/>
    </row>
    <row r="346" spans="1:6" ht="12.65" customHeight="1" x14ac:dyDescent="0.35">
      <c r="A346" s="277" t="s">
        <v>451</v>
      </c>
      <c r="B346" s="276" t="s">
        <v>256</v>
      </c>
      <c r="C346" s="352">
        <v>1436581</v>
      </c>
      <c r="D346" s="279"/>
      <c r="E346" s="279"/>
    </row>
    <row r="347" spans="1:6" ht="12.65" customHeight="1" x14ac:dyDescent="0.35">
      <c r="A347" s="277" t="s">
        <v>452</v>
      </c>
      <c r="B347" s="279"/>
      <c r="C347" s="295"/>
      <c r="D347" s="279">
        <f>SUM(C335:C346)</f>
        <v>58938343</v>
      </c>
      <c r="E347" s="279"/>
    </row>
    <row r="348" spans="1:6" ht="12.65" customHeight="1" x14ac:dyDescent="0.35">
      <c r="A348" s="277" t="s">
        <v>453</v>
      </c>
      <c r="B348" s="279"/>
      <c r="C348" s="295"/>
      <c r="D348" s="279">
        <f>D330-D347</f>
        <v>3151351</v>
      </c>
      <c r="E348" s="279"/>
    </row>
    <row r="349" spans="1:6" ht="12.65" customHeight="1" x14ac:dyDescent="0.35">
      <c r="A349" s="277" t="s">
        <v>454</v>
      </c>
      <c r="B349" s="276" t="s">
        <v>256</v>
      </c>
      <c r="C349" s="293"/>
      <c r="D349" s="279"/>
      <c r="E349" s="279"/>
    </row>
    <row r="350" spans="1:6" ht="12.65" customHeight="1" x14ac:dyDescent="0.35">
      <c r="A350" s="277" t="s">
        <v>455</v>
      </c>
      <c r="B350" s="279"/>
      <c r="C350" s="295"/>
      <c r="D350" s="299">
        <f>D348+C349</f>
        <v>3151351</v>
      </c>
      <c r="E350" s="279"/>
      <c r="F350" s="301"/>
    </row>
    <row r="351" spans="1:6" ht="12.65" customHeight="1" x14ac:dyDescent="0.35">
      <c r="A351" s="277" t="s">
        <v>456</v>
      </c>
      <c r="B351" s="276" t="s">
        <v>256</v>
      </c>
      <c r="C351" s="293"/>
      <c r="D351" s="279"/>
      <c r="E351" s="279"/>
    </row>
    <row r="352" spans="1:6" ht="12.65" customHeight="1" x14ac:dyDescent="0.35">
      <c r="A352" s="277" t="s">
        <v>457</v>
      </c>
      <c r="B352" s="276" t="s">
        <v>256</v>
      </c>
      <c r="C352" s="293"/>
      <c r="D352" s="279"/>
      <c r="E352" s="279"/>
    </row>
    <row r="353" spans="1:5" ht="12.65" customHeight="1" x14ac:dyDescent="0.35">
      <c r="A353" s="277" t="s">
        <v>458</v>
      </c>
      <c r="B353" s="279"/>
      <c r="C353" s="295"/>
      <c r="D353" s="279">
        <f>D350+C351-C352</f>
        <v>3151351</v>
      </c>
      <c r="E353" s="279"/>
    </row>
    <row r="354" spans="1:5" ht="13.5" customHeight="1" x14ac:dyDescent="0.35">
      <c r="A354" s="283"/>
      <c r="B354" s="283"/>
    </row>
    <row r="355" spans="1:5" ht="12.65" customHeight="1" x14ac:dyDescent="0.35">
      <c r="A355" s="283"/>
      <c r="B355" s="283"/>
    </row>
    <row r="356" spans="1:5" ht="12.65" customHeight="1" x14ac:dyDescent="0.35">
      <c r="A356" s="283"/>
      <c r="B356" s="283"/>
    </row>
    <row r="357" spans="1:5" ht="12" customHeight="1" x14ac:dyDescent="0.35">
      <c r="A357" s="283"/>
      <c r="B357" s="283"/>
    </row>
    <row r="358" spans="1:5" ht="12" customHeight="1" x14ac:dyDescent="0.35">
      <c r="A358" s="283"/>
      <c r="B358" s="283"/>
    </row>
    <row r="359" spans="1:5" ht="12" customHeight="1" x14ac:dyDescent="0.35">
      <c r="A359" s="283"/>
      <c r="B359" s="283"/>
    </row>
    <row r="360" spans="1:5" ht="12" customHeight="1" x14ac:dyDescent="0.35">
      <c r="A360" s="283"/>
      <c r="B360" s="283"/>
    </row>
    <row r="361" spans="1:5" ht="12" customHeight="1" x14ac:dyDescent="0.35">
      <c r="A361" s="283"/>
      <c r="B361" s="283"/>
    </row>
    <row r="362" spans="1:5" ht="12.65" customHeight="1" x14ac:dyDescent="0.35">
      <c r="A362" s="283"/>
      <c r="B362" s="283"/>
    </row>
    <row r="363" spans="1:5" ht="12.65" customHeight="1" x14ac:dyDescent="0.35">
      <c r="A363" s="283"/>
      <c r="B363" s="283"/>
    </row>
    <row r="364" spans="1:5" ht="12.65" customHeight="1" x14ac:dyDescent="0.35">
      <c r="A364" s="283"/>
      <c r="B364" s="283"/>
    </row>
    <row r="365" spans="1:5" ht="12.65" customHeight="1" x14ac:dyDescent="0.35">
      <c r="A365" s="283"/>
      <c r="B365" s="283"/>
    </row>
    <row r="366" spans="1:5" ht="12.65" customHeight="1" x14ac:dyDescent="0.35">
      <c r="A366" s="283"/>
      <c r="B366" s="283"/>
    </row>
    <row r="367" spans="1:5" ht="12.65" customHeight="1" x14ac:dyDescent="0.35">
      <c r="A367" s="283"/>
      <c r="B367" s="283"/>
    </row>
    <row r="368" spans="1:5" ht="12.65" customHeight="1" x14ac:dyDescent="0.35">
      <c r="A368" s="283"/>
      <c r="B368" s="283"/>
      <c r="C368" s="285" t="s">
        <v>459</v>
      </c>
      <c r="D368" s="283"/>
      <c r="E368" s="336"/>
    </row>
    <row r="369" spans="1:7" ht="12.65" customHeight="1" x14ac:dyDescent="0.35">
      <c r="A369" s="283" t="str">
        <f>C41&amp;"   "&amp;"H-"&amp;FIXED(C40,0,TRUE)&amp;"     FYE "&amp;C39</f>
        <v>PMH Medical Center   H-0     FYE 12/31/2019</v>
      </c>
      <c r="B369" s="283"/>
      <c r="C369" s="283"/>
      <c r="D369" s="283"/>
      <c r="E369" s="336"/>
    </row>
    <row r="370" spans="1:7" ht="12.65" customHeight="1" x14ac:dyDescent="0.35">
      <c r="A370" s="283" t="s">
        <v>460</v>
      </c>
      <c r="B370" s="285" t="s">
        <v>461</v>
      </c>
      <c r="C370" s="285" t="s">
        <v>980</v>
      </c>
      <c r="D370" s="285" t="s">
        <v>462</v>
      </c>
    </row>
    <row r="371" spans="1:7" ht="12.65" customHeight="1" x14ac:dyDescent="0.35">
      <c r="A371" s="283" t="s">
        <v>463</v>
      </c>
      <c r="B371" s="283">
        <f>C68</f>
        <v>992</v>
      </c>
      <c r="C371" s="298">
        <f>E95</f>
        <v>992</v>
      </c>
      <c r="D371" s="283"/>
    </row>
    <row r="372" spans="1:7" ht="12.65" customHeight="1" x14ac:dyDescent="0.35">
      <c r="A372" s="283" t="s">
        <v>464</v>
      </c>
      <c r="B372" s="283">
        <f>D68</f>
        <v>2194</v>
      </c>
      <c r="C372" s="283">
        <f>E96</f>
        <v>2194</v>
      </c>
      <c r="D372" s="298">
        <f>SUM(C16:H16)+N16</f>
        <v>2194</v>
      </c>
    </row>
    <row r="373" spans="1:7" ht="12.65" customHeight="1" x14ac:dyDescent="0.35">
      <c r="A373" s="283"/>
      <c r="B373" s="283"/>
      <c r="C373" s="298"/>
      <c r="D373" s="283"/>
    </row>
    <row r="374" spans="1:7" ht="12.65" customHeight="1" x14ac:dyDescent="0.35">
      <c r="A374" s="283" t="s">
        <v>465</v>
      </c>
      <c r="B374" s="283">
        <f>C69</f>
        <v>141</v>
      </c>
      <c r="C374" s="298">
        <f>E101</f>
        <v>141</v>
      </c>
      <c r="D374" s="283"/>
    </row>
    <row r="375" spans="1:7" ht="12.65" customHeight="1" x14ac:dyDescent="0.35">
      <c r="A375" s="283" t="s">
        <v>466</v>
      </c>
      <c r="B375" s="283">
        <f>D69</f>
        <v>2004</v>
      </c>
      <c r="C375" s="283">
        <f>E102</f>
        <v>2004</v>
      </c>
      <c r="D375" s="283">
        <f>K16+L16</f>
        <v>2004</v>
      </c>
    </row>
    <row r="376" spans="1:7" ht="12.65" customHeight="1" x14ac:dyDescent="0.35">
      <c r="A376" s="283"/>
      <c r="B376" s="283"/>
      <c r="C376" s="298"/>
      <c r="D376" s="283"/>
    </row>
    <row r="377" spans="1:7" ht="12.65" customHeight="1" x14ac:dyDescent="0.35">
      <c r="A377" s="283" t="s">
        <v>467</v>
      </c>
      <c r="B377" s="283">
        <f>C70</f>
        <v>0</v>
      </c>
      <c r="C377" s="283">
        <f>E107</f>
        <v>0</v>
      </c>
      <c r="D377" s="283"/>
    </row>
    <row r="378" spans="1:7" ht="12.65" customHeight="1" x14ac:dyDescent="0.35">
      <c r="A378" s="283" t="s">
        <v>468</v>
      </c>
      <c r="B378" s="283">
        <f>D70</f>
        <v>0</v>
      </c>
      <c r="C378" s="283">
        <f>E108</f>
        <v>0</v>
      </c>
      <c r="D378" s="283">
        <f>I16</f>
        <v>0</v>
      </c>
    </row>
    <row r="379" spans="1:7" ht="12.65" customHeight="1" x14ac:dyDescent="0.35">
      <c r="A379" s="307"/>
      <c r="B379" s="307"/>
      <c r="C379" s="285"/>
      <c r="D379" s="283"/>
    </row>
    <row r="380" spans="1:7" ht="12.65" customHeight="1" x14ac:dyDescent="0.35">
      <c r="A380" s="284" t="s">
        <v>469</v>
      </c>
      <c r="B380" s="284">
        <f>C71</f>
        <v>439</v>
      </c>
    </row>
    <row r="381" spans="1:7" ht="12.65" customHeight="1" x14ac:dyDescent="0.35">
      <c r="A381" s="283" t="s">
        <v>981</v>
      </c>
      <c r="B381" s="283">
        <f>D71</f>
        <v>681</v>
      </c>
      <c r="D381" s="283">
        <f>J16</f>
        <v>681</v>
      </c>
    </row>
    <row r="382" spans="1:7" ht="12.65" customHeight="1" x14ac:dyDescent="0.35">
      <c r="A382" s="307"/>
      <c r="B382" s="307"/>
      <c r="C382" s="307"/>
      <c r="D382" s="307"/>
      <c r="F382" s="307"/>
      <c r="G382" s="307"/>
    </row>
    <row r="383" spans="1:7" ht="12.65" customHeight="1" x14ac:dyDescent="0.35">
      <c r="A383" s="283" t="s">
        <v>470</v>
      </c>
      <c r="B383" s="285" t="s">
        <v>471</v>
      </c>
      <c r="C383" s="285" t="s">
        <v>462</v>
      </c>
      <c r="D383" s="285" t="s">
        <v>472</v>
      </c>
    </row>
    <row r="384" spans="1:7" ht="12.65" customHeight="1" x14ac:dyDescent="0.35">
      <c r="A384" s="283" t="s">
        <v>473</v>
      </c>
      <c r="B384" s="283">
        <f t="shared" ref="B384:B394" si="12">C335</f>
        <v>27475681</v>
      </c>
      <c r="C384" s="283">
        <f t="shared" ref="C384:C391" si="13">CE18</f>
        <v>27475681</v>
      </c>
      <c r="D384" s="283"/>
    </row>
    <row r="385" spans="1:7" ht="12.65" customHeight="1" x14ac:dyDescent="0.35">
      <c r="A385" s="283" t="s">
        <v>3</v>
      </c>
      <c r="B385" s="283">
        <f t="shared" si="12"/>
        <v>6260013</v>
      </c>
      <c r="C385" s="283">
        <f t="shared" si="13"/>
        <v>6260011</v>
      </c>
      <c r="D385" s="283">
        <f>D130</f>
        <v>6260013</v>
      </c>
    </row>
    <row r="386" spans="1:7" ht="12.65" customHeight="1" x14ac:dyDescent="0.35">
      <c r="A386" s="283" t="s">
        <v>236</v>
      </c>
      <c r="B386" s="283">
        <f t="shared" si="12"/>
        <v>7399636</v>
      </c>
      <c r="C386" s="283">
        <f t="shared" si="13"/>
        <v>7399636</v>
      </c>
      <c r="D386" s="283"/>
    </row>
    <row r="387" spans="1:7" ht="12.65" customHeight="1" x14ac:dyDescent="0.35">
      <c r="A387" s="283" t="s">
        <v>237</v>
      </c>
      <c r="B387" s="283">
        <f t="shared" si="12"/>
        <v>6819641</v>
      </c>
      <c r="C387" s="283">
        <f t="shared" si="13"/>
        <v>6819641</v>
      </c>
      <c r="D387" s="283"/>
    </row>
    <row r="388" spans="1:7" ht="12.65" customHeight="1" x14ac:dyDescent="0.35">
      <c r="A388" s="283" t="s">
        <v>444</v>
      </c>
      <c r="B388" s="283">
        <f t="shared" si="12"/>
        <v>535779</v>
      </c>
      <c r="C388" s="283">
        <f t="shared" si="13"/>
        <v>535779</v>
      </c>
      <c r="D388" s="283"/>
    </row>
    <row r="389" spans="1:7" ht="12.65" customHeight="1" x14ac:dyDescent="0.35">
      <c r="A389" s="283" t="s">
        <v>445</v>
      </c>
      <c r="B389" s="283">
        <f t="shared" si="12"/>
        <v>3320398</v>
      </c>
      <c r="C389" s="283">
        <f t="shared" si="13"/>
        <v>3320398</v>
      </c>
      <c r="D389" s="283"/>
    </row>
    <row r="390" spans="1:7" ht="12.65" customHeight="1" x14ac:dyDescent="0.35">
      <c r="A390" s="283" t="s">
        <v>6</v>
      </c>
      <c r="B390" s="283">
        <f t="shared" si="12"/>
        <v>2443594</v>
      </c>
      <c r="C390" s="283">
        <f t="shared" si="13"/>
        <v>2443593</v>
      </c>
      <c r="D390" s="283">
        <f>C174</f>
        <v>2443594</v>
      </c>
    </row>
    <row r="391" spans="1:7" ht="12.65" customHeight="1" x14ac:dyDescent="0.35">
      <c r="A391" s="283" t="s">
        <v>474</v>
      </c>
      <c r="B391" s="283">
        <f t="shared" si="12"/>
        <v>2157531</v>
      </c>
      <c r="C391" s="283">
        <f t="shared" si="13"/>
        <v>2157531</v>
      </c>
      <c r="D391" s="283">
        <f>D134</f>
        <v>2157531</v>
      </c>
    </row>
    <row r="392" spans="1:7" ht="12.65" customHeight="1" x14ac:dyDescent="0.35">
      <c r="A392" s="283" t="s">
        <v>447</v>
      </c>
      <c r="B392" s="283">
        <f t="shared" si="12"/>
        <v>312599</v>
      </c>
      <c r="C392" s="283"/>
      <c r="D392" s="283">
        <f>D138</f>
        <v>312599</v>
      </c>
    </row>
    <row r="393" spans="1:7" ht="12.65" customHeight="1" x14ac:dyDescent="0.35">
      <c r="A393" s="283" t="s">
        <v>475</v>
      </c>
      <c r="B393" s="283">
        <f t="shared" si="12"/>
        <v>425776</v>
      </c>
      <c r="C393" s="283"/>
      <c r="D393" s="283">
        <f>D143</f>
        <v>425776</v>
      </c>
    </row>
    <row r="394" spans="1:7" ht="12.65" customHeight="1" x14ac:dyDescent="0.35">
      <c r="A394" s="298" t="s">
        <v>449</v>
      </c>
      <c r="B394" s="298">
        <f t="shared" si="12"/>
        <v>351114</v>
      </c>
      <c r="C394" s="298"/>
      <c r="D394" s="298">
        <f>D147</f>
        <v>351114</v>
      </c>
    </row>
    <row r="395" spans="1:7" ht="12.65" customHeight="1" x14ac:dyDescent="0.35">
      <c r="A395" s="298" t="s">
        <v>476</v>
      </c>
      <c r="B395" s="298">
        <f>C343+C344+C345</f>
        <v>1089489</v>
      </c>
      <c r="C395" s="298">
        <f>CD26</f>
        <v>1089489</v>
      </c>
      <c r="D395" s="298">
        <f>D138+D143+D147</f>
        <v>1089489</v>
      </c>
    </row>
    <row r="396" spans="1:7" ht="12.65" customHeight="1" x14ac:dyDescent="0.35">
      <c r="A396" s="283" t="s">
        <v>451</v>
      </c>
      <c r="B396" s="298">
        <f>C346</f>
        <v>1436581</v>
      </c>
      <c r="C396" s="298">
        <f>SUM(C26:CC26)</f>
        <v>1436581</v>
      </c>
      <c r="D396" s="283"/>
    </row>
    <row r="397" spans="1:7" ht="12.65" customHeight="1" x14ac:dyDescent="0.35">
      <c r="A397" s="283" t="s">
        <v>477</v>
      </c>
      <c r="B397" s="298">
        <f>B395+B396</f>
        <v>2526070</v>
      </c>
      <c r="C397" s="298">
        <f>CE26</f>
        <v>2526070</v>
      </c>
      <c r="D397" s="283"/>
    </row>
    <row r="398" spans="1:7" ht="12.65" customHeight="1" x14ac:dyDescent="0.35">
      <c r="A398" s="283" t="s">
        <v>478</v>
      </c>
      <c r="B398" s="283">
        <f>D347</f>
        <v>58938343</v>
      </c>
      <c r="C398" s="283">
        <f>SUM(C384:C394)+C397</f>
        <v>58938340</v>
      </c>
      <c r="D398" s="283"/>
    </row>
    <row r="399" spans="1:7" ht="12.65" customHeight="1" x14ac:dyDescent="0.35">
      <c r="A399" s="307"/>
      <c r="B399" s="307"/>
      <c r="C399" s="307"/>
      <c r="D399" s="307"/>
      <c r="F399" s="307"/>
      <c r="G399" s="307"/>
    </row>
    <row r="400" spans="1:7" ht="12.65" customHeight="1" x14ac:dyDescent="0.35">
      <c r="A400" s="283" t="s">
        <v>479</v>
      </c>
      <c r="B400" s="285" t="s">
        <v>480</v>
      </c>
      <c r="C400" s="285" t="s">
        <v>471</v>
      </c>
      <c r="D400" s="283"/>
    </row>
    <row r="401" spans="1:7" ht="12.65" customHeight="1" x14ac:dyDescent="0.35">
      <c r="A401" s="283" t="s">
        <v>995</v>
      </c>
      <c r="B401" s="283">
        <f>D178</f>
        <v>4031596</v>
      </c>
      <c r="C401" s="283">
        <f>C320</f>
        <v>4031596</v>
      </c>
      <c r="D401" s="283"/>
    </row>
    <row r="402" spans="1:7" ht="12.65" customHeight="1" x14ac:dyDescent="0.35">
      <c r="A402" s="283" t="s">
        <v>343</v>
      </c>
      <c r="B402" s="283">
        <f>D186</f>
        <v>77230436</v>
      </c>
      <c r="C402" s="283">
        <f>C321</f>
        <v>77230436</v>
      </c>
      <c r="D402" s="283"/>
    </row>
    <row r="403" spans="1:7" ht="12.65" customHeight="1" x14ac:dyDescent="0.35">
      <c r="A403" s="283" t="s">
        <v>351</v>
      </c>
      <c r="B403" s="283">
        <f>D193</f>
        <v>1671832</v>
      </c>
      <c r="C403" s="283">
        <f>C322</f>
        <v>1671832</v>
      </c>
      <c r="D403" s="283"/>
    </row>
    <row r="404" spans="1:7" ht="12.65" customHeight="1" x14ac:dyDescent="0.35">
      <c r="A404" s="283" t="s">
        <v>356</v>
      </c>
      <c r="B404" s="283">
        <f>D197</f>
        <v>0</v>
      </c>
      <c r="C404" s="283">
        <f>C323</f>
        <v>0</v>
      </c>
      <c r="D404" s="283"/>
    </row>
    <row r="405" spans="1:7" ht="12.65" customHeight="1" x14ac:dyDescent="0.35">
      <c r="A405" s="283" t="s">
        <v>358</v>
      </c>
      <c r="B405" s="283">
        <f>D199</f>
        <v>82933864</v>
      </c>
      <c r="C405" s="283">
        <f>D324</f>
        <v>82933864</v>
      </c>
      <c r="D405" s="283"/>
    </row>
    <row r="406" spans="1:7" ht="12.65" customHeight="1" x14ac:dyDescent="0.35">
      <c r="A406" s="307"/>
      <c r="B406" s="307"/>
      <c r="C406" s="307"/>
      <c r="D406" s="307"/>
      <c r="F406" s="307"/>
      <c r="G406" s="307"/>
    </row>
    <row r="407" spans="1:7" ht="12.65" customHeight="1" x14ac:dyDescent="0.35">
      <c r="A407" s="284" t="s">
        <v>481</v>
      </c>
      <c r="B407" s="285" t="s">
        <v>482</v>
      </c>
      <c r="C407" s="307"/>
      <c r="D407" s="307"/>
      <c r="F407" s="307"/>
      <c r="G407" s="307"/>
    </row>
    <row r="408" spans="1:7" ht="12.65" customHeight="1" x14ac:dyDescent="0.35">
      <c r="B408" s="285" t="s">
        <v>483</v>
      </c>
    </row>
    <row r="409" spans="1:7" ht="12.65" customHeight="1" x14ac:dyDescent="0.35">
      <c r="B409" s="285" t="s">
        <v>472</v>
      </c>
    </row>
    <row r="410" spans="1:7" ht="12.65" customHeight="1" x14ac:dyDescent="0.35">
      <c r="A410" s="303" t="s">
        <v>484</v>
      </c>
      <c r="B410" s="284">
        <f>C188</f>
        <v>1864</v>
      </c>
    </row>
    <row r="411" spans="1:7" ht="12.65" customHeight="1" x14ac:dyDescent="0.35">
      <c r="A411" s="283" t="s">
        <v>168</v>
      </c>
      <c r="B411" s="283">
        <f>C190</f>
        <v>381213</v>
      </c>
      <c r="C411" s="283"/>
      <c r="D411" s="283"/>
    </row>
    <row r="412" spans="1:7" ht="12.65" customHeight="1" x14ac:dyDescent="0.35">
      <c r="A412" s="283" t="s">
        <v>131</v>
      </c>
      <c r="B412" s="283">
        <f>C191</f>
        <v>1290619</v>
      </c>
      <c r="C412" s="283"/>
      <c r="D412" s="283"/>
    </row>
    <row r="413" spans="1:7" ht="12.65" customHeight="1" x14ac:dyDescent="0.35">
      <c r="A413" s="307"/>
      <c r="B413" s="307"/>
      <c r="C413" s="307"/>
      <c r="D413" s="307"/>
      <c r="F413" s="307"/>
      <c r="G413" s="307"/>
    </row>
    <row r="414" spans="1:7" ht="12.65" customHeight="1" x14ac:dyDescent="0.35">
      <c r="A414" s="283" t="s">
        <v>485</v>
      </c>
      <c r="B414" s="285" t="s">
        <v>471</v>
      </c>
      <c r="C414" s="285" t="s">
        <v>486</v>
      </c>
      <c r="D414" s="283"/>
    </row>
    <row r="415" spans="1:7" ht="12.65" customHeight="1" x14ac:dyDescent="0.35">
      <c r="A415" s="283" t="s">
        <v>487</v>
      </c>
      <c r="B415" s="298">
        <f>C327</f>
        <v>2109080</v>
      </c>
      <c r="C415" s="298">
        <f>CE27</f>
        <v>0</v>
      </c>
      <c r="D415" s="298"/>
    </row>
    <row r="416" spans="1:7" ht="12.65" customHeight="1" x14ac:dyDescent="0.35">
      <c r="A416" s="283" t="s">
        <v>244</v>
      </c>
      <c r="B416" s="298">
        <f>C328</f>
        <v>846680</v>
      </c>
      <c r="C416" s="298">
        <f>CE29</f>
        <v>0</v>
      </c>
      <c r="D416" s="298"/>
    </row>
    <row r="417" spans="1:7" ht="12.65" customHeight="1" x14ac:dyDescent="0.35">
      <c r="A417" s="307"/>
      <c r="B417" s="307"/>
      <c r="C417" s="307"/>
      <c r="D417" s="307"/>
      <c r="F417" s="307"/>
      <c r="G417" s="307"/>
    </row>
    <row r="418" spans="1:7" ht="12.65" customHeight="1" x14ac:dyDescent="0.35">
      <c r="A418" s="283" t="s">
        <v>488</v>
      </c>
      <c r="B418" s="285"/>
      <c r="C418" s="285"/>
      <c r="D418" s="285" t="s">
        <v>982</v>
      </c>
    </row>
    <row r="419" spans="1:7" ht="12.65" customHeight="1" x14ac:dyDescent="0.35">
      <c r="B419" s="285" t="s">
        <v>471</v>
      </c>
      <c r="C419" s="285" t="s">
        <v>486</v>
      </c>
      <c r="D419" s="285" t="s">
        <v>490</v>
      </c>
    </row>
    <row r="420" spans="1:7" ht="12.65" customHeight="1" x14ac:dyDescent="0.35">
      <c r="A420" s="283" t="s">
        <v>245</v>
      </c>
      <c r="B420" s="298">
        <f>C316</f>
        <v>32394477</v>
      </c>
      <c r="C420" s="298">
        <f>CE30</f>
        <v>32394479</v>
      </c>
      <c r="D420" s="298">
        <f>E98+E104+E110</f>
        <v>32394477</v>
      </c>
    </row>
    <row r="421" spans="1:7" ht="12.65" customHeight="1" x14ac:dyDescent="0.35">
      <c r="A421" s="283" t="s">
        <v>246</v>
      </c>
      <c r="B421" s="298">
        <f>C317</f>
        <v>109673321</v>
      </c>
      <c r="C421" s="298">
        <f>CE31</f>
        <v>109673322</v>
      </c>
      <c r="D421" s="298">
        <f>E99+E105+E111</f>
        <v>109673321</v>
      </c>
    </row>
    <row r="422" spans="1:7" ht="12.65" customHeight="1" x14ac:dyDescent="0.35">
      <c r="A422" s="283" t="s">
        <v>247</v>
      </c>
      <c r="B422" s="298">
        <f>D318</f>
        <v>142067798</v>
      </c>
      <c r="C422" s="298">
        <f>CE32</f>
        <v>142067801</v>
      </c>
      <c r="D422" s="298">
        <f>D420+D421</f>
        <v>142067798</v>
      </c>
    </row>
    <row r="423" spans="1:7" ht="12.65" customHeight="1" x14ac:dyDescent="0.35">
      <c r="A423" s="307"/>
      <c r="B423" s="307"/>
      <c r="C423" s="307"/>
      <c r="D423" s="307"/>
      <c r="F423" s="307"/>
      <c r="G423" s="307"/>
    </row>
    <row r="424" spans="1:7" ht="12.65" customHeight="1" x14ac:dyDescent="0.35">
      <c r="A424" s="283" t="s">
        <v>491</v>
      </c>
      <c r="B424" s="285" t="s">
        <v>492</v>
      </c>
      <c r="C424" s="285" t="s">
        <v>493</v>
      </c>
      <c r="D424" s="283"/>
    </row>
    <row r="425" spans="1:7" ht="12.65" customHeight="1" x14ac:dyDescent="0.35">
      <c r="A425" s="283" t="s">
        <v>332</v>
      </c>
      <c r="B425" s="283">
        <f t="shared" ref="B425:B432" si="14">C224</f>
        <v>3128342</v>
      </c>
      <c r="C425" s="283">
        <f>E152</f>
        <v>3128342</v>
      </c>
      <c r="D425" s="283"/>
    </row>
    <row r="426" spans="1:7" ht="12.65" customHeight="1" x14ac:dyDescent="0.35">
      <c r="A426" s="283" t="s">
        <v>333</v>
      </c>
      <c r="B426" s="283">
        <f t="shared" si="14"/>
        <v>1433711</v>
      </c>
      <c r="C426" s="283">
        <f>E153</f>
        <v>629956</v>
      </c>
      <c r="D426" s="283"/>
    </row>
    <row r="427" spans="1:7" ht="12.65" customHeight="1" x14ac:dyDescent="0.35">
      <c r="A427" s="283" t="s">
        <v>334</v>
      </c>
      <c r="B427" s="283">
        <f t="shared" si="14"/>
        <v>21752885</v>
      </c>
      <c r="C427" s="283">
        <f>E154</f>
        <v>22556640</v>
      </c>
      <c r="D427" s="283"/>
    </row>
    <row r="428" spans="1:7" ht="12.65" customHeight="1" x14ac:dyDescent="0.35">
      <c r="A428" s="283" t="s">
        <v>494</v>
      </c>
      <c r="B428" s="283">
        <f t="shared" si="14"/>
        <v>3163300</v>
      </c>
      <c r="C428" s="283">
        <f>E155</f>
        <v>3163300</v>
      </c>
      <c r="D428" s="283"/>
    </row>
    <row r="429" spans="1:7" ht="12.65" customHeight="1" x14ac:dyDescent="0.35">
      <c r="A429" s="283" t="s">
        <v>377</v>
      </c>
      <c r="B429" s="283">
        <f t="shared" si="14"/>
        <v>665178</v>
      </c>
      <c r="C429" s="283">
        <f>E156</f>
        <v>665178</v>
      </c>
      <c r="D429" s="283"/>
    </row>
    <row r="430" spans="1:7" ht="12.65" customHeight="1" x14ac:dyDescent="0.35">
      <c r="A430" s="283" t="s">
        <v>495</v>
      </c>
      <c r="B430" s="283">
        <f t="shared" si="14"/>
        <v>14619070</v>
      </c>
      <c r="C430" s="283">
        <f>SUM(E157:E158)</f>
        <v>14619070</v>
      </c>
      <c r="D430" s="283"/>
    </row>
    <row r="431" spans="1:7" ht="12.65" customHeight="1" x14ac:dyDescent="0.35">
      <c r="A431" s="283" t="s">
        <v>339</v>
      </c>
      <c r="B431" s="283">
        <f t="shared" si="14"/>
        <v>0</v>
      </c>
      <c r="C431" s="283">
        <f>E159</f>
        <v>0</v>
      </c>
      <c r="D431" s="283"/>
    </row>
    <row r="432" spans="1:7" ht="12.65" customHeight="1" x14ac:dyDescent="0.35">
      <c r="A432" s="283" t="s">
        <v>340</v>
      </c>
      <c r="B432" s="283">
        <f t="shared" si="14"/>
        <v>228718</v>
      </c>
      <c r="C432" s="283">
        <f>E160</f>
        <v>228718</v>
      </c>
      <c r="D432" s="283"/>
    </row>
    <row r="433" spans="1:4" ht="12.65" customHeight="1" x14ac:dyDescent="0.35">
      <c r="A433" s="283" t="s">
        <v>203</v>
      </c>
      <c r="B433" s="283">
        <f>D232</f>
        <v>44991204</v>
      </c>
      <c r="C433" s="283">
        <f>E161</f>
        <v>44991204</v>
      </c>
      <c r="D433" s="283"/>
    </row>
    <row r="434" spans="1:4" ht="12.65" customHeight="1" x14ac:dyDescent="0.35">
      <c r="A434" s="283"/>
      <c r="B434" s="283"/>
      <c r="C434" s="283"/>
      <c r="D434" s="283"/>
    </row>
    <row r="435" spans="1:4" ht="12.65" customHeight="1" x14ac:dyDescent="0.35">
      <c r="A435" s="283" t="s">
        <v>496</v>
      </c>
      <c r="B435" s="283">
        <f>C233</f>
        <v>26677265</v>
      </c>
      <c r="C435" s="283">
        <f>E174</f>
        <v>26677265</v>
      </c>
      <c r="D435" s="283"/>
    </row>
    <row r="437" spans="1:4" ht="12.65" customHeight="1" x14ac:dyDescent="0.35">
      <c r="A437" s="284" t="s">
        <v>497</v>
      </c>
    </row>
    <row r="438" spans="1:4" ht="12.65" customHeight="1" x14ac:dyDescent="0.35">
      <c r="A438" s="284" t="s">
        <v>498</v>
      </c>
      <c r="C438" s="284">
        <f>D298</f>
        <v>47560326</v>
      </c>
    </row>
    <row r="439" spans="1:4" ht="12.65" customHeight="1" x14ac:dyDescent="0.35">
      <c r="A439" s="284" t="s">
        <v>499</v>
      </c>
      <c r="C439" s="284">
        <f>D296</f>
        <v>47560326</v>
      </c>
    </row>
    <row r="442" spans="1:4" ht="12.65" customHeight="1" x14ac:dyDescent="0.35">
      <c r="A442" s="303" t="s">
        <v>500</v>
      </c>
    </row>
    <row r="443" spans="1:4" ht="12.65" customHeight="1" x14ac:dyDescent="0.35">
      <c r="A443" s="303" t="s">
        <v>501</v>
      </c>
    </row>
    <row r="444" spans="1:4" ht="12.65" customHeight="1" x14ac:dyDescent="0.35">
      <c r="A444" s="303" t="s">
        <v>502</v>
      </c>
    </row>
    <row r="445" spans="1:4" ht="12.65" customHeight="1" x14ac:dyDescent="0.35">
      <c r="A445" s="303"/>
    </row>
    <row r="446" spans="1:4" ht="12.65" customHeight="1" x14ac:dyDescent="0.35">
      <c r="A446" s="302" t="s">
        <v>503</v>
      </c>
    </row>
    <row r="447" spans="1:4" ht="12.65" customHeight="1" x14ac:dyDescent="0.35">
      <c r="A447" s="303" t="s">
        <v>504</v>
      </c>
    </row>
    <row r="448" spans="1:4" ht="12.65" customHeight="1" x14ac:dyDescent="0.35">
      <c r="A448" s="303"/>
    </row>
    <row r="450" spans="1:12" ht="12.65" customHeight="1" x14ac:dyDescent="0.35">
      <c r="A450" s="284" t="str">
        <f>C40</f>
        <v>046</v>
      </c>
      <c r="B450" s="337">
        <v>2018</v>
      </c>
      <c r="C450" s="337" t="str">
        <f>RIGHT(C39,4)</f>
        <v>2019</v>
      </c>
      <c r="D450" s="337">
        <v>2018</v>
      </c>
      <c r="E450" s="337" t="str">
        <f>RIGHT(C39,4)</f>
        <v>2019</v>
      </c>
      <c r="F450" s="337">
        <v>2018</v>
      </c>
      <c r="G450" s="337" t="str">
        <f>RIGHT(C39,4)</f>
        <v>2019</v>
      </c>
      <c r="H450" s="337"/>
      <c r="K450" s="337"/>
      <c r="L450" s="337"/>
    </row>
    <row r="451" spans="1:12" ht="12.65" customHeight="1" x14ac:dyDescent="0.35">
      <c r="A451" s="302"/>
      <c r="B451" s="285" t="s">
        <v>505</v>
      </c>
      <c r="C451" s="285" t="s">
        <v>505</v>
      </c>
      <c r="D451" s="338" t="s">
        <v>506</v>
      </c>
      <c r="E451" s="338" t="s">
        <v>506</v>
      </c>
      <c r="F451" s="337" t="s">
        <v>507</v>
      </c>
      <c r="G451" s="337" t="s">
        <v>507</v>
      </c>
      <c r="H451" s="337" t="s">
        <v>508</v>
      </c>
      <c r="K451" s="337"/>
      <c r="L451" s="337"/>
    </row>
    <row r="452" spans="1:12" ht="12.65" customHeight="1" x14ac:dyDescent="0.35">
      <c r="B452" s="285" t="s">
        <v>303</v>
      </c>
      <c r="C452" s="285" t="s">
        <v>303</v>
      </c>
      <c r="D452" s="285" t="s">
        <v>509</v>
      </c>
      <c r="E452" s="285" t="s">
        <v>509</v>
      </c>
      <c r="F452" s="337" t="s">
        <v>510</v>
      </c>
      <c r="G452" s="337" t="s">
        <v>510</v>
      </c>
      <c r="H452" s="337" t="s">
        <v>511</v>
      </c>
      <c r="K452" s="337"/>
      <c r="L452" s="337"/>
    </row>
    <row r="453" spans="1:12" ht="12.65" customHeight="1" x14ac:dyDescent="0.35">
      <c r="A453" s="284" t="s">
        <v>512</v>
      </c>
      <c r="B453" s="358">
        <v>0</v>
      </c>
      <c r="C453" s="319">
        <f>C28</f>
        <v>0</v>
      </c>
      <c r="D453" s="360">
        <v>0</v>
      </c>
      <c r="E453" s="284">
        <f>C16</f>
        <v>0</v>
      </c>
      <c r="F453" s="359" t="str">
        <f t="shared" ref="F453:G468" si="15">IF(B453=0,"",IF(D453=0,"",B453/D453))</f>
        <v/>
      </c>
      <c r="G453" s="340" t="str">
        <f t="shared" si="15"/>
        <v/>
      </c>
      <c r="H453" s="341" t="str">
        <f>IF(B453=0,"",IF(C453=0,"",IF(D453=0,"",IF(E453=0,"",IF(G453/F453-1&lt;-0.25,G453/F453-1,IF(G453/F453-1&gt;0.25,G453/F453-1,""))))))</f>
        <v/>
      </c>
      <c r="I453" s="343"/>
      <c r="K453" s="337"/>
      <c r="L453" s="337"/>
    </row>
    <row r="454" spans="1:12" ht="12.65" customHeight="1" x14ac:dyDescent="0.35">
      <c r="A454" s="284" t="s">
        <v>513</v>
      </c>
      <c r="B454" s="358">
        <v>0</v>
      </c>
      <c r="C454" s="319">
        <f>D28</f>
        <v>0</v>
      </c>
      <c r="D454" s="360">
        <v>0</v>
      </c>
      <c r="E454" s="284">
        <f>D16</f>
        <v>0</v>
      </c>
      <c r="F454" s="359" t="str">
        <f t="shared" si="15"/>
        <v/>
      </c>
      <c r="G454" s="339" t="str">
        <f t="shared" si="15"/>
        <v/>
      </c>
      <c r="H454" s="341" t="str">
        <f t="shared" ref="H454:H507" si="16">IF(B454=0,"",IF(C454=0,"",IF(D454=0,"",IF(E454=0,"",IF(G454/F454-1&lt;-0.25,G454/F454-1,IF(G454/F454-1&gt;0.25,G454/F454-1,""))))))</f>
        <v/>
      </c>
      <c r="I454" s="343"/>
      <c r="K454" s="337"/>
      <c r="L454" s="337"/>
    </row>
    <row r="455" spans="1:12" ht="12.65" customHeight="1" x14ac:dyDescent="0.35">
      <c r="A455" s="284" t="s">
        <v>514</v>
      </c>
      <c r="B455" s="358">
        <v>1853372</v>
      </c>
      <c r="C455" s="319">
        <f>E28</f>
        <v>1832919</v>
      </c>
      <c r="D455" s="360">
        <v>1914</v>
      </c>
      <c r="E455" s="284">
        <f>E16</f>
        <v>2194</v>
      </c>
      <c r="F455" s="359">
        <f t="shared" si="15"/>
        <v>968.32392894461861</v>
      </c>
      <c r="G455" s="339">
        <f t="shared" si="15"/>
        <v>835.42342752962622</v>
      </c>
      <c r="H455" s="341" t="str">
        <f t="shared" si="16"/>
        <v/>
      </c>
      <c r="I455" s="343"/>
      <c r="K455" s="337"/>
      <c r="L455" s="337"/>
    </row>
    <row r="456" spans="1:12" ht="12.65" customHeight="1" x14ac:dyDescent="0.35">
      <c r="A456" s="284" t="s">
        <v>515</v>
      </c>
      <c r="B456" s="358">
        <v>0</v>
      </c>
      <c r="C456" s="319">
        <f>F28</f>
        <v>0</v>
      </c>
      <c r="D456" s="360">
        <v>0</v>
      </c>
      <c r="E456" s="284">
        <f>F16</f>
        <v>0</v>
      </c>
      <c r="F456" s="359" t="str">
        <f t="shared" si="15"/>
        <v/>
      </c>
      <c r="G456" s="339" t="str">
        <f t="shared" si="15"/>
        <v/>
      </c>
      <c r="H456" s="341" t="str">
        <f t="shared" si="16"/>
        <v/>
      </c>
      <c r="I456" s="343"/>
      <c r="K456" s="337"/>
      <c r="L456" s="337"/>
    </row>
    <row r="457" spans="1:12" ht="12.65" customHeight="1" x14ac:dyDescent="0.35">
      <c r="A457" s="284" t="s">
        <v>516</v>
      </c>
      <c r="B457" s="358">
        <v>0</v>
      </c>
      <c r="C457" s="319">
        <f>G28</f>
        <v>0</v>
      </c>
      <c r="D457" s="360">
        <v>0</v>
      </c>
      <c r="E457" s="284">
        <f>G16</f>
        <v>0</v>
      </c>
      <c r="F457" s="359" t="str">
        <f t="shared" si="15"/>
        <v/>
      </c>
      <c r="G457" s="339" t="str">
        <f t="shared" si="15"/>
        <v/>
      </c>
      <c r="H457" s="341" t="str">
        <f t="shared" si="16"/>
        <v/>
      </c>
      <c r="I457" s="343"/>
      <c r="K457" s="337"/>
      <c r="L457" s="337"/>
    </row>
    <row r="458" spans="1:12" ht="12.65" customHeight="1" x14ac:dyDescent="0.35">
      <c r="A458" s="284" t="s">
        <v>517</v>
      </c>
      <c r="B458" s="358">
        <v>0</v>
      </c>
      <c r="C458" s="319">
        <f>H28</f>
        <v>0</v>
      </c>
      <c r="D458" s="360">
        <v>0</v>
      </c>
      <c r="E458" s="284">
        <f>H16</f>
        <v>0</v>
      </c>
      <c r="F458" s="359" t="str">
        <f t="shared" si="15"/>
        <v/>
      </c>
      <c r="G458" s="339" t="str">
        <f t="shared" si="15"/>
        <v/>
      </c>
      <c r="H458" s="341" t="str">
        <f t="shared" si="16"/>
        <v/>
      </c>
      <c r="I458" s="343"/>
      <c r="K458" s="337"/>
      <c r="L458" s="337"/>
    </row>
    <row r="459" spans="1:12" ht="12.65" customHeight="1" x14ac:dyDescent="0.35">
      <c r="A459" s="284" t="s">
        <v>518</v>
      </c>
      <c r="B459" s="358">
        <v>0</v>
      </c>
      <c r="C459" s="319">
        <f>I28</f>
        <v>0</v>
      </c>
      <c r="D459" s="360">
        <v>0</v>
      </c>
      <c r="E459" s="284">
        <f>I16</f>
        <v>0</v>
      </c>
      <c r="F459" s="359" t="str">
        <f t="shared" si="15"/>
        <v/>
      </c>
      <c r="G459" s="339" t="str">
        <f t="shared" si="15"/>
        <v/>
      </c>
      <c r="H459" s="341" t="str">
        <f t="shared" si="16"/>
        <v/>
      </c>
      <c r="I459" s="343"/>
      <c r="K459" s="337"/>
      <c r="L459" s="337"/>
    </row>
    <row r="460" spans="1:12" ht="12.65" customHeight="1" x14ac:dyDescent="0.35">
      <c r="A460" s="284" t="s">
        <v>519</v>
      </c>
      <c r="B460" s="358">
        <v>0</v>
      </c>
      <c r="C460" s="319">
        <f>J28</f>
        <v>654648</v>
      </c>
      <c r="D460" s="360">
        <v>388</v>
      </c>
      <c r="E460" s="284">
        <f>J16</f>
        <v>681</v>
      </c>
      <c r="F460" s="359" t="str">
        <f t="shared" si="15"/>
        <v/>
      </c>
      <c r="G460" s="339">
        <f t="shared" si="15"/>
        <v>961.3039647577092</v>
      </c>
      <c r="H460" s="341" t="str">
        <f t="shared" si="16"/>
        <v/>
      </c>
      <c r="I460" s="343"/>
      <c r="K460" s="337"/>
      <c r="L460" s="337"/>
    </row>
    <row r="461" spans="1:12" ht="12.65" customHeight="1" x14ac:dyDescent="0.35">
      <c r="A461" s="284" t="s">
        <v>520</v>
      </c>
      <c r="B461" s="358">
        <v>0</v>
      </c>
      <c r="C461" s="319">
        <f>K28</f>
        <v>0</v>
      </c>
      <c r="D461" s="360">
        <v>0</v>
      </c>
      <c r="E461" s="284">
        <f>K16</f>
        <v>0</v>
      </c>
      <c r="F461" s="359" t="str">
        <f t="shared" si="15"/>
        <v/>
      </c>
      <c r="G461" s="339" t="str">
        <f t="shared" si="15"/>
        <v/>
      </c>
      <c r="H461" s="341" t="str">
        <f t="shared" si="16"/>
        <v/>
      </c>
      <c r="I461" s="343"/>
      <c r="K461" s="337"/>
      <c r="L461" s="337"/>
    </row>
    <row r="462" spans="1:12" ht="12.65" customHeight="1" x14ac:dyDescent="0.35">
      <c r="A462" s="284" t="s">
        <v>521</v>
      </c>
      <c r="B462" s="358">
        <v>1984081</v>
      </c>
      <c r="C462" s="319">
        <f>L28</f>
        <v>1563711</v>
      </c>
      <c r="D462" s="360">
        <v>2049</v>
      </c>
      <c r="E462" s="284">
        <f>L16</f>
        <v>2004</v>
      </c>
      <c r="F462" s="359">
        <f t="shared" si="15"/>
        <v>968.31673987310887</v>
      </c>
      <c r="G462" s="339">
        <f t="shared" si="15"/>
        <v>780.29491017964074</v>
      </c>
      <c r="H462" s="341" t="str">
        <f t="shared" si="16"/>
        <v/>
      </c>
      <c r="I462" s="343"/>
      <c r="K462" s="337"/>
      <c r="L462" s="337"/>
    </row>
    <row r="463" spans="1:12" ht="12.65" customHeight="1" x14ac:dyDescent="0.35">
      <c r="A463" s="284" t="s">
        <v>522</v>
      </c>
      <c r="B463" s="358">
        <v>0</v>
      </c>
      <c r="C463" s="319">
        <f>M28</f>
        <v>0</v>
      </c>
      <c r="D463" s="360">
        <v>0</v>
      </c>
      <c r="E463" s="284">
        <f>M16</f>
        <v>0</v>
      </c>
      <c r="F463" s="359" t="str">
        <f t="shared" si="15"/>
        <v/>
      </c>
      <c r="G463" s="339" t="str">
        <f t="shared" si="15"/>
        <v/>
      </c>
      <c r="H463" s="341" t="str">
        <f t="shared" si="16"/>
        <v/>
      </c>
      <c r="I463" s="343"/>
      <c r="K463" s="337"/>
      <c r="L463" s="337"/>
    </row>
    <row r="464" spans="1:12" ht="12.65" customHeight="1" x14ac:dyDescent="0.35">
      <c r="A464" s="284" t="s">
        <v>523</v>
      </c>
      <c r="B464" s="358">
        <v>0</v>
      </c>
      <c r="C464" s="319">
        <f>N28</f>
        <v>0</v>
      </c>
      <c r="D464" s="360">
        <v>0</v>
      </c>
      <c r="E464" s="284">
        <f>N16</f>
        <v>0</v>
      </c>
      <c r="F464" s="359" t="str">
        <f t="shared" si="15"/>
        <v/>
      </c>
      <c r="G464" s="339" t="str">
        <f t="shared" si="15"/>
        <v/>
      </c>
      <c r="H464" s="341" t="str">
        <f t="shared" si="16"/>
        <v/>
      </c>
      <c r="I464" s="343"/>
      <c r="K464" s="337"/>
      <c r="L464" s="337"/>
    </row>
    <row r="465" spans="1:12" ht="12.65" customHeight="1" x14ac:dyDescent="0.35">
      <c r="A465" s="284" t="s">
        <v>524</v>
      </c>
      <c r="B465" s="358">
        <v>2237293</v>
      </c>
      <c r="C465" s="319">
        <f>O28</f>
        <v>2231297</v>
      </c>
      <c r="D465" s="360">
        <v>601</v>
      </c>
      <c r="E465" s="284">
        <f>O16</f>
        <v>681</v>
      </c>
      <c r="F465" s="359">
        <f t="shared" si="15"/>
        <v>3722.6173044925126</v>
      </c>
      <c r="G465" s="339">
        <f t="shared" si="15"/>
        <v>3276.5007342143904</v>
      </c>
      <c r="H465" s="341" t="str">
        <f t="shared" si="16"/>
        <v/>
      </c>
      <c r="I465" s="343"/>
      <c r="K465" s="337"/>
      <c r="L465" s="337"/>
    </row>
    <row r="466" spans="1:12" ht="12.65" customHeight="1" x14ac:dyDescent="0.35">
      <c r="A466" s="284" t="s">
        <v>525</v>
      </c>
      <c r="B466" s="358">
        <v>3856584</v>
      </c>
      <c r="C466" s="319">
        <f>P28</f>
        <v>3961103</v>
      </c>
      <c r="D466" s="360">
        <v>90320</v>
      </c>
      <c r="E466" s="284">
        <f>P16</f>
        <v>104378</v>
      </c>
      <c r="F466" s="359">
        <f t="shared" si="15"/>
        <v>42.699114260407441</v>
      </c>
      <c r="G466" s="339">
        <f t="shared" si="15"/>
        <v>37.94959665829964</v>
      </c>
      <c r="H466" s="341" t="str">
        <f t="shared" si="16"/>
        <v/>
      </c>
      <c r="I466" s="343"/>
      <c r="K466" s="337"/>
      <c r="L466" s="337"/>
    </row>
    <row r="467" spans="1:12" ht="12.65" customHeight="1" x14ac:dyDescent="0.35">
      <c r="A467" s="284" t="s">
        <v>526</v>
      </c>
      <c r="B467" s="358">
        <v>0</v>
      </c>
      <c r="C467" s="319">
        <f>Q28</f>
        <v>0</v>
      </c>
      <c r="D467" s="360">
        <v>0</v>
      </c>
      <c r="E467" s="284">
        <f>Q16</f>
        <v>0</v>
      </c>
      <c r="F467" s="359" t="str">
        <f t="shared" si="15"/>
        <v/>
      </c>
      <c r="G467" s="339" t="str">
        <f t="shared" si="15"/>
        <v/>
      </c>
      <c r="H467" s="341" t="str">
        <f t="shared" si="16"/>
        <v/>
      </c>
      <c r="I467" s="343"/>
      <c r="K467" s="337"/>
      <c r="L467" s="337"/>
    </row>
    <row r="468" spans="1:12" ht="12.65" customHeight="1" x14ac:dyDescent="0.35">
      <c r="A468" s="284" t="s">
        <v>527</v>
      </c>
      <c r="B468" s="358">
        <v>1086257</v>
      </c>
      <c r="C468" s="319">
        <f>R28</f>
        <v>981514</v>
      </c>
      <c r="D468" s="360">
        <v>0</v>
      </c>
      <c r="E468" s="284">
        <f>R16</f>
        <v>0</v>
      </c>
      <c r="F468" s="359" t="str">
        <f t="shared" si="15"/>
        <v/>
      </c>
      <c r="G468" s="339" t="str">
        <f t="shared" si="15"/>
        <v/>
      </c>
      <c r="H468" s="341" t="str">
        <f t="shared" si="16"/>
        <v/>
      </c>
      <c r="I468" s="343"/>
      <c r="K468" s="337"/>
      <c r="L468" s="337"/>
    </row>
    <row r="469" spans="1:12" ht="12.65" customHeight="1" x14ac:dyDescent="0.35">
      <c r="A469" s="284" t="s">
        <v>528</v>
      </c>
      <c r="B469" s="358">
        <v>-11270</v>
      </c>
      <c r="C469" s="319">
        <f>S28</f>
        <v>34153</v>
      </c>
      <c r="D469" s="361" t="s">
        <v>529</v>
      </c>
      <c r="E469" s="285" t="s">
        <v>529</v>
      </c>
      <c r="F469" s="359" t="str">
        <f t="shared" ref="F469:G484" si="17">IF(B469=0,"",IF(D469=0,"",B469/D469))</f>
        <v/>
      </c>
      <c r="G469" s="339" t="str">
        <f t="shared" si="17"/>
        <v/>
      </c>
      <c r="H469" s="341" t="str">
        <f t="shared" si="16"/>
        <v/>
      </c>
      <c r="I469" s="343"/>
      <c r="K469" s="337"/>
      <c r="L469" s="337"/>
    </row>
    <row r="470" spans="1:12" ht="12.65" customHeight="1" x14ac:dyDescent="0.35">
      <c r="A470" s="284" t="s">
        <v>983</v>
      </c>
      <c r="B470" s="358">
        <v>0</v>
      </c>
      <c r="C470" s="319">
        <f>T28</f>
        <v>0</v>
      </c>
      <c r="D470" s="361" t="s">
        <v>529</v>
      </c>
      <c r="E470" s="285" t="s">
        <v>529</v>
      </c>
      <c r="F470" s="359" t="str">
        <f t="shared" si="17"/>
        <v/>
      </c>
      <c r="G470" s="339" t="str">
        <f t="shared" si="17"/>
        <v/>
      </c>
      <c r="H470" s="341" t="str">
        <f t="shared" si="16"/>
        <v/>
      </c>
      <c r="I470" s="343"/>
      <c r="K470" s="337"/>
      <c r="L470" s="337"/>
    </row>
    <row r="471" spans="1:12" ht="12.65" customHeight="1" x14ac:dyDescent="0.35">
      <c r="A471" s="284" t="s">
        <v>530</v>
      </c>
      <c r="B471" s="358">
        <v>2619033</v>
      </c>
      <c r="C471" s="319">
        <f>U28</f>
        <v>3021761</v>
      </c>
      <c r="D471" s="360">
        <v>116050</v>
      </c>
      <c r="E471" s="284">
        <f>U16</f>
        <v>132610</v>
      </c>
      <c r="F471" s="359">
        <f t="shared" si="17"/>
        <v>22.568143041792332</v>
      </c>
      <c r="G471" s="339">
        <f t="shared" si="17"/>
        <v>22.786826031219366</v>
      </c>
      <c r="H471" s="341" t="str">
        <f t="shared" si="16"/>
        <v/>
      </c>
      <c r="I471" s="343"/>
      <c r="K471" s="337"/>
      <c r="L471" s="337"/>
    </row>
    <row r="472" spans="1:12" ht="12.65" customHeight="1" x14ac:dyDescent="0.35">
      <c r="A472" s="284" t="s">
        <v>531</v>
      </c>
      <c r="B472" s="358">
        <v>0</v>
      </c>
      <c r="C472" s="319">
        <f>V28</f>
        <v>0</v>
      </c>
      <c r="D472" s="360">
        <v>0</v>
      </c>
      <c r="E472" s="284">
        <f>V16</f>
        <v>0</v>
      </c>
      <c r="F472" s="359" t="str">
        <f t="shared" si="17"/>
        <v/>
      </c>
      <c r="G472" s="339" t="str">
        <f t="shared" si="17"/>
        <v/>
      </c>
      <c r="H472" s="341" t="str">
        <f t="shared" si="16"/>
        <v/>
      </c>
      <c r="I472" s="343"/>
      <c r="K472" s="337"/>
      <c r="L472" s="337"/>
    </row>
    <row r="473" spans="1:12" ht="12.65" customHeight="1" x14ac:dyDescent="0.35">
      <c r="A473" s="284" t="s">
        <v>532</v>
      </c>
      <c r="B473" s="358">
        <v>0</v>
      </c>
      <c r="C473" s="319">
        <f>W28</f>
        <v>0</v>
      </c>
      <c r="D473" s="360">
        <v>0</v>
      </c>
      <c r="E473" s="284">
        <f>W16</f>
        <v>0</v>
      </c>
      <c r="F473" s="359" t="str">
        <f t="shared" si="17"/>
        <v/>
      </c>
      <c r="G473" s="339" t="str">
        <f t="shared" si="17"/>
        <v/>
      </c>
      <c r="H473" s="341" t="str">
        <f t="shared" si="16"/>
        <v/>
      </c>
      <c r="I473" s="343"/>
      <c r="K473" s="337"/>
      <c r="L473" s="337"/>
    </row>
    <row r="474" spans="1:12" ht="12.65" customHeight="1" x14ac:dyDescent="0.35">
      <c r="A474" s="284" t="s">
        <v>533</v>
      </c>
      <c r="B474" s="358">
        <v>2083263</v>
      </c>
      <c r="C474" s="319">
        <f>X28</f>
        <v>2530867</v>
      </c>
      <c r="D474" s="360">
        <v>25870</v>
      </c>
      <c r="E474" s="284">
        <f>X16</f>
        <v>0</v>
      </c>
      <c r="F474" s="359">
        <f t="shared" si="17"/>
        <v>80.528140703517593</v>
      </c>
      <c r="G474" s="339" t="str">
        <f t="shared" si="17"/>
        <v/>
      </c>
      <c r="H474" s="341" t="str">
        <f t="shared" si="16"/>
        <v/>
      </c>
      <c r="I474" s="343"/>
      <c r="K474" s="337"/>
      <c r="L474" s="337"/>
    </row>
    <row r="475" spans="1:12" ht="12.65" customHeight="1" x14ac:dyDescent="0.35">
      <c r="A475" s="284" t="s">
        <v>534</v>
      </c>
      <c r="B475" s="358">
        <v>1581529</v>
      </c>
      <c r="C475" s="319">
        <f>Y28</f>
        <v>1571334</v>
      </c>
      <c r="D475" s="360">
        <v>19786</v>
      </c>
      <c r="E475" s="284">
        <f>Y16</f>
        <v>0</v>
      </c>
      <c r="F475" s="359">
        <f t="shared" si="17"/>
        <v>79.93171939755382</v>
      </c>
      <c r="G475" s="339" t="str">
        <f t="shared" si="17"/>
        <v/>
      </c>
      <c r="H475" s="341" t="str">
        <f t="shared" si="16"/>
        <v/>
      </c>
      <c r="I475" s="343"/>
      <c r="K475" s="337"/>
      <c r="L475" s="337"/>
    </row>
    <row r="476" spans="1:12" ht="12.65" customHeight="1" x14ac:dyDescent="0.35">
      <c r="A476" s="284" t="s">
        <v>535</v>
      </c>
      <c r="B476" s="358">
        <v>0</v>
      </c>
      <c r="C476" s="319">
        <f>Z28</f>
        <v>0</v>
      </c>
      <c r="D476" s="360">
        <v>0</v>
      </c>
      <c r="E476" s="284">
        <f>Z16</f>
        <v>0</v>
      </c>
      <c r="F476" s="359" t="str">
        <f t="shared" si="17"/>
        <v/>
      </c>
      <c r="G476" s="339" t="str">
        <f t="shared" si="17"/>
        <v/>
      </c>
      <c r="H476" s="341" t="str">
        <f t="shared" si="16"/>
        <v/>
      </c>
      <c r="I476" s="343"/>
      <c r="K476" s="337"/>
      <c r="L476" s="337"/>
    </row>
    <row r="477" spans="1:12" ht="12.65" customHeight="1" x14ac:dyDescent="0.35">
      <c r="A477" s="284" t="s">
        <v>536</v>
      </c>
      <c r="B477" s="358">
        <v>0</v>
      </c>
      <c r="C477" s="319">
        <f>AA28</f>
        <v>0</v>
      </c>
      <c r="D477" s="360">
        <v>0</v>
      </c>
      <c r="E477" s="284">
        <f>AA16</f>
        <v>0</v>
      </c>
      <c r="F477" s="359" t="str">
        <f t="shared" si="17"/>
        <v/>
      </c>
      <c r="G477" s="339" t="str">
        <f t="shared" si="17"/>
        <v/>
      </c>
      <c r="H477" s="341" t="str">
        <f t="shared" si="16"/>
        <v/>
      </c>
      <c r="I477" s="343"/>
      <c r="K477" s="337"/>
      <c r="L477" s="337"/>
    </row>
    <row r="478" spans="1:12" ht="12.65" customHeight="1" x14ac:dyDescent="0.35">
      <c r="A478" s="284" t="s">
        <v>537</v>
      </c>
      <c r="B478" s="358">
        <v>1343147</v>
      </c>
      <c r="C478" s="319">
        <f>AB28</f>
        <v>1447298</v>
      </c>
      <c r="D478" s="361" t="s">
        <v>529</v>
      </c>
      <c r="E478" s="285" t="s">
        <v>529</v>
      </c>
      <c r="F478" s="359" t="str">
        <f t="shared" si="17"/>
        <v/>
      </c>
      <c r="G478" s="339" t="str">
        <f t="shared" si="17"/>
        <v/>
      </c>
      <c r="H478" s="341" t="str">
        <f t="shared" si="16"/>
        <v/>
      </c>
      <c r="I478" s="343"/>
      <c r="K478" s="337"/>
      <c r="L478" s="337"/>
    </row>
    <row r="479" spans="1:12" ht="12.65" customHeight="1" x14ac:dyDescent="0.35">
      <c r="A479" s="284" t="s">
        <v>538</v>
      </c>
      <c r="B479" s="358">
        <v>780336</v>
      </c>
      <c r="C479" s="319">
        <f>AC28</f>
        <v>848140</v>
      </c>
      <c r="D479" s="360">
        <v>7866</v>
      </c>
      <c r="E479" s="284">
        <f>AC16</f>
        <v>0</v>
      </c>
      <c r="F479" s="359">
        <f t="shared" si="17"/>
        <v>99.203661327231117</v>
      </c>
      <c r="G479" s="339" t="str">
        <f t="shared" si="17"/>
        <v/>
      </c>
      <c r="H479" s="341" t="str">
        <f t="shared" si="16"/>
        <v/>
      </c>
      <c r="I479" s="343"/>
      <c r="K479" s="337"/>
      <c r="L479" s="337"/>
    </row>
    <row r="480" spans="1:12" ht="12.65" customHeight="1" x14ac:dyDescent="0.35">
      <c r="A480" s="284" t="s">
        <v>539</v>
      </c>
      <c r="B480" s="358">
        <v>0</v>
      </c>
      <c r="C480" s="319">
        <f>AD28</f>
        <v>0</v>
      </c>
      <c r="D480" s="360">
        <v>0</v>
      </c>
      <c r="E480" s="284">
        <f>AD16</f>
        <v>0</v>
      </c>
      <c r="F480" s="359" t="str">
        <f t="shared" si="17"/>
        <v/>
      </c>
      <c r="G480" s="339" t="str">
        <f t="shared" si="17"/>
        <v/>
      </c>
      <c r="H480" s="341" t="str">
        <f t="shared" si="16"/>
        <v/>
      </c>
      <c r="I480" s="343"/>
      <c r="K480" s="337"/>
      <c r="L480" s="337"/>
    </row>
    <row r="481" spans="1:12" ht="12.65" customHeight="1" x14ac:dyDescent="0.35">
      <c r="A481" s="284" t="s">
        <v>540</v>
      </c>
      <c r="B481" s="358">
        <v>1706163</v>
      </c>
      <c r="C481" s="319">
        <f>AE28</f>
        <v>1849142</v>
      </c>
      <c r="D481" s="360">
        <v>13013</v>
      </c>
      <c r="E481" s="284">
        <f>AE16</f>
        <v>13743</v>
      </c>
      <c r="F481" s="359">
        <f t="shared" si="17"/>
        <v>131.11219549681087</v>
      </c>
      <c r="G481" s="339">
        <f t="shared" si="17"/>
        <v>134.55155351815469</v>
      </c>
      <c r="H481" s="341" t="str">
        <f t="shared" si="16"/>
        <v/>
      </c>
      <c r="I481" s="343"/>
      <c r="K481" s="337"/>
      <c r="L481" s="337"/>
    </row>
    <row r="482" spans="1:12" ht="12.65" customHeight="1" x14ac:dyDescent="0.35">
      <c r="A482" s="284" t="s">
        <v>541</v>
      </c>
      <c r="B482" s="358">
        <v>0</v>
      </c>
      <c r="C482" s="319">
        <f>AF28</f>
        <v>0</v>
      </c>
      <c r="D482" s="360">
        <v>0</v>
      </c>
      <c r="E482" s="284">
        <f>AF16</f>
        <v>0</v>
      </c>
      <c r="F482" s="359" t="str">
        <f t="shared" si="17"/>
        <v/>
      </c>
      <c r="G482" s="339" t="str">
        <f t="shared" si="17"/>
        <v/>
      </c>
      <c r="H482" s="341" t="str">
        <f t="shared" si="16"/>
        <v/>
      </c>
      <c r="I482" s="343"/>
      <c r="K482" s="337"/>
      <c r="L482" s="337"/>
    </row>
    <row r="483" spans="1:12" ht="12.65" customHeight="1" x14ac:dyDescent="0.35">
      <c r="A483" s="284" t="s">
        <v>542</v>
      </c>
      <c r="B483" s="358">
        <v>4466841</v>
      </c>
      <c r="C483" s="319">
        <f>AG28</f>
        <v>4572986</v>
      </c>
      <c r="D483" s="360">
        <v>11162</v>
      </c>
      <c r="E483" s="284">
        <f>AG16</f>
        <v>12190</v>
      </c>
      <c r="F483" s="359">
        <f t="shared" si="17"/>
        <v>400.18285253538795</v>
      </c>
      <c r="G483" s="339">
        <f t="shared" si="17"/>
        <v>375.14241181296143</v>
      </c>
      <c r="H483" s="341" t="str">
        <f t="shared" si="16"/>
        <v/>
      </c>
      <c r="I483" s="343"/>
      <c r="K483" s="337"/>
      <c r="L483" s="337"/>
    </row>
    <row r="484" spans="1:12" ht="12.65" customHeight="1" x14ac:dyDescent="0.35">
      <c r="A484" s="284" t="s">
        <v>543</v>
      </c>
      <c r="B484" s="358">
        <v>1436241</v>
      </c>
      <c r="C484" s="319">
        <f>AH28</f>
        <v>1482987</v>
      </c>
      <c r="D484" s="360">
        <v>2254</v>
      </c>
      <c r="E484" s="284">
        <f>AH16</f>
        <v>2281</v>
      </c>
      <c r="F484" s="359">
        <f t="shared" si="17"/>
        <v>637.19653948535938</v>
      </c>
      <c r="G484" s="339">
        <f t="shared" si="17"/>
        <v>650.14774221832533</v>
      </c>
      <c r="H484" s="341" t="str">
        <f t="shared" si="16"/>
        <v/>
      </c>
      <c r="I484" s="343"/>
      <c r="K484" s="337"/>
      <c r="L484" s="337"/>
    </row>
    <row r="485" spans="1:12" ht="12.65" customHeight="1" x14ac:dyDescent="0.35">
      <c r="A485" s="284" t="s">
        <v>544</v>
      </c>
      <c r="B485" s="358">
        <v>326036</v>
      </c>
      <c r="C485" s="319">
        <f>AI28</f>
        <v>269616</v>
      </c>
      <c r="D485" s="360">
        <v>1284</v>
      </c>
      <c r="E485" s="284">
        <f>AI16</f>
        <v>2688</v>
      </c>
      <c r="F485" s="359">
        <f t="shared" ref="F485:G497" si="18">IF(B485=0,"",IF(D485=0,"",B485/D485))</f>
        <v>253.9221183800623</v>
      </c>
      <c r="G485" s="339">
        <f t="shared" si="18"/>
        <v>100.30357142857143</v>
      </c>
      <c r="H485" s="341">
        <f t="shared" si="16"/>
        <v>-0.60498292914191776</v>
      </c>
      <c r="I485" s="343"/>
      <c r="K485" s="337"/>
      <c r="L485" s="337"/>
    </row>
    <row r="486" spans="1:12" ht="12.65" customHeight="1" x14ac:dyDescent="0.35">
      <c r="A486" s="284" t="s">
        <v>545</v>
      </c>
      <c r="B486" s="358">
        <v>9710620</v>
      </c>
      <c r="C486" s="319">
        <f>AJ28</f>
        <v>11608020</v>
      </c>
      <c r="D486" s="360">
        <v>40387</v>
      </c>
      <c r="E486" s="284">
        <f>AJ16</f>
        <v>45941</v>
      </c>
      <c r="F486" s="359">
        <f t="shared" si="18"/>
        <v>240.43925025379454</v>
      </c>
      <c r="G486" s="339">
        <f t="shared" si="18"/>
        <v>252.67234061078341</v>
      </c>
      <c r="H486" s="341" t="str">
        <f t="shared" si="16"/>
        <v/>
      </c>
      <c r="I486" s="343"/>
      <c r="K486" s="337"/>
      <c r="L486" s="337"/>
    </row>
    <row r="487" spans="1:12" ht="14.15" x14ac:dyDescent="0.35">
      <c r="A487" s="284" t="s">
        <v>546</v>
      </c>
      <c r="B487" s="358">
        <v>311396</v>
      </c>
      <c r="C487" s="319">
        <f>AK28</f>
        <v>376824</v>
      </c>
      <c r="D487" s="360">
        <v>2674</v>
      </c>
      <c r="E487" s="284">
        <f>AK16</f>
        <v>2488</v>
      </c>
      <c r="F487" s="359">
        <f t="shared" si="18"/>
        <v>116.45325355272999</v>
      </c>
      <c r="G487" s="339">
        <f t="shared" si="18"/>
        <v>151.45659163987139</v>
      </c>
      <c r="H487" s="341">
        <f t="shared" si="16"/>
        <v>0.3005784468811934</v>
      </c>
      <c r="I487" s="343"/>
      <c r="K487" s="337"/>
      <c r="L487" s="337"/>
    </row>
    <row r="488" spans="1:12" ht="12.65" customHeight="1" x14ac:dyDescent="0.35">
      <c r="A488" s="284" t="s">
        <v>547</v>
      </c>
      <c r="B488" s="358">
        <v>287803</v>
      </c>
      <c r="C488" s="319">
        <f>AL28</f>
        <v>307982</v>
      </c>
      <c r="D488" s="360">
        <v>2902</v>
      </c>
      <c r="E488" s="284">
        <f>AL16</f>
        <v>3058</v>
      </c>
      <c r="F488" s="359">
        <f t="shared" si="18"/>
        <v>99.174017918676768</v>
      </c>
      <c r="G488" s="339">
        <f t="shared" si="18"/>
        <v>100.71353826030085</v>
      </c>
      <c r="H488" s="341" t="str">
        <f t="shared" si="16"/>
        <v/>
      </c>
      <c r="I488" s="343"/>
      <c r="K488" s="337"/>
      <c r="L488" s="337"/>
    </row>
    <row r="489" spans="1:12" ht="12.65" customHeight="1" x14ac:dyDescent="0.35">
      <c r="A489" s="284" t="s">
        <v>548</v>
      </c>
      <c r="B489" s="358">
        <v>0</v>
      </c>
      <c r="C489" s="319">
        <f>AM28</f>
        <v>0</v>
      </c>
      <c r="D489" s="360">
        <v>0</v>
      </c>
      <c r="E489" s="284">
        <f>AM16</f>
        <v>0</v>
      </c>
      <c r="F489" s="359" t="str">
        <f t="shared" si="18"/>
        <v/>
      </c>
      <c r="G489" s="339" t="str">
        <f t="shared" si="18"/>
        <v/>
      </c>
      <c r="H489" s="341" t="str">
        <f t="shared" si="16"/>
        <v/>
      </c>
      <c r="I489" s="343"/>
      <c r="K489" s="337"/>
      <c r="L489" s="337"/>
    </row>
    <row r="490" spans="1:12" ht="12.65" customHeight="1" x14ac:dyDescent="0.35">
      <c r="A490" s="284" t="s">
        <v>984</v>
      </c>
      <c r="B490" s="358">
        <v>0</v>
      </c>
      <c r="C490" s="319">
        <f>AN28</f>
        <v>0</v>
      </c>
      <c r="D490" s="360">
        <v>0</v>
      </c>
      <c r="E490" s="284">
        <f>AN16</f>
        <v>0</v>
      </c>
      <c r="F490" s="359" t="str">
        <f t="shared" si="18"/>
        <v/>
      </c>
      <c r="G490" s="339" t="str">
        <f t="shared" si="18"/>
        <v/>
      </c>
      <c r="H490" s="341" t="str">
        <f t="shared" si="16"/>
        <v/>
      </c>
      <c r="I490" s="343"/>
      <c r="K490" s="337"/>
      <c r="L490" s="337"/>
    </row>
    <row r="491" spans="1:12" ht="12.65" customHeight="1" x14ac:dyDescent="0.35">
      <c r="A491" s="284" t="s">
        <v>549</v>
      </c>
      <c r="B491" s="358">
        <v>538390</v>
      </c>
      <c r="C491" s="319">
        <f>AO28</f>
        <v>326952</v>
      </c>
      <c r="D491" s="360">
        <v>13344</v>
      </c>
      <c r="E491" s="284">
        <f>AO16</f>
        <v>13848</v>
      </c>
      <c r="F491" s="359">
        <f t="shared" si="18"/>
        <v>40.34697242206235</v>
      </c>
      <c r="G491" s="339">
        <f t="shared" si="18"/>
        <v>23.610051993067589</v>
      </c>
      <c r="H491" s="341">
        <f t="shared" si="16"/>
        <v>-0.41482469251751719</v>
      </c>
      <c r="I491" s="343"/>
      <c r="K491" s="337"/>
      <c r="L491" s="337"/>
    </row>
    <row r="492" spans="1:12" ht="12.65" customHeight="1" x14ac:dyDescent="0.35">
      <c r="A492" s="284" t="s">
        <v>550</v>
      </c>
      <c r="B492" s="358">
        <v>0</v>
      </c>
      <c r="C492" s="319">
        <f>AP28</f>
        <v>2038280</v>
      </c>
      <c r="D492" s="360">
        <v>0</v>
      </c>
      <c r="E492" s="284">
        <f>AP16</f>
        <v>13394</v>
      </c>
      <c r="F492" s="359" t="str">
        <f t="shared" si="18"/>
        <v/>
      </c>
      <c r="G492" s="339">
        <f t="shared" si="18"/>
        <v>152.17858742720622</v>
      </c>
      <c r="H492" s="341" t="str">
        <f t="shared" si="16"/>
        <v/>
      </c>
      <c r="I492" s="343"/>
      <c r="K492" s="337"/>
      <c r="L492" s="337"/>
    </row>
    <row r="493" spans="1:12" ht="12.65" customHeight="1" x14ac:dyDescent="0.35">
      <c r="A493" s="284" t="s">
        <v>551</v>
      </c>
      <c r="B493" s="358">
        <v>0</v>
      </c>
      <c r="C493" s="319">
        <f>AQ28</f>
        <v>0</v>
      </c>
      <c r="D493" s="360">
        <v>0</v>
      </c>
      <c r="E493" s="284">
        <f>AQ16</f>
        <v>0</v>
      </c>
      <c r="F493" s="359" t="str">
        <f t="shared" si="18"/>
        <v/>
      </c>
      <c r="G493" s="339" t="str">
        <f t="shared" si="18"/>
        <v/>
      </c>
      <c r="H493" s="341" t="str">
        <f t="shared" si="16"/>
        <v/>
      </c>
      <c r="I493" s="343"/>
      <c r="K493" s="337"/>
      <c r="L493" s="337"/>
    </row>
    <row r="494" spans="1:12" ht="12.65" customHeight="1" x14ac:dyDescent="0.35">
      <c r="A494" s="284" t="s">
        <v>552</v>
      </c>
      <c r="B494" s="358">
        <v>0</v>
      </c>
      <c r="C494" s="319">
        <f>AR28</f>
        <v>0</v>
      </c>
      <c r="D494" s="360">
        <v>0</v>
      </c>
      <c r="E494" s="284">
        <f>AR16</f>
        <v>0</v>
      </c>
      <c r="F494" s="359" t="str">
        <f t="shared" si="18"/>
        <v/>
      </c>
      <c r="G494" s="339" t="str">
        <f t="shared" si="18"/>
        <v/>
      </c>
      <c r="H494" s="341" t="str">
        <f t="shared" si="16"/>
        <v/>
      </c>
      <c r="I494" s="343"/>
      <c r="K494" s="337"/>
      <c r="L494" s="337"/>
    </row>
    <row r="495" spans="1:12" ht="12.65" customHeight="1" x14ac:dyDescent="0.35">
      <c r="A495" s="284" t="s">
        <v>553</v>
      </c>
      <c r="B495" s="358">
        <v>0</v>
      </c>
      <c r="C495" s="319">
        <f>AS28</f>
        <v>0</v>
      </c>
      <c r="D495" s="360">
        <v>0</v>
      </c>
      <c r="E495" s="284">
        <f>AS16</f>
        <v>0</v>
      </c>
      <c r="F495" s="359" t="str">
        <f t="shared" si="18"/>
        <v/>
      </c>
      <c r="G495" s="339" t="str">
        <f t="shared" si="18"/>
        <v/>
      </c>
      <c r="H495" s="341" t="str">
        <f t="shared" si="16"/>
        <v/>
      </c>
      <c r="I495" s="343"/>
      <c r="K495" s="337"/>
      <c r="L495" s="337"/>
    </row>
    <row r="496" spans="1:12" ht="12.65" customHeight="1" x14ac:dyDescent="0.35">
      <c r="A496" s="284" t="s">
        <v>554</v>
      </c>
      <c r="B496" s="358">
        <v>0</v>
      </c>
      <c r="C496" s="319">
        <f>AT28</f>
        <v>0</v>
      </c>
      <c r="D496" s="360">
        <v>0</v>
      </c>
      <c r="E496" s="284">
        <f>AT16</f>
        <v>0</v>
      </c>
      <c r="F496" s="359" t="str">
        <f t="shared" si="18"/>
        <v/>
      </c>
      <c r="G496" s="339" t="str">
        <f t="shared" si="18"/>
        <v/>
      </c>
      <c r="H496" s="341" t="str">
        <f t="shared" si="16"/>
        <v/>
      </c>
      <c r="I496" s="343"/>
      <c r="K496" s="337"/>
      <c r="L496" s="337"/>
    </row>
    <row r="497" spans="1:13" ht="12.65" customHeight="1" x14ac:dyDescent="0.35">
      <c r="A497" s="284" t="s">
        <v>555</v>
      </c>
      <c r="B497" s="358">
        <v>0</v>
      </c>
      <c r="C497" s="319">
        <f>AU28</f>
        <v>0</v>
      </c>
      <c r="D497" s="360">
        <v>0</v>
      </c>
      <c r="E497" s="284">
        <f>AU16</f>
        <v>0</v>
      </c>
      <c r="F497" s="359" t="str">
        <f t="shared" si="18"/>
        <v/>
      </c>
      <c r="G497" s="339" t="str">
        <f t="shared" si="18"/>
        <v/>
      </c>
      <c r="H497" s="341" t="str">
        <f t="shared" si="16"/>
        <v/>
      </c>
      <c r="I497" s="343"/>
      <c r="K497" s="337"/>
      <c r="L497" s="337"/>
    </row>
    <row r="498" spans="1:13" ht="12.65" customHeight="1" x14ac:dyDescent="0.35">
      <c r="A498" s="284" t="s">
        <v>556</v>
      </c>
      <c r="B498" s="358">
        <v>0</v>
      </c>
      <c r="C498" s="319">
        <f>AV28</f>
        <v>0</v>
      </c>
      <c r="D498" s="361" t="s">
        <v>529</v>
      </c>
      <c r="E498" s="285" t="s">
        <v>529</v>
      </c>
      <c r="F498" s="359"/>
      <c r="G498" s="339"/>
      <c r="H498" s="341"/>
      <c r="I498" s="343"/>
      <c r="K498" s="337"/>
      <c r="L498" s="337"/>
    </row>
    <row r="499" spans="1:13" ht="12.65" customHeight="1" x14ac:dyDescent="0.35">
      <c r="A499" s="284" t="s">
        <v>985</v>
      </c>
      <c r="B499" s="358">
        <v>0</v>
      </c>
      <c r="C499" s="319">
        <f>AW28</f>
        <v>0</v>
      </c>
      <c r="D499" s="361" t="s">
        <v>529</v>
      </c>
      <c r="E499" s="285" t="s">
        <v>529</v>
      </c>
      <c r="F499" s="359"/>
      <c r="G499" s="339"/>
      <c r="H499" s="341"/>
      <c r="I499" s="343"/>
      <c r="K499" s="337"/>
      <c r="L499" s="337"/>
    </row>
    <row r="500" spans="1:13" ht="12.65" customHeight="1" x14ac:dyDescent="0.35">
      <c r="A500" s="284" t="s">
        <v>557</v>
      </c>
      <c r="B500" s="358">
        <v>0</v>
      </c>
      <c r="C500" s="319">
        <f>AX28</f>
        <v>0</v>
      </c>
      <c r="D500" s="361" t="s">
        <v>529</v>
      </c>
      <c r="E500" s="285" t="s">
        <v>529</v>
      </c>
      <c r="F500" s="359"/>
      <c r="G500" s="339"/>
      <c r="H500" s="341"/>
      <c r="I500" s="343"/>
      <c r="K500" s="337"/>
      <c r="L500" s="337"/>
    </row>
    <row r="501" spans="1:13" ht="12.65" customHeight="1" x14ac:dyDescent="0.35">
      <c r="A501" s="284" t="s">
        <v>558</v>
      </c>
      <c r="B501" s="358">
        <v>944812</v>
      </c>
      <c r="C501" s="319">
        <f>AY28</f>
        <v>887480</v>
      </c>
      <c r="D501" s="360">
        <v>18759</v>
      </c>
      <c r="E501" s="284">
        <f>AY16</f>
        <v>16892</v>
      </c>
      <c r="F501" s="359">
        <f t="shared" ref="F501:G507" si="19">IF(B501=0,"",IF(D501=0,"",B501/D501))</f>
        <v>50.365797750413137</v>
      </c>
      <c r="G501" s="339">
        <f t="shared" si="19"/>
        <v>52.538479753729575</v>
      </c>
      <c r="H501" s="341" t="str">
        <f t="shared" si="16"/>
        <v/>
      </c>
      <c r="I501" s="343"/>
      <c r="K501" s="337"/>
      <c r="L501" s="337"/>
    </row>
    <row r="502" spans="1:13" ht="12.65" customHeight="1" x14ac:dyDescent="0.35">
      <c r="A502" s="284" t="s">
        <v>559</v>
      </c>
      <c r="B502" s="358">
        <v>0</v>
      </c>
      <c r="C502" s="319">
        <f>AZ28</f>
        <v>0</v>
      </c>
      <c r="D502" s="360">
        <v>0</v>
      </c>
      <c r="E502" s="284">
        <f>AZ16</f>
        <v>0</v>
      </c>
      <c r="F502" s="359" t="str">
        <f t="shared" si="19"/>
        <v/>
      </c>
      <c r="G502" s="339" t="str">
        <f t="shared" si="19"/>
        <v/>
      </c>
      <c r="H502" s="341" t="str">
        <f t="shared" si="16"/>
        <v/>
      </c>
      <c r="I502" s="343"/>
      <c r="K502" s="337"/>
      <c r="L502" s="337"/>
    </row>
    <row r="503" spans="1:13" ht="12.65" customHeight="1" x14ac:dyDescent="0.35">
      <c r="A503" s="284" t="s">
        <v>560</v>
      </c>
      <c r="B503" s="358">
        <v>186424</v>
      </c>
      <c r="C503" s="319">
        <f>BA28</f>
        <v>193202</v>
      </c>
      <c r="D503" s="360">
        <v>0</v>
      </c>
      <c r="E503" s="284">
        <f>BA16</f>
        <v>190373</v>
      </c>
      <c r="F503" s="359" t="str">
        <f t="shared" si="19"/>
        <v/>
      </c>
      <c r="G503" s="339">
        <f t="shared" si="19"/>
        <v>1.0148603005678327</v>
      </c>
      <c r="H503" s="341" t="str">
        <f t="shared" si="16"/>
        <v/>
      </c>
      <c r="I503" s="343"/>
      <c r="K503" s="337"/>
      <c r="L503" s="337"/>
    </row>
    <row r="504" spans="1:13" ht="12.65" customHeight="1" x14ac:dyDescent="0.35">
      <c r="A504" s="284" t="s">
        <v>561</v>
      </c>
      <c r="B504" s="358">
        <v>385115</v>
      </c>
      <c r="C504" s="319">
        <f>BB28</f>
        <v>253769</v>
      </c>
      <c r="D504" s="361" t="s">
        <v>529</v>
      </c>
      <c r="E504" s="285" t="s">
        <v>529</v>
      </c>
      <c r="F504" s="359"/>
      <c r="G504" s="339"/>
      <c r="H504" s="341"/>
      <c r="I504" s="343"/>
      <c r="K504" s="337"/>
      <c r="L504" s="337"/>
    </row>
    <row r="505" spans="1:13" ht="12.65" customHeight="1" x14ac:dyDescent="0.35">
      <c r="A505" s="284" t="s">
        <v>562</v>
      </c>
      <c r="B505" s="358">
        <v>0</v>
      </c>
      <c r="C505" s="319">
        <f>BC28</f>
        <v>0</v>
      </c>
      <c r="D505" s="361" t="s">
        <v>529</v>
      </c>
      <c r="E505" s="285" t="s">
        <v>529</v>
      </c>
      <c r="F505" s="359"/>
      <c r="G505" s="339"/>
      <c r="H505" s="341"/>
      <c r="I505" s="343"/>
      <c r="K505" s="337"/>
      <c r="L505" s="337"/>
    </row>
    <row r="506" spans="1:13" ht="12.65" customHeight="1" x14ac:dyDescent="0.35">
      <c r="A506" s="284" t="s">
        <v>563</v>
      </c>
      <c r="B506" s="358">
        <v>350348</v>
      </c>
      <c r="C506" s="319">
        <f>BD28</f>
        <v>290108</v>
      </c>
      <c r="D506" s="361" t="s">
        <v>529</v>
      </c>
      <c r="E506" s="285" t="s">
        <v>529</v>
      </c>
      <c r="F506" s="359"/>
      <c r="G506" s="339"/>
      <c r="H506" s="341"/>
      <c r="I506" s="343"/>
      <c r="K506" s="337"/>
      <c r="L506" s="337"/>
    </row>
    <row r="507" spans="1:13" ht="12.65" customHeight="1" x14ac:dyDescent="0.35">
      <c r="A507" s="284" t="s">
        <v>564</v>
      </c>
      <c r="B507" s="358">
        <v>1077825</v>
      </c>
      <c r="C507" s="319">
        <f>BE28</f>
        <v>1024736</v>
      </c>
      <c r="D507" s="360">
        <v>81144</v>
      </c>
      <c r="E507" s="284">
        <f>BE16</f>
        <v>102179</v>
      </c>
      <c r="F507" s="359">
        <f t="shared" si="19"/>
        <v>13.282867494824016</v>
      </c>
      <c r="G507" s="339">
        <f t="shared" si="19"/>
        <v>10.028831756035975</v>
      </c>
      <c r="H507" s="341" t="str">
        <f t="shared" si="16"/>
        <v/>
      </c>
      <c r="I507" s="343"/>
      <c r="K507" s="337"/>
      <c r="L507" s="337"/>
    </row>
    <row r="508" spans="1:13" ht="12.65" customHeight="1" x14ac:dyDescent="0.35">
      <c r="A508" s="284" t="s">
        <v>565</v>
      </c>
      <c r="B508" s="358">
        <v>528793</v>
      </c>
      <c r="C508" s="319">
        <f>BF28</f>
        <v>476732</v>
      </c>
      <c r="D508" s="361" t="s">
        <v>529</v>
      </c>
      <c r="E508" s="285" t="s">
        <v>529</v>
      </c>
      <c r="F508" s="359"/>
      <c r="G508" s="339"/>
      <c r="H508" s="341"/>
      <c r="I508" s="343"/>
      <c r="J508" s="303"/>
      <c r="M508" s="341"/>
    </row>
    <row r="509" spans="1:13" ht="12.65" customHeight="1" x14ac:dyDescent="0.35">
      <c r="A509" s="284" t="s">
        <v>566</v>
      </c>
      <c r="B509" s="358">
        <v>0</v>
      </c>
      <c r="C509" s="319">
        <f>BG28</f>
        <v>0</v>
      </c>
      <c r="D509" s="361" t="s">
        <v>529</v>
      </c>
      <c r="E509" s="285" t="s">
        <v>529</v>
      </c>
      <c r="F509" s="359"/>
      <c r="G509" s="339"/>
      <c r="H509" s="341"/>
      <c r="J509" s="303"/>
      <c r="M509" s="341"/>
    </row>
    <row r="510" spans="1:13" ht="12.65" customHeight="1" x14ac:dyDescent="0.35">
      <c r="A510" s="284" t="s">
        <v>567</v>
      </c>
      <c r="B510" s="358">
        <v>1887181</v>
      </c>
      <c r="C510" s="319">
        <f>BH28</f>
        <v>2500411</v>
      </c>
      <c r="D510" s="361" t="s">
        <v>529</v>
      </c>
      <c r="E510" s="285" t="s">
        <v>529</v>
      </c>
      <c r="F510" s="359"/>
      <c r="G510" s="339"/>
      <c r="H510" s="341"/>
      <c r="J510" s="303"/>
      <c r="M510" s="341"/>
    </row>
    <row r="511" spans="1:13" ht="12.65" customHeight="1" x14ac:dyDescent="0.35">
      <c r="A511" s="284" t="s">
        <v>568</v>
      </c>
      <c r="B511" s="358">
        <v>0</v>
      </c>
      <c r="C511" s="319">
        <f>BI28</f>
        <v>0</v>
      </c>
      <c r="D511" s="361" t="s">
        <v>529</v>
      </c>
      <c r="E511" s="285" t="s">
        <v>529</v>
      </c>
      <c r="F511" s="359"/>
      <c r="G511" s="339"/>
      <c r="H511" s="341"/>
      <c r="J511" s="303"/>
      <c r="M511" s="341"/>
    </row>
    <row r="512" spans="1:13" ht="12.65" customHeight="1" x14ac:dyDescent="0.35">
      <c r="A512" s="284" t="s">
        <v>569</v>
      </c>
      <c r="B512" s="358">
        <v>1235944</v>
      </c>
      <c r="C512" s="319">
        <f>BJ28</f>
        <v>1049345</v>
      </c>
      <c r="D512" s="361" t="s">
        <v>529</v>
      </c>
      <c r="E512" s="285" t="s">
        <v>529</v>
      </c>
      <c r="F512" s="359"/>
      <c r="G512" s="339"/>
      <c r="H512" s="341"/>
      <c r="J512" s="303"/>
      <c r="M512" s="341"/>
    </row>
    <row r="513" spans="1:13" ht="12.65" customHeight="1" x14ac:dyDescent="0.35">
      <c r="A513" s="284" t="s">
        <v>570</v>
      </c>
      <c r="B513" s="358">
        <v>1812919</v>
      </c>
      <c r="C513" s="319">
        <f>BK28</f>
        <v>1849430</v>
      </c>
      <c r="D513" s="361" t="s">
        <v>529</v>
      </c>
      <c r="E513" s="285" t="s">
        <v>529</v>
      </c>
      <c r="F513" s="359"/>
      <c r="G513" s="339"/>
      <c r="H513" s="341"/>
      <c r="J513" s="303"/>
      <c r="M513" s="341"/>
    </row>
    <row r="514" spans="1:13" ht="12.65" customHeight="1" x14ac:dyDescent="0.35">
      <c r="A514" s="284" t="s">
        <v>571</v>
      </c>
      <c r="B514" s="358">
        <v>0</v>
      </c>
      <c r="C514" s="319">
        <f>BL28</f>
        <v>0</v>
      </c>
      <c r="D514" s="361" t="s">
        <v>529</v>
      </c>
      <c r="E514" s="285" t="s">
        <v>529</v>
      </c>
      <c r="F514" s="359"/>
      <c r="G514" s="339"/>
      <c r="H514" s="341"/>
      <c r="J514" s="303"/>
      <c r="M514" s="341"/>
    </row>
    <row r="515" spans="1:13" ht="12.65" customHeight="1" x14ac:dyDescent="0.35">
      <c r="A515" s="284" t="s">
        <v>572</v>
      </c>
      <c r="B515" s="358">
        <v>0</v>
      </c>
      <c r="C515" s="319">
        <f>BM28</f>
        <v>0</v>
      </c>
      <c r="D515" s="361" t="s">
        <v>529</v>
      </c>
      <c r="E515" s="285" t="s">
        <v>529</v>
      </c>
      <c r="F515" s="359"/>
      <c r="G515" s="339"/>
      <c r="H515" s="341"/>
      <c r="J515" s="303"/>
      <c r="M515" s="341"/>
    </row>
    <row r="516" spans="1:13" ht="12.65" customHeight="1" x14ac:dyDescent="0.35">
      <c r="A516" s="284" t="s">
        <v>573</v>
      </c>
      <c r="B516" s="358">
        <v>1607242</v>
      </c>
      <c r="C516" s="319">
        <f>BN28</f>
        <v>1814566</v>
      </c>
      <c r="D516" s="361" t="s">
        <v>529</v>
      </c>
      <c r="E516" s="285" t="s">
        <v>529</v>
      </c>
      <c r="F516" s="359"/>
      <c r="G516" s="339"/>
      <c r="H516" s="341"/>
      <c r="J516" s="303"/>
      <c r="M516" s="341"/>
    </row>
    <row r="517" spans="1:13" ht="12.65" customHeight="1" x14ac:dyDescent="0.35">
      <c r="A517" s="284" t="s">
        <v>574</v>
      </c>
      <c r="B517" s="358">
        <v>0</v>
      </c>
      <c r="C517" s="319">
        <f>BO28</f>
        <v>2630</v>
      </c>
      <c r="D517" s="361" t="s">
        <v>529</v>
      </c>
      <c r="E517" s="285" t="s">
        <v>529</v>
      </c>
      <c r="F517" s="359"/>
      <c r="G517" s="339"/>
      <c r="H517" s="341"/>
      <c r="J517" s="303"/>
      <c r="M517" s="341"/>
    </row>
    <row r="518" spans="1:13" ht="12.65" customHeight="1" x14ac:dyDescent="0.35">
      <c r="A518" s="284" t="s">
        <v>575</v>
      </c>
      <c r="B518" s="358">
        <v>798432</v>
      </c>
      <c r="C518" s="319">
        <f>BP28</f>
        <v>1146508</v>
      </c>
      <c r="D518" s="361" t="s">
        <v>529</v>
      </c>
      <c r="E518" s="285" t="s">
        <v>529</v>
      </c>
      <c r="F518" s="359"/>
      <c r="G518" s="339"/>
      <c r="H518" s="341"/>
      <c r="J518" s="303"/>
      <c r="M518" s="341"/>
    </row>
    <row r="519" spans="1:13" ht="12.65" customHeight="1" x14ac:dyDescent="0.35">
      <c r="A519" s="284" t="s">
        <v>576</v>
      </c>
      <c r="B519" s="358">
        <v>0</v>
      </c>
      <c r="C519" s="319">
        <f>BQ28</f>
        <v>0</v>
      </c>
      <c r="D519" s="361" t="s">
        <v>529</v>
      </c>
      <c r="E519" s="285" t="s">
        <v>529</v>
      </c>
      <c r="F519" s="359"/>
      <c r="G519" s="339"/>
      <c r="H519" s="341"/>
      <c r="J519" s="303"/>
      <c r="M519" s="341"/>
    </row>
    <row r="520" spans="1:13" ht="12.65" customHeight="1" x14ac:dyDescent="0.35">
      <c r="A520" s="284" t="s">
        <v>577</v>
      </c>
      <c r="B520" s="358">
        <v>733618</v>
      </c>
      <c r="C520" s="319">
        <f>BR28</f>
        <v>807788</v>
      </c>
      <c r="D520" s="361" t="s">
        <v>529</v>
      </c>
      <c r="E520" s="285" t="s">
        <v>529</v>
      </c>
      <c r="F520" s="359"/>
      <c r="G520" s="339"/>
      <c r="H520" s="341"/>
      <c r="J520" s="303"/>
      <c r="M520" s="341"/>
    </row>
    <row r="521" spans="1:13" ht="12.65" customHeight="1" x14ac:dyDescent="0.35">
      <c r="A521" s="284" t="s">
        <v>986</v>
      </c>
      <c r="B521" s="358">
        <v>0</v>
      </c>
      <c r="C521" s="319">
        <f>BS28</f>
        <v>0</v>
      </c>
      <c r="D521" s="361" t="s">
        <v>529</v>
      </c>
      <c r="E521" s="285" t="s">
        <v>529</v>
      </c>
      <c r="F521" s="359"/>
      <c r="G521" s="339"/>
      <c r="H521" s="341"/>
      <c r="J521" s="303"/>
      <c r="M521" s="341"/>
    </row>
    <row r="522" spans="1:13" ht="12.65" customHeight="1" x14ac:dyDescent="0.35">
      <c r="A522" s="284" t="s">
        <v>578</v>
      </c>
      <c r="B522" s="358">
        <v>0</v>
      </c>
      <c r="C522" s="319">
        <f>BT28</f>
        <v>0</v>
      </c>
      <c r="D522" s="361" t="s">
        <v>529</v>
      </c>
      <c r="E522" s="285" t="s">
        <v>529</v>
      </c>
      <c r="F522" s="359"/>
      <c r="G522" s="339"/>
      <c r="H522" s="341"/>
      <c r="J522" s="303"/>
      <c r="M522" s="341"/>
    </row>
    <row r="523" spans="1:13" ht="12.65" customHeight="1" x14ac:dyDescent="0.35">
      <c r="A523" s="284" t="s">
        <v>579</v>
      </c>
      <c r="B523" s="358">
        <v>0</v>
      </c>
      <c r="C523" s="319">
        <f>BU28</f>
        <v>0</v>
      </c>
      <c r="D523" s="361" t="s">
        <v>529</v>
      </c>
      <c r="E523" s="285" t="s">
        <v>529</v>
      </c>
      <c r="F523" s="359"/>
      <c r="G523" s="339"/>
      <c r="H523" s="341"/>
      <c r="J523" s="303"/>
      <c r="M523" s="341"/>
    </row>
    <row r="524" spans="1:13" ht="12.65" customHeight="1" x14ac:dyDescent="0.35">
      <c r="A524" s="284" t="s">
        <v>580</v>
      </c>
      <c r="B524" s="358">
        <v>520059</v>
      </c>
      <c r="C524" s="319">
        <f>BV28</f>
        <v>583790</v>
      </c>
      <c r="D524" s="361" t="s">
        <v>529</v>
      </c>
      <c r="E524" s="285" t="s">
        <v>529</v>
      </c>
      <c r="F524" s="359"/>
      <c r="G524" s="339"/>
      <c r="H524" s="341"/>
      <c r="J524" s="303"/>
      <c r="M524" s="341"/>
    </row>
    <row r="525" spans="1:13" ht="12.65" customHeight="1" x14ac:dyDescent="0.35">
      <c r="A525" s="284" t="s">
        <v>581</v>
      </c>
      <c r="B525" s="358">
        <v>206036</v>
      </c>
      <c r="C525" s="319">
        <f>BW28</f>
        <v>379766</v>
      </c>
      <c r="D525" s="361" t="s">
        <v>529</v>
      </c>
      <c r="E525" s="285" t="s">
        <v>529</v>
      </c>
      <c r="F525" s="359"/>
      <c r="G525" s="339"/>
      <c r="H525" s="341"/>
      <c r="J525" s="303"/>
      <c r="M525" s="341"/>
    </row>
    <row r="526" spans="1:13" ht="12.65" customHeight="1" x14ac:dyDescent="0.35">
      <c r="A526" s="284" t="s">
        <v>582</v>
      </c>
      <c r="B526" s="358">
        <v>882163</v>
      </c>
      <c r="C526" s="319">
        <f>BX28</f>
        <v>98882</v>
      </c>
      <c r="D526" s="361" t="s">
        <v>529</v>
      </c>
      <c r="E526" s="285" t="s">
        <v>529</v>
      </c>
      <c r="F526" s="359"/>
      <c r="G526" s="339"/>
      <c r="H526" s="341"/>
      <c r="J526" s="303"/>
      <c r="M526" s="341"/>
    </row>
    <row r="527" spans="1:13" ht="12.65" customHeight="1" x14ac:dyDescent="0.35">
      <c r="A527" s="284" t="s">
        <v>583</v>
      </c>
      <c r="B527" s="358">
        <v>663974</v>
      </c>
      <c r="C527" s="319">
        <f>BY28</f>
        <v>978174</v>
      </c>
      <c r="D527" s="361" t="s">
        <v>529</v>
      </c>
      <c r="E527" s="285" t="s">
        <v>529</v>
      </c>
      <c r="F527" s="359"/>
      <c r="G527" s="339"/>
      <c r="H527" s="341"/>
      <c r="J527" s="303"/>
      <c r="M527" s="341"/>
    </row>
    <row r="528" spans="1:13" ht="12.65" customHeight="1" x14ac:dyDescent="0.35">
      <c r="A528" s="284" t="s">
        <v>584</v>
      </c>
      <c r="B528" s="358">
        <v>0</v>
      </c>
      <c r="C528" s="319">
        <f>BZ28</f>
        <v>0</v>
      </c>
      <c r="D528" s="361" t="s">
        <v>529</v>
      </c>
      <c r="E528" s="285" t="s">
        <v>529</v>
      </c>
      <c r="F528" s="359"/>
      <c r="G528" s="339"/>
      <c r="H528" s="341"/>
      <c r="J528" s="303"/>
      <c r="M528" s="341"/>
    </row>
    <row r="529" spans="1:13" ht="12.65" customHeight="1" x14ac:dyDescent="0.35">
      <c r="A529" s="284" t="s">
        <v>585</v>
      </c>
      <c r="B529" s="358">
        <v>0</v>
      </c>
      <c r="C529" s="319">
        <f>CA28</f>
        <v>0</v>
      </c>
      <c r="D529" s="361" t="s">
        <v>529</v>
      </c>
      <c r="E529" s="285" t="s">
        <v>529</v>
      </c>
      <c r="F529" s="359"/>
      <c r="G529" s="339"/>
      <c r="H529" s="341"/>
      <c r="J529" s="303"/>
      <c r="M529" s="341"/>
    </row>
    <row r="530" spans="1:13" ht="12.65" customHeight="1" x14ac:dyDescent="0.35">
      <c r="A530" s="284" t="s">
        <v>586</v>
      </c>
      <c r="B530" s="358">
        <v>0</v>
      </c>
      <c r="C530" s="319">
        <f>CB28</f>
        <v>0</v>
      </c>
      <c r="D530" s="361" t="s">
        <v>529</v>
      </c>
      <c r="E530" s="285" t="s">
        <v>529</v>
      </c>
      <c r="F530" s="359"/>
      <c r="G530" s="339"/>
      <c r="H530" s="341"/>
      <c r="J530" s="303"/>
      <c r="M530" s="341"/>
    </row>
    <row r="531" spans="1:13" ht="12.65" customHeight="1" x14ac:dyDescent="0.35">
      <c r="A531" s="284" t="s">
        <v>587</v>
      </c>
      <c r="B531" s="358">
        <v>0</v>
      </c>
      <c r="C531" s="319">
        <f>CC28</f>
        <v>0</v>
      </c>
      <c r="D531" s="361" t="s">
        <v>529</v>
      </c>
      <c r="E531" s="285" t="s">
        <v>529</v>
      </c>
      <c r="F531" s="359"/>
      <c r="G531" s="339"/>
      <c r="H531" s="341"/>
      <c r="J531" s="303"/>
      <c r="M531" s="341"/>
    </row>
    <row r="532" spans="1:13" ht="12.65" customHeight="1" x14ac:dyDescent="0.35">
      <c r="A532" s="284" t="s">
        <v>588</v>
      </c>
      <c r="B532" s="358">
        <v>-49011</v>
      </c>
      <c r="C532" s="319">
        <f>CD28</f>
        <v>1089489</v>
      </c>
      <c r="D532" s="361" t="s">
        <v>529</v>
      </c>
      <c r="E532" s="285" t="s">
        <v>529</v>
      </c>
      <c r="F532" s="359"/>
      <c r="G532" s="339"/>
      <c r="H532" s="341"/>
    </row>
    <row r="533" spans="1:13" ht="12.65" customHeight="1" x14ac:dyDescent="0.35">
      <c r="M533" s="341"/>
    </row>
    <row r="534" spans="1:13" ht="12.65" customHeight="1" x14ac:dyDescent="0.35">
      <c r="M534" s="341"/>
    </row>
    <row r="535" spans="1:13" ht="12.65" customHeight="1" x14ac:dyDescent="0.35">
      <c r="M535" s="341"/>
    </row>
    <row r="569" spans="1:14" ht="12.65" customHeight="1" x14ac:dyDescent="0.35">
      <c r="A569" s="300"/>
      <c r="C569" s="285" t="s">
        <v>589</v>
      </c>
      <c r="D569" s="284">
        <f>CE33-(BE33+CD33)</f>
        <v>95909</v>
      </c>
      <c r="E569" s="284">
        <f>SUM(C581:D604)+SUM(C625:D670)</f>
        <v>54671989.312150069</v>
      </c>
      <c r="F569" s="284">
        <f>CE21-(AX21+BD21+BE21+BG21+BJ21+BN21+BP21+BQ21+CB21+CC21+CD21)</f>
        <v>6536641</v>
      </c>
      <c r="G569" s="284">
        <f>CE34-(AX34+AY34+BD34+BE34+BG34+BJ34+BN34+BP34+BQ34+CB34+CC34+CD34)</f>
        <v>16892</v>
      </c>
      <c r="H569" s="301">
        <f>CE17-(AX17+AY17+AZ17+BD17+BE17+BG17+BJ17+BN17+BO17+BP17+BQ17+BR17+CB17+CC17+CD17)</f>
        <v>377.93999999999988</v>
      </c>
      <c r="I569" s="284">
        <f>CE35-(AX35+AY35+AZ35+BD35+BE35+BF35+BG35+BJ35+BN35+BO35+BP35+BQ35+BR35+CB35+CC35+CD35)</f>
        <v>21725</v>
      </c>
      <c r="J569" s="284">
        <f>CE36-(AX36+AY36+AZ36+BA36+BD36+BE36+BF36+BG36+BJ36+BN36+BO36+BP36+BQ36+BR36+CB36+CC36+CD36)</f>
        <v>190373</v>
      </c>
      <c r="K569" s="284">
        <f>CE32-(AW32+AX32+AY32+AZ32+BA32+BB32+BC32+BD32+BE32+BF32+BG32+BH32+BI32+BJ32+BK32+BL32+BM32+BN32+BO32+BP32+BQ32+BR32+BS32+BT32+BU32+BV32+BW32+BX32+CB32+CC32+CD32)</f>
        <v>142067801</v>
      </c>
      <c r="L569" s="301">
        <f>CE37-(AW37+AX37+AY37+AZ37+BA37+BB37+BC37+BD37+BE37+BF37+BG37+BH37+BI37+BJ37+BK37+BL37+BM37+BN37+BO37+BP37+BQ37+BR37+BS37+BT37+BU37+BV37+BW37+BX37+BY37+BZ37+CA37+CB37+CC37+CD37)</f>
        <v>90.22</v>
      </c>
    </row>
    <row r="570" spans="1:14" ht="12.65" customHeight="1" x14ac:dyDescent="0.35">
      <c r="A570" s="300"/>
      <c r="C570" s="285" t="s">
        <v>590</v>
      </c>
      <c r="D570" s="285" t="s">
        <v>591</v>
      </c>
      <c r="E570" s="302" t="s">
        <v>592</v>
      </c>
      <c r="F570" s="285" t="s">
        <v>593</v>
      </c>
      <c r="G570" s="285" t="s">
        <v>594</v>
      </c>
      <c r="H570" s="285" t="s">
        <v>595</v>
      </c>
      <c r="I570" s="285" t="s">
        <v>596</v>
      </c>
      <c r="J570" s="285" t="s">
        <v>597</v>
      </c>
      <c r="K570" s="285" t="s">
        <v>598</v>
      </c>
      <c r="L570" s="302" t="s">
        <v>599</v>
      </c>
    </row>
    <row r="571" spans="1:14" ht="12.65" customHeight="1" x14ac:dyDescent="0.35">
      <c r="A571" s="300">
        <v>8430</v>
      </c>
      <c r="B571" s="302" t="s">
        <v>140</v>
      </c>
      <c r="C571" s="284">
        <f>BE28</f>
        <v>1024736</v>
      </c>
      <c r="N571" s="303" t="s">
        <v>600</v>
      </c>
    </row>
    <row r="572" spans="1:14" ht="12.65" customHeight="1" x14ac:dyDescent="0.35">
      <c r="A572" s="300"/>
      <c r="B572" s="302" t="s">
        <v>601</v>
      </c>
      <c r="C572" s="346">
        <f>CD26-CD27</f>
        <v>1089489</v>
      </c>
      <c r="D572" s="342">
        <f>SUM(C571:C572)</f>
        <v>2114225</v>
      </c>
      <c r="N572" s="303" t="s">
        <v>602</v>
      </c>
    </row>
    <row r="573" spans="1:14" ht="12.65" customHeight="1" x14ac:dyDescent="0.35">
      <c r="A573" s="300">
        <v>8310</v>
      </c>
      <c r="B573" s="304" t="s">
        <v>603</v>
      </c>
      <c r="C573" s="284">
        <f>AX28</f>
        <v>0</v>
      </c>
      <c r="D573" s="284">
        <f>(D572/D569)*AX33</f>
        <v>0</v>
      </c>
      <c r="N573" s="303" t="s">
        <v>604</v>
      </c>
    </row>
    <row r="574" spans="1:14" ht="12.65" customHeight="1" x14ac:dyDescent="0.35">
      <c r="A574" s="300">
        <v>8510</v>
      </c>
      <c r="B574" s="304" t="s">
        <v>145</v>
      </c>
      <c r="C574" s="284">
        <f>BJ28</f>
        <v>1049345</v>
      </c>
      <c r="D574" s="284">
        <f>(D572/D569)*BJ33</f>
        <v>14020.030445526489</v>
      </c>
      <c r="N574" s="303" t="s">
        <v>605</v>
      </c>
    </row>
    <row r="575" spans="1:14" ht="12.65" customHeight="1" x14ac:dyDescent="0.35">
      <c r="A575" s="300">
        <v>8470</v>
      </c>
      <c r="B575" s="304" t="s">
        <v>606</v>
      </c>
      <c r="C575" s="284">
        <f>BG28</f>
        <v>0</v>
      </c>
      <c r="D575" s="284">
        <f>(D572/D569)*BG33</f>
        <v>0</v>
      </c>
      <c r="N575" s="303" t="s">
        <v>607</v>
      </c>
    </row>
    <row r="576" spans="1:14" ht="12.65" customHeight="1" x14ac:dyDescent="0.35">
      <c r="A576" s="300">
        <v>8610</v>
      </c>
      <c r="B576" s="304" t="s">
        <v>608</v>
      </c>
      <c r="C576" s="284">
        <f>BN28</f>
        <v>1814566</v>
      </c>
      <c r="D576" s="284">
        <f>(D572/D569)*BN33</f>
        <v>228398.64063852193</v>
      </c>
      <c r="N576" s="303" t="s">
        <v>609</v>
      </c>
    </row>
    <row r="577" spans="1:14" ht="12.65" customHeight="1" x14ac:dyDescent="0.35">
      <c r="A577" s="300">
        <v>8790</v>
      </c>
      <c r="B577" s="304" t="s">
        <v>610</v>
      </c>
      <c r="C577" s="284">
        <f>CC28</f>
        <v>0</v>
      </c>
      <c r="D577" s="284">
        <f>(D572/D569)*CC33</f>
        <v>0</v>
      </c>
      <c r="N577" s="303" t="s">
        <v>611</v>
      </c>
    </row>
    <row r="578" spans="1:14" ht="12.65" customHeight="1" x14ac:dyDescent="0.35">
      <c r="A578" s="300">
        <v>8630</v>
      </c>
      <c r="B578" s="304" t="s">
        <v>612</v>
      </c>
      <c r="C578" s="284">
        <f>BP28</f>
        <v>1146508</v>
      </c>
      <c r="D578" s="284">
        <f>(D572/D569)*BP33</f>
        <v>13513.016765892668</v>
      </c>
      <c r="N578" s="303" t="s">
        <v>613</v>
      </c>
    </row>
    <row r="579" spans="1:14" ht="12.65" customHeight="1" x14ac:dyDescent="0.35">
      <c r="A579" s="300">
        <v>8770</v>
      </c>
      <c r="B579" s="302" t="s">
        <v>614</v>
      </c>
      <c r="C579" s="284">
        <f>CB28</f>
        <v>0</v>
      </c>
      <c r="D579" s="284">
        <f>(D572/D569)*CB33</f>
        <v>0</v>
      </c>
      <c r="N579" s="303" t="s">
        <v>615</v>
      </c>
    </row>
    <row r="580" spans="1:14" ht="12.65" customHeight="1" x14ac:dyDescent="0.35">
      <c r="A580" s="300">
        <v>8640</v>
      </c>
      <c r="B580" s="304" t="s">
        <v>616</v>
      </c>
      <c r="C580" s="284">
        <f>BQ28</f>
        <v>0</v>
      </c>
      <c r="D580" s="284">
        <f>(D572/D569)*BQ33</f>
        <v>0</v>
      </c>
      <c r="E580" s="284">
        <f>SUM(C573:D580)</f>
        <v>4266350.6878499407</v>
      </c>
      <c r="N580" s="303" t="s">
        <v>617</v>
      </c>
    </row>
    <row r="581" spans="1:14" ht="12.65" customHeight="1" x14ac:dyDescent="0.35">
      <c r="A581" s="300">
        <v>8420</v>
      </c>
      <c r="B581" s="304" t="s">
        <v>139</v>
      </c>
      <c r="C581" s="284">
        <f>BD28</f>
        <v>290108</v>
      </c>
      <c r="D581" s="284">
        <f>(D572/D569)*BD33</f>
        <v>0</v>
      </c>
      <c r="E581" s="284">
        <f>(E580/E569)*SUM(C581:D581)</f>
        <v>22638.694529370434</v>
      </c>
      <c r="F581" s="284">
        <f>SUM(C581:E581)</f>
        <v>312746.6945293704</v>
      </c>
      <c r="N581" s="303" t="s">
        <v>618</v>
      </c>
    </row>
    <row r="582" spans="1:14" ht="12.65" customHeight="1" x14ac:dyDescent="0.35">
      <c r="A582" s="300">
        <v>8320</v>
      </c>
      <c r="B582" s="304" t="s">
        <v>135</v>
      </c>
      <c r="C582" s="284">
        <f>AY28</f>
        <v>887480</v>
      </c>
      <c r="D582" s="284">
        <f>(D572/D569)*AY33</f>
        <v>47615.197739523923</v>
      </c>
      <c r="E582" s="284">
        <f>(E580/E569)*SUM(C582:D582)</f>
        <v>72970.530069857865</v>
      </c>
      <c r="F582" s="284">
        <f>(F581/F569)*AY21</f>
        <v>12224.96702295475</v>
      </c>
      <c r="G582" s="284">
        <f>SUM(C582:F582)</f>
        <v>1020290.6948323365</v>
      </c>
      <c r="N582" s="303" t="s">
        <v>619</v>
      </c>
    </row>
    <row r="583" spans="1:14" ht="12.65" customHeight="1" x14ac:dyDescent="0.35">
      <c r="A583" s="300">
        <v>8650</v>
      </c>
      <c r="B583" s="304" t="s">
        <v>152</v>
      </c>
      <c r="C583" s="284">
        <f>BR28</f>
        <v>807788</v>
      </c>
      <c r="D583" s="284">
        <f>(D572/D569)*BR33</f>
        <v>25152.287324442961</v>
      </c>
      <c r="E583" s="284">
        <f>(E580/E569)*SUM(C583:D583)</f>
        <v>64998.830524991055</v>
      </c>
      <c r="F583" s="284">
        <f>(F581/F569)*BR21</f>
        <v>8427.543790119782</v>
      </c>
      <c r="G583" s="284">
        <f>(G582/G569)*BR34</f>
        <v>0</v>
      </c>
      <c r="N583" s="303" t="s">
        <v>620</v>
      </c>
    </row>
    <row r="584" spans="1:14" ht="12.65" customHeight="1" x14ac:dyDescent="0.35">
      <c r="A584" s="300">
        <v>8620</v>
      </c>
      <c r="B584" s="302" t="s">
        <v>621</v>
      </c>
      <c r="C584" s="284">
        <f>BO28</f>
        <v>2630</v>
      </c>
      <c r="D584" s="284">
        <f>(D572/D569)*BO33</f>
        <v>0</v>
      </c>
      <c r="E584" s="284">
        <f>(E580/E569)*SUM(C584:D584)</f>
        <v>205.23310840185118</v>
      </c>
      <c r="F584" s="284">
        <f>(F581/F569)*BO21</f>
        <v>1.3875099062885268</v>
      </c>
      <c r="G584" s="284">
        <f>(G582/G569)*BO34</f>
        <v>0</v>
      </c>
      <c r="N584" s="303" t="s">
        <v>622</v>
      </c>
    </row>
    <row r="585" spans="1:14" ht="12.65" customHeight="1" x14ac:dyDescent="0.35">
      <c r="A585" s="300">
        <v>8330</v>
      </c>
      <c r="B585" s="304" t="s">
        <v>136</v>
      </c>
      <c r="C585" s="284">
        <f>AZ28</f>
        <v>0</v>
      </c>
      <c r="D585" s="284">
        <f>(D572/D569)*AZ33</f>
        <v>0</v>
      </c>
      <c r="E585" s="284">
        <f>(E580/E569)*SUM(C585:D585)</f>
        <v>0</v>
      </c>
      <c r="F585" s="284">
        <f>(F581/F569)*AZ21</f>
        <v>0</v>
      </c>
      <c r="G585" s="284">
        <f>(G582/G569)*AZ34</f>
        <v>0</v>
      </c>
      <c r="H585" s="284">
        <f>SUM(C583:G585)</f>
        <v>909203.28225786204</v>
      </c>
      <c r="N585" s="303" t="s">
        <v>623</v>
      </c>
    </row>
    <row r="586" spans="1:14" ht="12.65" customHeight="1" x14ac:dyDescent="0.35">
      <c r="A586" s="300">
        <v>8460</v>
      </c>
      <c r="B586" s="304" t="s">
        <v>141</v>
      </c>
      <c r="C586" s="284">
        <f>BF28</f>
        <v>476732</v>
      </c>
      <c r="D586" s="284">
        <f>(D572/D569)*BF33</f>
        <v>18517.02134314819</v>
      </c>
      <c r="E586" s="284">
        <f>(E580/E569)*SUM(C586:D586)</f>
        <v>38646.956685638419</v>
      </c>
      <c r="F586" s="284">
        <f>(F581/F569)*BF21</f>
        <v>1189.3352155351793</v>
      </c>
      <c r="G586" s="284">
        <f>(G582/G569)*BF34</f>
        <v>0</v>
      </c>
      <c r="H586" s="284">
        <f>(H585/H569)*BF17</f>
        <v>31730.939548555863</v>
      </c>
      <c r="I586" s="284">
        <f>SUM(C586:H586)</f>
        <v>566816.25279287761</v>
      </c>
      <c r="N586" s="303" t="s">
        <v>624</v>
      </c>
    </row>
    <row r="587" spans="1:14" ht="12.65" customHeight="1" x14ac:dyDescent="0.35">
      <c r="A587" s="300">
        <v>8350</v>
      </c>
      <c r="B587" s="304" t="s">
        <v>625</v>
      </c>
      <c r="C587" s="284">
        <f>BA28</f>
        <v>193202</v>
      </c>
      <c r="D587" s="284">
        <f>(D572/D569)*BA33</f>
        <v>19575.136848470946</v>
      </c>
      <c r="E587" s="284">
        <f>(E580/E569)*SUM(C587:D587)</f>
        <v>16604.149502759607</v>
      </c>
      <c r="F587" s="284">
        <f>(F581/F569)*BA21</f>
        <v>1742.090455099019</v>
      </c>
      <c r="G587" s="284">
        <f>(G582/G569)*BA34</f>
        <v>0</v>
      </c>
      <c r="H587" s="284">
        <f>(H585/H569)*BA17</f>
        <v>7529.7832287323627</v>
      </c>
      <c r="I587" s="284">
        <f>(I586/I569)*BA35</f>
        <v>6209.5405369254258</v>
      </c>
      <c r="J587" s="284">
        <f>SUM(C587:I587)</f>
        <v>244862.70057198734</v>
      </c>
      <c r="N587" s="303" t="s">
        <v>626</v>
      </c>
    </row>
    <row r="588" spans="1:14" ht="12.65" customHeight="1" x14ac:dyDescent="0.35">
      <c r="A588" s="300">
        <v>8200</v>
      </c>
      <c r="B588" s="304" t="s">
        <v>627</v>
      </c>
      <c r="C588" s="284">
        <f>AW28</f>
        <v>0</v>
      </c>
      <c r="D588" s="284">
        <f>(D572/D569)*AW33</f>
        <v>0</v>
      </c>
      <c r="E588" s="284">
        <f>(E580/E569)*SUM(C588:D588)</f>
        <v>0</v>
      </c>
      <c r="F588" s="284">
        <f>(F581/F569)*AW21</f>
        <v>0</v>
      </c>
      <c r="G588" s="284">
        <f>(G582/G569)*AW34</f>
        <v>0</v>
      </c>
      <c r="H588" s="284">
        <f>(H585/H569)*AW17</f>
        <v>0</v>
      </c>
      <c r="I588" s="284">
        <f>(I586/I569)*AW35</f>
        <v>0</v>
      </c>
      <c r="J588" s="284">
        <f>(J587/J569)*AW36</f>
        <v>0</v>
      </c>
      <c r="N588" s="303" t="s">
        <v>628</v>
      </c>
    </row>
    <row r="589" spans="1:14" ht="12.65" customHeight="1" x14ac:dyDescent="0.35">
      <c r="A589" s="300">
        <v>8360</v>
      </c>
      <c r="B589" s="304" t="s">
        <v>629</v>
      </c>
      <c r="C589" s="284">
        <f>BB28</f>
        <v>253769</v>
      </c>
      <c r="D589" s="284">
        <f>(D572/D569)*BB33</f>
        <v>7825.6459247828661</v>
      </c>
      <c r="E589" s="284">
        <f>(E580/E569)*SUM(C589:D589)</f>
        <v>20413.643469363058</v>
      </c>
      <c r="F589" s="284">
        <f>(F581/F569)*BB21</f>
        <v>48.65853705846316</v>
      </c>
      <c r="G589" s="284">
        <f>(G582/G569)*BB34</f>
        <v>0</v>
      </c>
      <c r="H589" s="284">
        <f>(H585/H569)*BB17</f>
        <v>4017.4881763524104</v>
      </c>
      <c r="I589" s="284">
        <f>(I586/I569)*BB35</f>
        <v>2478.5981134786366</v>
      </c>
      <c r="J589" s="284">
        <f>(J587/J569)*BB36</f>
        <v>0</v>
      </c>
      <c r="N589" s="303" t="s">
        <v>630</v>
      </c>
    </row>
    <row r="590" spans="1:14" ht="12.65" customHeight="1" x14ac:dyDescent="0.35">
      <c r="A590" s="300">
        <v>8370</v>
      </c>
      <c r="B590" s="304" t="s">
        <v>631</v>
      </c>
      <c r="C590" s="284">
        <f>BC28</f>
        <v>0</v>
      </c>
      <c r="D590" s="284">
        <f>(D572/D569)*BC33</f>
        <v>0</v>
      </c>
      <c r="E590" s="284">
        <f>(E580/E569)*SUM(C590:D590)</f>
        <v>0</v>
      </c>
      <c r="F590" s="284">
        <f>(F581/F569)*BC21</f>
        <v>0</v>
      </c>
      <c r="G590" s="284">
        <f>(G582/G569)*BC34</f>
        <v>0</v>
      </c>
      <c r="H590" s="284">
        <f>(H585/H569)*BC17</f>
        <v>0</v>
      </c>
      <c r="I590" s="284">
        <f>(I586/I569)*BC35</f>
        <v>0</v>
      </c>
      <c r="J590" s="284">
        <f>(J587/J569)*BC36</f>
        <v>0</v>
      </c>
      <c r="N590" s="303" t="s">
        <v>632</v>
      </c>
    </row>
    <row r="591" spans="1:14" ht="12.65" customHeight="1" x14ac:dyDescent="0.35">
      <c r="A591" s="300">
        <v>8490</v>
      </c>
      <c r="B591" s="304" t="s">
        <v>633</v>
      </c>
      <c r="C591" s="284">
        <f>BI28</f>
        <v>0</v>
      </c>
      <c r="D591" s="284">
        <f>(D572/D569)*BI33</f>
        <v>0</v>
      </c>
      <c r="E591" s="284">
        <f>(E580/E569)*SUM(C591:D591)</f>
        <v>0</v>
      </c>
      <c r="F591" s="284">
        <f>(F581/F569)*BI21</f>
        <v>0</v>
      </c>
      <c r="G591" s="284">
        <f>(G582/G569)*BI34</f>
        <v>0</v>
      </c>
      <c r="H591" s="284">
        <f>(H585/H569)*BI17</f>
        <v>0</v>
      </c>
      <c r="I591" s="284">
        <f>(I586/I569)*BI35</f>
        <v>0</v>
      </c>
      <c r="J591" s="284">
        <f>(J587/J569)*BI36</f>
        <v>0</v>
      </c>
      <c r="N591" s="303" t="s">
        <v>634</v>
      </c>
    </row>
    <row r="592" spans="1:14" ht="12.65" customHeight="1" x14ac:dyDescent="0.35">
      <c r="A592" s="300">
        <v>8530</v>
      </c>
      <c r="B592" s="304" t="s">
        <v>635</v>
      </c>
      <c r="C592" s="284">
        <f>BK28</f>
        <v>1849430</v>
      </c>
      <c r="D592" s="284">
        <f>(D572/D569)*BK33</f>
        <v>39040.053331804105</v>
      </c>
      <c r="E592" s="284">
        <f>(E580/E569)*SUM(C592:D592)</f>
        <v>147367.52059661437</v>
      </c>
      <c r="F592" s="284">
        <f>(F581/F569)*BK21</f>
        <v>613.56644959462301</v>
      </c>
      <c r="G592" s="284">
        <f>(G582/G569)*BK34</f>
        <v>0</v>
      </c>
      <c r="H592" s="284">
        <f>(H585/H569)*BK17</f>
        <v>64087.356298220489</v>
      </c>
      <c r="I592" s="284">
        <f>(I586/I569)*BK35</f>
        <v>25986.144431839177</v>
      </c>
      <c r="J592" s="284">
        <f>(J587/J569)*BK36</f>
        <v>0</v>
      </c>
      <c r="N592" s="303" t="s">
        <v>636</v>
      </c>
    </row>
    <row r="593" spans="1:14" ht="12.65" customHeight="1" x14ac:dyDescent="0.35">
      <c r="A593" s="300">
        <v>8480</v>
      </c>
      <c r="B593" s="304" t="s">
        <v>637</v>
      </c>
      <c r="C593" s="284">
        <f>BH28</f>
        <v>2500411</v>
      </c>
      <c r="D593" s="284">
        <f>(D572/D569)*BH33</f>
        <v>15254.498535069701</v>
      </c>
      <c r="E593" s="284">
        <f>(E580/E569)*SUM(C593:D593)</f>
        <v>196310.96956792581</v>
      </c>
      <c r="F593" s="284">
        <f>(F581/F569)*BH21</f>
        <v>52418.066917305703</v>
      </c>
      <c r="G593" s="284">
        <f>(G582/G569)*BH34</f>
        <v>0</v>
      </c>
      <c r="H593" s="284">
        <f>(H585/H569)*BH17</f>
        <v>22204.440639360928</v>
      </c>
      <c r="I593" s="284">
        <f>(I586/I569)*BH35</f>
        <v>4852.8342011265931</v>
      </c>
      <c r="J593" s="284">
        <f>(J587/J569)*BH36</f>
        <v>0</v>
      </c>
      <c r="N593" s="303" t="s">
        <v>638</v>
      </c>
    </row>
    <row r="594" spans="1:14" ht="12.65" customHeight="1" x14ac:dyDescent="0.35">
      <c r="A594" s="300">
        <v>8560</v>
      </c>
      <c r="B594" s="304" t="s">
        <v>147</v>
      </c>
      <c r="C594" s="284">
        <f>BL28</f>
        <v>0</v>
      </c>
      <c r="D594" s="284">
        <f>(D572/D569)*BL33</f>
        <v>0</v>
      </c>
      <c r="E594" s="284">
        <f>(E580/E569)*SUM(C594:D594)</f>
        <v>0</v>
      </c>
      <c r="F594" s="284">
        <f>(F581/F569)*BL21</f>
        <v>0</v>
      </c>
      <c r="G594" s="284">
        <f>(G582/G569)*BL34</f>
        <v>0</v>
      </c>
      <c r="H594" s="284">
        <f>(H585/H569)*BL17</f>
        <v>0</v>
      </c>
      <c r="I594" s="284">
        <f>(I586/I569)*BL35</f>
        <v>0</v>
      </c>
      <c r="J594" s="284">
        <f>(J587/J569)*BL36</f>
        <v>0</v>
      </c>
      <c r="N594" s="303" t="s">
        <v>639</v>
      </c>
    </row>
    <row r="595" spans="1:14" ht="12.65" customHeight="1" x14ac:dyDescent="0.35">
      <c r="A595" s="300">
        <v>8590</v>
      </c>
      <c r="B595" s="304" t="s">
        <v>640</v>
      </c>
      <c r="C595" s="284">
        <f>BM28</f>
        <v>0</v>
      </c>
      <c r="D595" s="284">
        <f>(D572/D569)*BM33</f>
        <v>0</v>
      </c>
      <c r="E595" s="284">
        <f>(E580/E569)*SUM(C595:D595)</f>
        <v>0</v>
      </c>
      <c r="F595" s="284">
        <f>(F581/F569)*BM21</f>
        <v>0</v>
      </c>
      <c r="G595" s="284">
        <f>(G582/G569)*BM34</f>
        <v>0</v>
      </c>
      <c r="H595" s="284">
        <f>(H585/H569)*BM17</f>
        <v>0</v>
      </c>
      <c r="I595" s="284">
        <f>(I586/I569)*BM35</f>
        <v>0</v>
      </c>
      <c r="J595" s="284">
        <f>(J587/J569)*BM36</f>
        <v>0</v>
      </c>
      <c r="N595" s="303" t="s">
        <v>641</v>
      </c>
    </row>
    <row r="596" spans="1:14" ht="12.65" customHeight="1" x14ac:dyDescent="0.35">
      <c r="A596" s="300">
        <v>8660</v>
      </c>
      <c r="B596" s="304" t="s">
        <v>642</v>
      </c>
      <c r="C596" s="284">
        <f>BS28</f>
        <v>0</v>
      </c>
      <c r="D596" s="284">
        <f>(D572/D569)*BS33</f>
        <v>0</v>
      </c>
      <c r="E596" s="284">
        <f>(E580/E569)*SUM(C596:D596)</f>
        <v>0</v>
      </c>
      <c r="F596" s="284">
        <f>(F581/F569)*BS21</f>
        <v>0</v>
      </c>
      <c r="G596" s="284">
        <f>(G582/G569)*BS34</f>
        <v>0</v>
      </c>
      <c r="H596" s="284">
        <f>(H585/H569)*BS17</f>
        <v>0</v>
      </c>
      <c r="I596" s="284">
        <f>(I586/I569)*BS35</f>
        <v>0</v>
      </c>
      <c r="J596" s="284">
        <f>(J587/J569)*BS36</f>
        <v>0</v>
      </c>
      <c r="N596" s="303" t="s">
        <v>643</v>
      </c>
    </row>
    <row r="597" spans="1:14" ht="12.65" customHeight="1" x14ac:dyDescent="0.35">
      <c r="A597" s="300">
        <v>8670</v>
      </c>
      <c r="B597" s="304" t="s">
        <v>644</v>
      </c>
      <c r="C597" s="284">
        <f>BT28</f>
        <v>0</v>
      </c>
      <c r="D597" s="284">
        <f>(D572/D569)*BT33</f>
        <v>0</v>
      </c>
      <c r="E597" s="284">
        <f>(E580/E569)*SUM(C597:D597)</f>
        <v>0</v>
      </c>
      <c r="F597" s="284">
        <f>(F581/F569)*BT21</f>
        <v>0</v>
      </c>
      <c r="G597" s="284">
        <f>(G582/G569)*BT34</f>
        <v>0</v>
      </c>
      <c r="H597" s="284">
        <f>(H585/H569)*BT17</f>
        <v>0</v>
      </c>
      <c r="I597" s="284">
        <f>(I586/I569)*BT35</f>
        <v>0</v>
      </c>
      <c r="J597" s="284">
        <f>(J587/J569)*BT36</f>
        <v>0</v>
      </c>
      <c r="N597" s="303" t="s">
        <v>645</v>
      </c>
    </row>
    <row r="598" spans="1:14" ht="12.65" customHeight="1" x14ac:dyDescent="0.35">
      <c r="A598" s="300">
        <v>8680</v>
      </c>
      <c r="B598" s="304" t="s">
        <v>646</v>
      </c>
      <c r="C598" s="284">
        <f>BU28</f>
        <v>0</v>
      </c>
      <c r="D598" s="284">
        <f>(D572/D569)*BU33</f>
        <v>0</v>
      </c>
      <c r="E598" s="284">
        <f>(E580/E569)*SUM(C598:D598)</f>
        <v>0</v>
      </c>
      <c r="F598" s="284">
        <f>(F581/F569)*BU21</f>
        <v>0</v>
      </c>
      <c r="G598" s="284">
        <f>(G582/G569)*BU34</f>
        <v>0</v>
      </c>
      <c r="H598" s="284">
        <f>(H585/H569)*BU17</f>
        <v>0</v>
      </c>
      <c r="I598" s="284">
        <f>(I586/I569)*BU35</f>
        <v>0</v>
      </c>
      <c r="J598" s="284">
        <f>(J587/J569)*BU36</f>
        <v>0</v>
      </c>
      <c r="N598" s="303" t="s">
        <v>647</v>
      </c>
    </row>
    <row r="599" spans="1:14" ht="12.65" customHeight="1" x14ac:dyDescent="0.35">
      <c r="A599" s="300">
        <v>8690</v>
      </c>
      <c r="B599" s="304" t="s">
        <v>648</v>
      </c>
      <c r="C599" s="284">
        <f>BV28</f>
        <v>583790</v>
      </c>
      <c r="D599" s="284">
        <f>(D572/D569)*BV33</f>
        <v>21999.984881502256</v>
      </c>
      <c r="E599" s="284">
        <f>(E580/E569)*SUM(C599:D599)</f>
        <v>47273.065260814117</v>
      </c>
      <c r="F599" s="284">
        <f>(F581/F569)*BV21</f>
        <v>210.32736372566771</v>
      </c>
      <c r="G599" s="284">
        <f>(G582/G569)*BV34</f>
        <v>0</v>
      </c>
      <c r="H599" s="284">
        <f>(H585/H569)*BV17</f>
        <v>17393.077553908941</v>
      </c>
      <c r="I599" s="284">
        <f>(I586/I569)*BV35</f>
        <v>6992.2557306555218</v>
      </c>
      <c r="J599" s="284">
        <f>(J587/J569)*BV36</f>
        <v>0</v>
      </c>
      <c r="N599" s="303" t="s">
        <v>649</v>
      </c>
    </row>
    <row r="600" spans="1:14" ht="12.65" customHeight="1" x14ac:dyDescent="0.35">
      <c r="A600" s="300">
        <v>8700</v>
      </c>
      <c r="B600" s="304" t="s">
        <v>650</v>
      </c>
      <c r="C600" s="284">
        <f>BW28</f>
        <v>379766</v>
      </c>
      <c r="D600" s="284">
        <f>(D572/D569)*BW33</f>
        <v>3615.2279765194089</v>
      </c>
      <c r="E600" s="284">
        <f>(E580/E569)*SUM(C600:D600)</f>
        <v>29917.308410851641</v>
      </c>
      <c r="F600" s="284">
        <f>(F581/F569)*BW21</f>
        <v>135.92812564709325</v>
      </c>
      <c r="G600" s="284">
        <f>(G582/G569)*BW34</f>
        <v>0</v>
      </c>
      <c r="H600" s="284">
        <f>(H585/H569)*BW17</f>
        <v>5484.9539174152669</v>
      </c>
      <c r="I600" s="284">
        <f>(I586/I569)*BW35</f>
        <v>0</v>
      </c>
      <c r="J600" s="284">
        <f>(J587/J569)*BW36</f>
        <v>0</v>
      </c>
      <c r="N600" s="303" t="s">
        <v>651</v>
      </c>
    </row>
    <row r="601" spans="1:14" ht="12.65" customHeight="1" x14ac:dyDescent="0.35">
      <c r="A601" s="300">
        <v>8710</v>
      </c>
      <c r="B601" s="304" t="s">
        <v>652</v>
      </c>
      <c r="C601" s="284">
        <f>BX28</f>
        <v>98882</v>
      </c>
      <c r="D601" s="284">
        <f>(D572/D569)*BX33</f>
        <v>7671.3374135899649</v>
      </c>
      <c r="E601" s="284">
        <f>(E580/E569)*SUM(C601:D601)</f>
        <v>8314.9325657727513</v>
      </c>
      <c r="F601" s="284">
        <f>(F581/F569)*BX21</f>
        <v>82.724297516305612</v>
      </c>
      <c r="G601" s="284">
        <f>(G582/G569)*BX34</f>
        <v>0</v>
      </c>
      <c r="H601" s="284">
        <f>(H585/H569)*BX17</f>
        <v>577.36357025423865</v>
      </c>
      <c r="I601" s="284">
        <f>(I586/I569)*BX35</f>
        <v>0</v>
      </c>
      <c r="J601" s="284">
        <f>(J587/J569)*BX36</f>
        <v>0</v>
      </c>
      <c r="K601" s="284">
        <f>SUM(C588:J601)</f>
        <v>6418635.9722580705</v>
      </c>
      <c r="N601" s="303" t="s">
        <v>653</v>
      </c>
    </row>
    <row r="602" spans="1:14" ht="12.65" customHeight="1" x14ac:dyDescent="0.35">
      <c r="A602" s="300">
        <v>8720</v>
      </c>
      <c r="B602" s="304" t="s">
        <v>654</v>
      </c>
      <c r="C602" s="284">
        <f>BY28</f>
        <v>978174</v>
      </c>
      <c r="D602" s="284">
        <f>(D572/D569)*BY33</f>
        <v>4695.3875548697197</v>
      </c>
      <c r="E602" s="284">
        <f>(E580/E569)*SUM(C602:D602)</f>
        <v>76698.60819806451</v>
      </c>
      <c r="F602" s="284">
        <f>(F581/F569)*BY21</f>
        <v>110.33096013452906</v>
      </c>
      <c r="G602" s="284">
        <f>(G582/G569)*BY34</f>
        <v>0</v>
      </c>
      <c r="H602" s="284">
        <f>(H585/H569)*BY17</f>
        <v>22613.406501624348</v>
      </c>
      <c r="I602" s="284">
        <f>(I586/I569)*BY35</f>
        <v>3939.6664751081485</v>
      </c>
      <c r="J602" s="284">
        <f>(J587/J569)*BY36</f>
        <v>0</v>
      </c>
      <c r="K602" s="284">
        <v>0</v>
      </c>
      <c r="N602" s="303" t="s">
        <v>655</v>
      </c>
    </row>
    <row r="603" spans="1:14" ht="12.65" customHeight="1" x14ac:dyDescent="0.35">
      <c r="A603" s="300">
        <v>8730</v>
      </c>
      <c r="B603" s="304" t="s">
        <v>656</v>
      </c>
      <c r="C603" s="284">
        <f>BZ28</f>
        <v>0</v>
      </c>
      <c r="D603" s="284">
        <f>(D572/D569)*BZ33</f>
        <v>0</v>
      </c>
      <c r="E603" s="284">
        <f>(E580/E569)*SUM(C603:D603)</f>
        <v>0</v>
      </c>
      <c r="F603" s="284">
        <f>(F581/F569)*BZ21</f>
        <v>0</v>
      </c>
      <c r="G603" s="284">
        <f>(G582/G569)*BZ34</f>
        <v>0</v>
      </c>
      <c r="H603" s="284">
        <f>(H585/H569)*BZ17</f>
        <v>0</v>
      </c>
      <c r="I603" s="284">
        <f>(I586/I569)*BZ35</f>
        <v>0</v>
      </c>
      <c r="J603" s="284">
        <f>(J587/J569)*BZ36</f>
        <v>0</v>
      </c>
      <c r="K603" s="284">
        <v>0</v>
      </c>
      <c r="N603" s="303" t="s">
        <v>657</v>
      </c>
    </row>
    <row r="604" spans="1:14" ht="12.65" customHeight="1" x14ac:dyDescent="0.35">
      <c r="A604" s="300">
        <v>8740</v>
      </c>
      <c r="B604" s="304" t="s">
        <v>658</v>
      </c>
      <c r="C604" s="284">
        <f>CA28</f>
        <v>0</v>
      </c>
      <c r="D604" s="284">
        <f>(D572/D569)*CA33</f>
        <v>0</v>
      </c>
      <c r="E604" s="284">
        <f>(E580/E569)*SUM(C604:D604)</f>
        <v>0</v>
      </c>
      <c r="F604" s="284">
        <f>(F581/F569)*CA21</f>
        <v>0</v>
      </c>
      <c r="G604" s="284">
        <f>(G582/G569)*CA34</f>
        <v>0</v>
      </c>
      <c r="H604" s="284">
        <f>(H585/H569)*CA17</f>
        <v>0</v>
      </c>
      <c r="I604" s="284">
        <f>(I586/I569)*CA35</f>
        <v>0</v>
      </c>
      <c r="J604" s="284">
        <f>(J587/J569)*CA36</f>
        <v>0</v>
      </c>
      <c r="K604" s="284">
        <v>0</v>
      </c>
      <c r="L604" s="284">
        <f>SUM(C602:K604)</f>
        <v>1086231.3996898013</v>
      </c>
      <c r="N604" s="303" t="s">
        <v>659</v>
      </c>
    </row>
    <row r="605" spans="1:14" ht="12.65" customHeight="1" x14ac:dyDescent="0.35">
      <c r="A605" s="300"/>
      <c r="B605" s="300"/>
      <c r="C605" s="284">
        <f>SUM(C571:C604)</f>
        <v>15426806</v>
      </c>
      <c r="L605" s="342"/>
    </row>
    <row r="623" spans="3:13" ht="12.65" customHeight="1" x14ac:dyDescent="0.35">
      <c r="C623" s="285" t="s">
        <v>660</v>
      </c>
      <c r="M623" s="285" t="s">
        <v>661</v>
      </c>
    </row>
    <row r="624" spans="3:13" ht="12.65" customHeight="1" x14ac:dyDescent="0.35">
      <c r="C624" s="285" t="s">
        <v>590</v>
      </c>
      <c r="D624" s="285" t="s">
        <v>591</v>
      </c>
      <c r="E624" s="302" t="s">
        <v>592</v>
      </c>
      <c r="F624" s="285" t="s">
        <v>593</v>
      </c>
      <c r="G624" s="285" t="s">
        <v>594</v>
      </c>
      <c r="H624" s="285" t="s">
        <v>595</v>
      </c>
      <c r="I624" s="285" t="s">
        <v>596</v>
      </c>
      <c r="J624" s="285" t="s">
        <v>597</v>
      </c>
      <c r="K624" s="285" t="s">
        <v>598</v>
      </c>
      <c r="L624" s="302" t="s">
        <v>599</v>
      </c>
      <c r="M624" s="285" t="s">
        <v>662</v>
      </c>
    </row>
    <row r="625" spans="1:14" ht="12.65" customHeight="1" x14ac:dyDescent="0.35">
      <c r="A625" s="300">
        <v>6010</v>
      </c>
      <c r="B625" s="302" t="s">
        <v>283</v>
      </c>
      <c r="C625" s="284">
        <f>C28</f>
        <v>0</v>
      </c>
      <c r="D625" s="284">
        <f>(D572/D569)*C33</f>
        <v>0</v>
      </c>
      <c r="E625" s="284">
        <f>(E580/E569)*SUM(C625:D625)</f>
        <v>0</v>
      </c>
      <c r="F625" s="284">
        <f>(F581/F569)*C21</f>
        <v>0</v>
      </c>
      <c r="G625" s="284">
        <f>(G582/G569)*C34</f>
        <v>0</v>
      </c>
      <c r="H625" s="284">
        <f>(H585/H569)*C17</f>
        <v>0</v>
      </c>
      <c r="I625" s="284">
        <f>(I586/I569)*C35</f>
        <v>0</v>
      </c>
      <c r="J625" s="284">
        <f>(J587/J569)*C36</f>
        <v>0</v>
      </c>
      <c r="K625" s="284">
        <f>(K601/K569)*C32</f>
        <v>0</v>
      </c>
      <c r="L625" s="284">
        <f>(L604/L569)*C37</f>
        <v>0</v>
      </c>
      <c r="M625" s="284">
        <f t="shared" ref="M625:M670" si="20">ROUND(SUM(D625:L625),0)</f>
        <v>0</v>
      </c>
      <c r="N625" s="302" t="s">
        <v>663</v>
      </c>
    </row>
    <row r="626" spans="1:14" ht="12.65" customHeight="1" x14ac:dyDescent="0.35">
      <c r="A626" s="300">
        <v>6030</v>
      </c>
      <c r="B626" s="302" t="s">
        <v>284</v>
      </c>
      <c r="C626" s="284">
        <f>D28</f>
        <v>0</v>
      </c>
      <c r="D626" s="284">
        <f>(D572/D569)*D33</f>
        <v>0</v>
      </c>
      <c r="E626" s="284">
        <f>(E580/E569)*SUM(C626:D626)</f>
        <v>0</v>
      </c>
      <c r="F626" s="284">
        <f>(F581/F569)*D21</f>
        <v>0</v>
      </c>
      <c r="G626" s="284">
        <f>(G582/G569)*D34</f>
        <v>0</v>
      </c>
      <c r="H626" s="284">
        <f>(H585/H569)*D17</f>
        <v>0</v>
      </c>
      <c r="I626" s="284">
        <f>(I586/I569)*D35</f>
        <v>0</v>
      </c>
      <c r="J626" s="284">
        <f>(J587/J569)*D36</f>
        <v>0</v>
      </c>
      <c r="K626" s="284">
        <f>(K601/K569)*D32</f>
        <v>0</v>
      </c>
      <c r="L626" s="284">
        <f>(L604/L569)*D37</f>
        <v>0</v>
      </c>
      <c r="M626" s="284">
        <f t="shared" si="20"/>
        <v>0</v>
      </c>
      <c r="N626" s="302" t="s">
        <v>664</v>
      </c>
    </row>
    <row r="627" spans="1:14" ht="12.65" customHeight="1" x14ac:dyDescent="0.35">
      <c r="A627" s="300">
        <v>6070</v>
      </c>
      <c r="B627" s="302" t="s">
        <v>665</v>
      </c>
      <c r="C627" s="284">
        <f>E28</f>
        <v>1832919</v>
      </c>
      <c r="D627" s="284">
        <f>(D572/D569)*E33</f>
        <v>91813.564159776448</v>
      </c>
      <c r="E627" s="284">
        <f>(E580/E569)*SUM(C627:D627)</f>
        <v>150197.28022234843</v>
      </c>
      <c r="F627" s="284">
        <f>(F581/F569)*E21</f>
        <v>3010.6094256310089</v>
      </c>
      <c r="G627" s="284">
        <f>(G582/G569)*E34</f>
        <v>486166.22085635073</v>
      </c>
      <c r="H627" s="284">
        <f>(H585/H569)*E17</f>
        <v>46790.506006020587</v>
      </c>
      <c r="I627" s="284">
        <f>(I586/I569)*E35</f>
        <v>29169.186219674899</v>
      </c>
      <c r="J627" s="284">
        <f>(J587/J569)*E36</f>
        <v>44738.798642640693</v>
      </c>
      <c r="K627" s="284">
        <f>(K601/K569)*E32</f>
        <v>278351.05288996559</v>
      </c>
      <c r="L627" s="284">
        <f>(L604/L569)*E37</f>
        <v>114378.16777935173</v>
      </c>
      <c r="M627" s="284">
        <f t="shared" si="20"/>
        <v>1244615</v>
      </c>
      <c r="N627" s="302" t="s">
        <v>666</v>
      </c>
    </row>
    <row r="628" spans="1:14" ht="12.65" customHeight="1" x14ac:dyDescent="0.35">
      <c r="A628" s="300">
        <v>6100</v>
      </c>
      <c r="B628" s="302" t="s">
        <v>667</v>
      </c>
      <c r="C628" s="284">
        <f>F28</f>
        <v>0</v>
      </c>
      <c r="D628" s="284">
        <f>(D572/D569)*F33</f>
        <v>0</v>
      </c>
      <c r="E628" s="284">
        <f>(E580/E569)*SUM(C628:D628)</f>
        <v>0</v>
      </c>
      <c r="F628" s="284">
        <f>(F581/F569)*F21</f>
        <v>0</v>
      </c>
      <c r="G628" s="284">
        <f>(G582/G569)*F34</f>
        <v>0</v>
      </c>
      <c r="H628" s="284">
        <f>(H585/H569)*F17</f>
        <v>0</v>
      </c>
      <c r="I628" s="284">
        <f>(I586/I569)*F35</f>
        <v>0</v>
      </c>
      <c r="J628" s="284">
        <f>(J587/J569)*F36</f>
        <v>0</v>
      </c>
      <c r="K628" s="284">
        <f>(K601/K569)*F32</f>
        <v>0</v>
      </c>
      <c r="L628" s="284">
        <f>(L604/L569)*F37</f>
        <v>0</v>
      </c>
      <c r="M628" s="284">
        <f t="shared" si="20"/>
        <v>0</v>
      </c>
      <c r="N628" s="302" t="s">
        <v>668</v>
      </c>
    </row>
    <row r="629" spans="1:14" ht="12.65" customHeight="1" x14ac:dyDescent="0.35">
      <c r="A629" s="300">
        <v>6120</v>
      </c>
      <c r="B629" s="302" t="s">
        <v>669</v>
      </c>
      <c r="C629" s="284">
        <f>G28</f>
        <v>0</v>
      </c>
      <c r="D629" s="284">
        <f>(D572/D569)*G33</f>
        <v>0</v>
      </c>
      <c r="E629" s="284">
        <f>(E580/E569)*SUM(C629:D629)</f>
        <v>0</v>
      </c>
      <c r="F629" s="284">
        <f>(F581/F569)*G21</f>
        <v>0</v>
      </c>
      <c r="G629" s="284">
        <f>(G582/G569)*G34</f>
        <v>0</v>
      </c>
      <c r="H629" s="284">
        <f>(H585/H569)*G17</f>
        <v>0</v>
      </c>
      <c r="I629" s="284">
        <f>(I586/I569)*G35</f>
        <v>0</v>
      </c>
      <c r="J629" s="284">
        <f>(J587/J569)*G36</f>
        <v>0</v>
      </c>
      <c r="K629" s="284">
        <f>(K601/K569)*G32</f>
        <v>0</v>
      </c>
      <c r="L629" s="284">
        <f>(L604/L569)*G37</f>
        <v>0</v>
      </c>
      <c r="M629" s="284">
        <f t="shared" si="20"/>
        <v>0</v>
      </c>
      <c r="N629" s="302" t="s">
        <v>670</v>
      </c>
    </row>
    <row r="630" spans="1:14" ht="12.65" customHeight="1" x14ac:dyDescent="0.35">
      <c r="A630" s="300">
        <v>6140</v>
      </c>
      <c r="B630" s="302" t="s">
        <v>671</v>
      </c>
      <c r="C630" s="284">
        <f>H28</f>
        <v>0</v>
      </c>
      <c r="D630" s="284">
        <f>(D572/D569)*H33</f>
        <v>0</v>
      </c>
      <c r="E630" s="284">
        <f>(E580/E569)*SUM(C630:D630)</f>
        <v>0</v>
      </c>
      <c r="F630" s="284">
        <f>(F581/F569)*H21</f>
        <v>0</v>
      </c>
      <c r="G630" s="284">
        <f>(G582/G569)*H34</f>
        <v>0</v>
      </c>
      <c r="H630" s="284">
        <f>(H585/H569)*H17</f>
        <v>0</v>
      </c>
      <c r="I630" s="284">
        <f>(I586/I569)*H35</f>
        <v>0</v>
      </c>
      <c r="J630" s="284">
        <f>(J587/J569)*H36</f>
        <v>0</v>
      </c>
      <c r="K630" s="284">
        <f>(K601/K569)*H32</f>
        <v>0</v>
      </c>
      <c r="L630" s="284">
        <f>(L604/L569)*H37</f>
        <v>0</v>
      </c>
      <c r="M630" s="284">
        <f t="shared" si="20"/>
        <v>0</v>
      </c>
      <c r="N630" s="302" t="s">
        <v>672</v>
      </c>
    </row>
    <row r="631" spans="1:14" ht="12.65" customHeight="1" x14ac:dyDescent="0.35">
      <c r="A631" s="300">
        <v>6150</v>
      </c>
      <c r="B631" s="302" t="s">
        <v>673</v>
      </c>
      <c r="C631" s="284">
        <f>I28</f>
        <v>0</v>
      </c>
      <c r="D631" s="284">
        <f>(D572/D569)*I33</f>
        <v>0</v>
      </c>
      <c r="E631" s="284">
        <f>(E580/E569)*SUM(C631:D631)</f>
        <v>0</v>
      </c>
      <c r="F631" s="284">
        <f>(F581/F569)*I21</f>
        <v>0</v>
      </c>
      <c r="G631" s="284">
        <f>(G582/G569)*I34</f>
        <v>0</v>
      </c>
      <c r="H631" s="284">
        <f>(H585/H569)*I17</f>
        <v>0</v>
      </c>
      <c r="I631" s="284">
        <f>(I586/I569)*I35</f>
        <v>0</v>
      </c>
      <c r="J631" s="284">
        <f>(J587/J569)*I36</f>
        <v>0</v>
      </c>
      <c r="K631" s="284">
        <f>(K601/K569)*I32</f>
        <v>0</v>
      </c>
      <c r="L631" s="284">
        <f>(L604/L569)*I37</f>
        <v>0</v>
      </c>
      <c r="M631" s="284">
        <f t="shared" si="20"/>
        <v>0</v>
      </c>
      <c r="N631" s="302" t="s">
        <v>674</v>
      </c>
    </row>
    <row r="632" spans="1:14" ht="12.65" customHeight="1" x14ac:dyDescent="0.35">
      <c r="A632" s="300">
        <v>6170</v>
      </c>
      <c r="B632" s="302" t="s">
        <v>99</v>
      </c>
      <c r="C632" s="284">
        <f>J28</f>
        <v>654648</v>
      </c>
      <c r="D632" s="284">
        <f>(D572/D569)*J33</f>
        <v>32801.580665005371</v>
      </c>
      <c r="E632" s="284">
        <f>(E580/E569)*SUM(C632:D632)</f>
        <v>53645.404680390944</v>
      </c>
      <c r="F632" s="284">
        <f>(F581/F569)*J21</f>
        <v>1075.272332204426</v>
      </c>
      <c r="G632" s="284">
        <f>(G582/G569)*J34</f>
        <v>0</v>
      </c>
      <c r="H632" s="284">
        <f>(H585/H569)*J17</f>
        <v>16839.770799081962</v>
      </c>
      <c r="I632" s="284">
        <f>(I586/I569)*J35</f>
        <v>10410.112076610272</v>
      </c>
      <c r="J632" s="284">
        <f>(J587/J569)*J36</f>
        <v>15978.785485367142</v>
      </c>
      <c r="K632" s="284">
        <f>(K601/K569)*J32</f>
        <v>99414.630500576517</v>
      </c>
      <c r="L632" s="284">
        <f>(L604/L569)*J37</f>
        <v>36119.421404005807</v>
      </c>
      <c r="M632" s="284">
        <f t="shared" si="20"/>
        <v>266285</v>
      </c>
      <c r="N632" s="302" t="s">
        <v>675</v>
      </c>
    </row>
    <row r="633" spans="1:14" ht="12.65" customHeight="1" x14ac:dyDescent="0.35">
      <c r="A633" s="300">
        <v>6200</v>
      </c>
      <c r="B633" s="302" t="s">
        <v>288</v>
      </c>
      <c r="C633" s="284">
        <f>K28</f>
        <v>0</v>
      </c>
      <c r="D633" s="284">
        <f>(D572/D569)*K33</f>
        <v>0</v>
      </c>
      <c r="E633" s="284">
        <f>(E580/E569)*SUM(C633:D633)</f>
        <v>0</v>
      </c>
      <c r="F633" s="284">
        <f>(F581/F569)*K21</f>
        <v>0</v>
      </c>
      <c r="G633" s="284">
        <f>(G582/G569)*K34</f>
        <v>0</v>
      </c>
      <c r="H633" s="284">
        <f>(H585/H569)*K17</f>
        <v>0</v>
      </c>
      <c r="I633" s="284">
        <f>(I586/I569)*K35</f>
        <v>0</v>
      </c>
      <c r="J633" s="284">
        <f>(J587/J569)*K36</f>
        <v>0</v>
      </c>
      <c r="K633" s="284">
        <f>(K601/K569)*K32</f>
        <v>0</v>
      </c>
      <c r="L633" s="284">
        <f>(L604/L569)*K37</f>
        <v>0</v>
      </c>
      <c r="M633" s="284">
        <f t="shared" si="20"/>
        <v>0</v>
      </c>
      <c r="N633" s="302" t="s">
        <v>676</v>
      </c>
    </row>
    <row r="634" spans="1:14" ht="12.65" customHeight="1" x14ac:dyDescent="0.35">
      <c r="A634" s="300">
        <v>6210</v>
      </c>
      <c r="B634" s="302" t="s">
        <v>289</v>
      </c>
      <c r="C634" s="284">
        <f>L28</f>
        <v>1563711</v>
      </c>
      <c r="D634" s="284">
        <f>(D572/D569)*L33</f>
        <v>78322.591466911341</v>
      </c>
      <c r="E634" s="284">
        <f>(E580/E569)*SUM(C634:D634)</f>
        <v>128136.75212053598</v>
      </c>
      <c r="F634" s="284">
        <f>(F581/F569)*L21</f>
        <v>2568.4722172167926</v>
      </c>
      <c r="G634" s="284">
        <f>(G582/G569)*L34</f>
        <v>414712.04775744863</v>
      </c>
      <c r="H634" s="284">
        <f>(H585/H569)*L17</f>
        <v>39910.25679382425</v>
      </c>
      <c r="I634" s="284">
        <f>(I586/I569)*L35</f>
        <v>24890.343160617045</v>
      </c>
      <c r="J634" s="284">
        <f>(J587/J569)*L36</f>
        <v>38168.756280952264</v>
      </c>
      <c r="K634" s="284">
        <f>(K601/K569)*L32</f>
        <v>215350.94205057813</v>
      </c>
      <c r="L634" s="284">
        <f>(L604/L569)*L37</f>
        <v>97522.437790815675</v>
      </c>
      <c r="M634" s="284">
        <f t="shared" si="20"/>
        <v>1039583</v>
      </c>
      <c r="N634" s="302" t="s">
        <v>677</v>
      </c>
    </row>
    <row r="635" spans="1:14" ht="12.65" customHeight="1" x14ac:dyDescent="0.35">
      <c r="A635" s="300">
        <v>6330</v>
      </c>
      <c r="B635" s="302" t="s">
        <v>678</v>
      </c>
      <c r="C635" s="284">
        <f>M28</f>
        <v>0</v>
      </c>
      <c r="D635" s="284">
        <f>(D572/D569)*M33</f>
        <v>0</v>
      </c>
      <c r="E635" s="284">
        <f>(E580/E569)*SUM(C635:D635)</f>
        <v>0</v>
      </c>
      <c r="F635" s="284">
        <f>(F581/F569)*M21</f>
        <v>0</v>
      </c>
      <c r="G635" s="284">
        <f>(G582/G569)*M34</f>
        <v>0</v>
      </c>
      <c r="H635" s="284">
        <f>(H585/H569)*M17</f>
        <v>0</v>
      </c>
      <c r="I635" s="284">
        <f>(I586/I569)*M35</f>
        <v>0</v>
      </c>
      <c r="J635" s="284">
        <f>(J587/J569)*M36</f>
        <v>0</v>
      </c>
      <c r="K635" s="284">
        <f>(K601/K569)*M32</f>
        <v>0</v>
      </c>
      <c r="L635" s="284">
        <f>(L604/L569)*M37</f>
        <v>0</v>
      </c>
      <c r="M635" s="284">
        <f t="shared" si="20"/>
        <v>0</v>
      </c>
      <c r="N635" s="302" t="s">
        <v>679</v>
      </c>
    </row>
    <row r="636" spans="1:14" ht="12.65" customHeight="1" x14ac:dyDescent="0.35">
      <c r="A636" s="300">
        <v>6400</v>
      </c>
      <c r="B636" s="302" t="s">
        <v>680</v>
      </c>
      <c r="C636" s="284">
        <f>N28</f>
        <v>0</v>
      </c>
      <c r="D636" s="284">
        <f>(D572/D569)*N33</f>
        <v>0</v>
      </c>
      <c r="E636" s="284">
        <f>(E580/E569)*SUM(C636:D636)</f>
        <v>0</v>
      </c>
      <c r="F636" s="284">
        <f>(F581/F569)*N21</f>
        <v>0</v>
      </c>
      <c r="G636" s="284">
        <f>(G582/G569)*N34</f>
        <v>0</v>
      </c>
      <c r="H636" s="284">
        <f>(H585/H569)*N17</f>
        <v>0</v>
      </c>
      <c r="I636" s="284">
        <f>(I586/I569)*N35</f>
        <v>0</v>
      </c>
      <c r="J636" s="284">
        <f>(J587/J569)*N36</f>
        <v>0</v>
      </c>
      <c r="K636" s="284">
        <f>(K601/K569)*N32</f>
        <v>0</v>
      </c>
      <c r="L636" s="284">
        <f>(L604/L569)*N37</f>
        <v>0</v>
      </c>
      <c r="M636" s="284">
        <f t="shared" si="20"/>
        <v>0</v>
      </c>
      <c r="N636" s="302" t="s">
        <v>681</v>
      </c>
    </row>
    <row r="637" spans="1:14" ht="12.65" customHeight="1" x14ac:dyDescent="0.35">
      <c r="A637" s="300">
        <v>7010</v>
      </c>
      <c r="B637" s="302" t="s">
        <v>682</v>
      </c>
      <c r="C637" s="284">
        <f>O28</f>
        <v>2231297</v>
      </c>
      <c r="D637" s="284">
        <f>(D572/D569)*O33</f>
        <v>47989.946980992398</v>
      </c>
      <c r="E637" s="284">
        <f>(E580/E569)*SUM(C637:D637)</f>
        <v>177865.07417059864</v>
      </c>
      <c r="F637" s="284">
        <f>(F581/F569)*O21</f>
        <v>8359.6993402191911</v>
      </c>
      <c r="G637" s="284">
        <f>(G582/G569)*O34</f>
        <v>0</v>
      </c>
      <c r="H637" s="284">
        <f>(H585/H569)*O17</f>
        <v>54536.800573598295</v>
      </c>
      <c r="I637" s="284">
        <f>(I586/I569)*O35</f>
        <v>15262.946277736866</v>
      </c>
      <c r="J637" s="284">
        <f>(J587/J569)*O36</f>
        <v>23644.692391330933</v>
      </c>
      <c r="K637" s="284">
        <f>(K601/K569)*O32</f>
        <v>114314.84331591264</v>
      </c>
      <c r="L637" s="284">
        <f>(L604/L569)*O37</f>
        <v>245973.25976127957</v>
      </c>
      <c r="M637" s="284">
        <f t="shared" si="20"/>
        <v>687947</v>
      </c>
      <c r="N637" s="302" t="s">
        <v>683</v>
      </c>
    </row>
    <row r="638" spans="1:14" ht="12.65" customHeight="1" x14ac:dyDescent="0.35">
      <c r="A638" s="300">
        <v>7020</v>
      </c>
      <c r="B638" s="302" t="s">
        <v>684</v>
      </c>
      <c r="C638" s="284">
        <f>P28</f>
        <v>3961103</v>
      </c>
      <c r="D638" s="284">
        <f>(D572/D569)*P33</f>
        <v>153096.08717638595</v>
      </c>
      <c r="E638" s="284">
        <f>(E580/E569)*SUM(C638:D638)</f>
        <v>321053.18146207923</v>
      </c>
      <c r="F638" s="284">
        <f>(F581/F569)*P21</f>
        <v>79227.820397627715</v>
      </c>
      <c r="G638" s="284">
        <f>(G582/G569)*P34</f>
        <v>0</v>
      </c>
      <c r="H638" s="284">
        <f>(H585/H569)*P17</f>
        <v>70582.69646358068</v>
      </c>
      <c r="I638" s="284">
        <f>(I586/I569)*P35</f>
        <v>48658.794543554286</v>
      </c>
      <c r="J638" s="284">
        <f>(J587/J569)*P36</f>
        <v>19392.429265304709</v>
      </c>
      <c r="K638" s="284">
        <f>(K601/K569)*P32</f>
        <v>776348.09304418659</v>
      </c>
      <c r="L638" s="284">
        <f>(L604/L569)*P37</f>
        <v>216114.53806730142</v>
      </c>
      <c r="M638" s="284">
        <f t="shared" si="20"/>
        <v>1684474</v>
      </c>
      <c r="N638" s="302" t="s">
        <v>685</v>
      </c>
    </row>
    <row r="639" spans="1:14" ht="12.65" customHeight="1" x14ac:dyDescent="0.35">
      <c r="A639" s="300">
        <v>7030</v>
      </c>
      <c r="B639" s="302" t="s">
        <v>686</v>
      </c>
      <c r="C639" s="284">
        <f>Q28</f>
        <v>0</v>
      </c>
      <c r="D639" s="284">
        <f>(D572/D569)*Q33</f>
        <v>0</v>
      </c>
      <c r="E639" s="284">
        <f>(E580/E569)*SUM(C639:D639)</f>
        <v>0</v>
      </c>
      <c r="F639" s="284">
        <f>(F581/F569)*Q21</f>
        <v>0</v>
      </c>
      <c r="G639" s="284">
        <f>(G582/G569)*Q34</f>
        <v>0</v>
      </c>
      <c r="H639" s="284">
        <f>(H585/H569)*Q17</f>
        <v>0</v>
      </c>
      <c r="I639" s="284">
        <f>(I586/I569)*Q35</f>
        <v>0</v>
      </c>
      <c r="J639" s="284">
        <f>(J587/J569)*Q36</f>
        <v>0</v>
      </c>
      <c r="K639" s="284">
        <f>(K601/K569)*Q32</f>
        <v>0</v>
      </c>
      <c r="L639" s="284">
        <f>(L604/L569)*Q37</f>
        <v>0</v>
      </c>
      <c r="M639" s="284">
        <f t="shared" si="20"/>
        <v>0</v>
      </c>
      <c r="N639" s="302" t="s">
        <v>687</v>
      </c>
    </row>
    <row r="640" spans="1:14" ht="12.65" customHeight="1" x14ac:dyDescent="0.35">
      <c r="A640" s="300">
        <v>7040</v>
      </c>
      <c r="B640" s="302" t="s">
        <v>107</v>
      </c>
      <c r="C640" s="284">
        <f>R28</f>
        <v>981514</v>
      </c>
      <c r="D640" s="284">
        <f>(D572/D569)*R33</f>
        <v>3549.0957574367367</v>
      </c>
      <c r="E640" s="284">
        <f>(E580/E569)*SUM(C640:D640)</f>
        <v>76869.795100474948</v>
      </c>
      <c r="F640" s="284">
        <f>(F581/F569)*R21</f>
        <v>593.13656235375402</v>
      </c>
      <c r="G640" s="284">
        <f>(G582/G569)*R34</f>
        <v>0</v>
      </c>
      <c r="H640" s="284">
        <f>(H585/H569)*R17</f>
        <v>0</v>
      </c>
      <c r="I640" s="284">
        <f>(I586/I569)*R35</f>
        <v>1121.8917776798039</v>
      </c>
      <c r="J640" s="284">
        <f>(J587/J569)*R36</f>
        <v>0</v>
      </c>
      <c r="K640" s="284">
        <f>(K601/K569)*R32</f>
        <v>280963.32048802596</v>
      </c>
      <c r="L640" s="284">
        <f>(L604/L569)*R37</f>
        <v>0</v>
      </c>
      <c r="M640" s="284">
        <f t="shared" si="20"/>
        <v>363097</v>
      </c>
      <c r="N640" s="302" t="s">
        <v>688</v>
      </c>
    </row>
    <row r="641" spans="1:14" ht="12.65" customHeight="1" x14ac:dyDescent="0.35">
      <c r="A641" s="300">
        <v>7050</v>
      </c>
      <c r="B641" s="302" t="s">
        <v>689</v>
      </c>
      <c r="C641" s="284">
        <f>S28</f>
        <v>34153</v>
      </c>
      <c r="D641" s="284">
        <f>(D572/D569)*S33</f>
        <v>31743.465159682615</v>
      </c>
      <c r="E641" s="284">
        <f>(E580/E569)*SUM(C641:D641)</f>
        <v>5142.2571777246967</v>
      </c>
      <c r="F641" s="284">
        <f>(F581/F569)*S21</f>
        <v>-13.58802804779109</v>
      </c>
      <c r="G641" s="284">
        <f>(G582/G569)*S34</f>
        <v>0</v>
      </c>
      <c r="H641" s="284">
        <f>(H585/H569)*S17</f>
        <v>0</v>
      </c>
      <c r="I641" s="284">
        <f>(I586/I569)*S35</f>
        <v>10097.025999118234</v>
      </c>
      <c r="J641" s="284">
        <f>(J587/J569)*S36</f>
        <v>0</v>
      </c>
      <c r="K641" s="284">
        <f>(K601/K569)*S32</f>
        <v>205187.86162522851</v>
      </c>
      <c r="L641" s="284">
        <f>(L604/L569)*S37</f>
        <v>0</v>
      </c>
      <c r="M641" s="284">
        <f t="shared" si="20"/>
        <v>252157</v>
      </c>
      <c r="N641" s="302" t="s">
        <v>690</v>
      </c>
    </row>
    <row r="642" spans="1:14" ht="12.65" customHeight="1" x14ac:dyDescent="0.35">
      <c r="A642" s="300">
        <v>7060</v>
      </c>
      <c r="B642" s="302" t="s">
        <v>691</v>
      </c>
      <c r="C642" s="284">
        <f>T28</f>
        <v>0</v>
      </c>
      <c r="D642" s="284">
        <f>(D572/D569)*T33</f>
        <v>0</v>
      </c>
      <c r="E642" s="284">
        <f>(E580/E569)*SUM(C642:D642)</f>
        <v>0</v>
      </c>
      <c r="F642" s="284">
        <f>(F581/F569)*T21</f>
        <v>0</v>
      </c>
      <c r="G642" s="284">
        <f>(G582/G569)*T34</f>
        <v>0</v>
      </c>
      <c r="H642" s="284">
        <f>(H585/H569)*T17</f>
        <v>0</v>
      </c>
      <c r="I642" s="284">
        <f>(I586/I569)*T35</f>
        <v>0</v>
      </c>
      <c r="J642" s="284">
        <f>(J587/J569)*T36</f>
        <v>0</v>
      </c>
      <c r="K642" s="284">
        <f>(K601/K569)*T32</f>
        <v>0</v>
      </c>
      <c r="L642" s="284">
        <f>(L604/L569)*T37</f>
        <v>0</v>
      </c>
      <c r="M642" s="284">
        <f t="shared" si="20"/>
        <v>0</v>
      </c>
      <c r="N642" s="302" t="s">
        <v>692</v>
      </c>
    </row>
    <row r="643" spans="1:14" ht="12.65" customHeight="1" x14ac:dyDescent="0.35">
      <c r="A643" s="300">
        <v>7070</v>
      </c>
      <c r="B643" s="302" t="s">
        <v>109</v>
      </c>
      <c r="C643" s="284">
        <f>U28</f>
        <v>3021761</v>
      </c>
      <c r="D643" s="284">
        <f>(D572/D569)*U33</f>
        <v>29869.718952340238</v>
      </c>
      <c r="E643" s="284">
        <f>(E580/E569)*SUM(C643:D643)</f>
        <v>238135.23123390292</v>
      </c>
      <c r="F643" s="284">
        <f>(F581/F569)*U21</f>
        <v>45382.004182516583</v>
      </c>
      <c r="G643" s="284">
        <f>(G582/G569)*U34</f>
        <v>0</v>
      </c>
      <c r="H643" s="284">
        <f>(H585/H569)*U17</f>
        <v>72146.389466352572</v>
      </c>
      <c r="I643" s="284">
        <f>(I586/I569)*U35</f>
        <v>9496.944350591828</v>
      </c>
      <c r="J643" s="284">
        <f>(J587/J569)*U36</f>
        <v>374.29176336165489</v>
      </c>
      <c r="K643" s="284">
        <f>(K601/K569)*U32</f>
        <v>701491.59720296599</v>
      </c>
      <c r="L643" s="284">
        <f>(L604/L569)*U37</f>
        <v>0</v>
      </c>
      <c r="M643" s="284">
        <f t="shared" si="20"/>
        <v>1096896</v>
      </c>
      <c r="N643" s="302" t="s">
        <v>693</v>
      </c>
    </row>
    <row r="644" spans="1:14" ht="12.65" customHeight="1" x14ac:dyDescent="0.35">
      <c r="A644" s="300">
        <v>7110</v>
      </c>
      <c r="B644" s="302" t="s">
        <v>694</v>
      </c>
      <c r="C644" s="284">
        <f>V28</f>
        <v>0</v>
      </c>
      <c r="D644" s="284">
        <f>(D572/D569)*V33</f>
        <v>0</v>
      </c>
      <c r="E644" s="284">
        <f>(E580/E569)*SUM(C644:D644)</f>
        <v>0</v>
      </c>
      <c r="F644" s="284">
        <f>(F581/F569)*V21</f>
        <v>0</v>
      </c>
      <c r="G644" s="284">
        <f>(G582/G569)*V34</f>
        <v>0</v>
      </c>
      <c r="H644" s="284">
        <f>(H585/H569)*V17</f>
        <v>0</v>
      </c>
      <c r="I644" s="284">
        <f>(I586/I569)*V35</f>
        <v>0</v>
      </c>
      <c r="J644" s="284">
        <f>(J587/J569)*V36</f>
        <v>0</v>
      </c>
      <c r="K644" s="284">
        <f>(K601/K569)*V32</f>
        <v>0</v>
      </c>
      <c r="L644" s="284">
        <f>(L604/L569)*V37</f>
        <v>0</v>
      </c>
      <c r="M644" s="284">
        <f t="shared" si="20"/>
        <v>0</v>
      </c>
      <c r="N644" s="302" t="s">
        <v>695</v>
      </c>
    </row>
    <row r="645" spans="1:14" ht="12.65" customHeight="1" x14ac:dyDescent="0.35">
      <c r="A645" s="300">
        <v>7120</v>
      </c>
      <c r="B645" s="302" t="s">
        <v>696</v>
      </c>
      <c r="C645" s="284">
        <f>W28</f>
        <v>0</v>
      </c>
      <c r="D645" s="284">
        <f>(D572/D569)*W33</f>
        <v>0</v>
      </c>
      <c r="E645" s="284">
        <f>(E580/E569)*SUM(C645:D645)</f>
        <v>0</v>
      </c>
      <c r="F645" s="284">
        <f>(F581/F569)*W21</f>
        <v>0</v>
      </c>
      <c r="G645" s="284">
        <f>(G582/G569)*W34</f>
        <v>0</v>
      </c>
      <c r="H645" s="284">
        <f>(H585/H569)*W17</f>
        <v>0</v>
      </c>
      <c r="I645" s="284">
        <f>(I586/I569)*W35</f>
        <v>0</v>
      </c>
      <c r="J645" s="284">
        <f>(J587/J569)*W36</f>
        <v>0</v>
      </c>
      <c r="K645" s="284">
        <f>(K601/K569)*W32</f>
        <v>0</v>
      </c>
      <c r="L645" s="284">
        <f>(L604/L569)*W37</f>
        <v>0</v>
      </c>
      <c r="M645" s="284">
        <f t="shared" si="20"/>
        <v>0</v>
      </c>
      <c r="N645" s="302" t="s">
        <v>697</v>
      </c>
    </row>
    <row r="646" spans="1:14" ht="12.65" customHeight="1" x14ac:dyDescent="0.35">
      <c r="A646" s="300">
        <v>7130</v>
      </c>
      <c r="B646" s="302" t="s">
        <v>698</v>
      </c>
      <c r="C646" s="284">
        <f>X28</f>
        <v>2530867</v>
      </c>
      <c r="D646" s="284">
        <f>(D572/D569)*X33</f>
        <v>67013.982003774407</v>
      </c>
      <c r="E646" s="284">
        <f>(E580/E569)*SUM(C646:D646)</f>
        <v>202726.68790672556</v>
      </c>
      <c r="F646" s="284">
        <f>(F581/F569)*X21</f>
        <v>3930.6241838386668</v>
      </c>
      <c r="G646" s="284">
        <f>(G582/G569)*X34</f>
        <v>0</v>
      </c>
      <c r="H646" s="284">
        <f>(H585/H569)*X17</f>
        <v>36830.984419134977</v>
      </c>
      <c r="I646" s="284">
        <f>(I586/I569)*X35</f>
        <v>22203.020995477047</v>
      </c>
      <c r="J646" s="284">
        <f>(J587/J569)*X36</f>
        <v>11278.915714496054</v>
      </c>
      <c r="K646" s="284">
        <f>(K601/K569)*X32</f>
        <v>769093.79714465595</v>
      </c>
      <c r="L646" s="284">
        <f>(L604/L569)*X37</f>
        <v>0</v>
      </c>
      <c r="M646" s="284">
        <f t="shared" si="20"/>
        <v>1113078</v>
      </c>
      <c r="N646" s="302" t="s">
        <v>699</v>
      </c>
    </row>
    <row r="647" spans="1:14" ht="12.65" customHeight="1" x14ac:dyDescent="0.35">
      <c r="A647" s="300">
        <v>7140</v>
      </c>
      <c r="B647" s="302" t="s">
        <v>987</v>
      </c>
      <c r="C647" s="284">
        <f>Y28</f>
        <v>1571334</v>
      </c>
      <c r="D647" s="284">
        <f>(D572/D569)*Y33</f>
        <v>41597.16580300076</v>
      </c>
      <c r="E647" s="284">
        <f>(E580/E569)*SUM(C647:D647)</f>
        <v>125865.73262204237</v>
      </c>
      <c r="F647" s="284">
        <f>(F581/F569)*Y21</f>
        <v>2440.390699315607</v>
      </c>
      <c r="G647" s="284">
        <f>(G582/G569)*Y34</f>
        <v>0</v>
      </c>
      <c r="H647" s="284">
        <f>(H585/H569)*Y17</f>
        <v>22878.031471324208</v>
      </c>
      <c r="I647" s="284">
        <f>(I586/I569)*Y35</f>
        <v>13775.787409649685</v>
      </c>
      <c r="J647" s="284">
        <f>(J587/J569)*Y36</f>
        <v>7002.2142946420927</v>
      </c>
      <c r="K647" s="284">
        <f>(K601/K569)*Y32</f>
        <v>477508.41170147707</v>
      </c>
      <c r="L647" s="284">
        <f>(L604/L569)*Y37</f>
        <v>0</v>
      </c>
      <c r="M647" s="284">
        <f t="shared" si="20"/>
        <v>691068</v>
      </c>
      <c r="N647" s="302" t="s">
        <v>700</v>
      </c>
    </row>
    <row r="648" spans="1:14" ht="12.65" customHeight="1" x14ac:dyDescent="0.35">
      <c r="A648" s="300">
        <v>7150</v>
      </c>
      <c r="B648" s="302" t="s">
        <v>701</v>
      </c>
      <c r="C648" s="284">
        <f>Z28</f>
        <v>0</v>
      </c>
      <c r="D648" s="284">
        <f>(D572/D569)*Z33</f>
        <v>0</v>
      </c>
      <c r="E648" s="284">
        <f>(E580/E569)*SUM(C648:D648)</f>
        <v>0</v>
      </c>
      <c r="F648" s="284">
        <f>(F581/F569)*Z21</f>
        <v>0</v>
      </c>
      <c r="G648" s="284">
        <f>(G582/G569)*Z34</f>
        <v>0</v>
      </c>
      <c r="H648" s="284">
        <f>(H585/H569)*Z17</f>
        <v>0</v>
      </c>
      <c r="I648" s="284">
        <f>(I586/I569)*Z35</f>
        <v>0</v>
      </c>
      <c r="J648" s="284">
        <f>(J587/J569)*Z36</f>
        <v>0</v>
      </c>
      <c r="K648" s="284">
        <f>(K601/K569)*Z32</f>
        <v>0</v>
      </c>
      <c r="L648" s="284">
        <f>(L604/L569)*Z37</f>
        <v>0</v>
      </c>
      <c r="M648" s="284">
        <f t="shared" si="20"/>
        <v>0</v>
      </c>
      <c r="N648" s="302" t="s">
        <v>702</v>
      </c>
    </row>
    <row r="649" spans="1:14" ht="12.65" customHeight="1" x14ac:dyDescent="0.35">
      <c r="A649" s="300">
        <v>7160</v>
      </c>
      <c r="B649" s="302" t="s">
        <v>703</v>
      </c>
      <c r="C649" s="284">
        <f>AA28</f>
        <v>0</v>
      </c>
      <c r="D649" s="284">
        <f>(D572/D569)*AA33</f>
        <v>0</v>
      </c>
      <c r="E649" s="284">
        <f>(E580/E569)*SUM(C649:D649)</f>
        <v>0</v>
      </c>
      <c r="F649" s="284">
        <f>(F581/F569)*AA21</f>
        <v>0</v>
      </c>
      <c r="G649" s="284">
        <f>(G582/G569)*AA34</f>
        <v>0</v>
      </c>
      <c r="H649" s="284">
        <f>(H585/H569)*AA17</f>
        <v>0</v>
      </c>
      <c r="I649" s="284">
        <f>(I586/I569)*AA35</f>
        <v>0</v>
      </c>
      <c r="J649" s="284">
        <f>(J587/J569)*AA36</f>
        <v>0</v>
      </c>
      <c r="K649" s="284">
        <f>(K601/K569)*AA32</f>
        <v>0</v>
      </c>
      <c r="L649" s="284">
        <f>(L604/L569)*AA37</f>
        <v>0</v>
      </c>
      <c r="M649" s="284">
        <f t="shared" si="20"/>
        <v>0</v>
      </c>
      <c r="N649" s="302" t="s">
        <v>704</v>
      </c>
    </row>
    <row r="650" spans="1:14" ht="12.65" customHeight="1" x14ac:dyDescent="0.35">
      <c r="A650" s="300">
        <v>7170</v>
      </c>
      <c r="B650" s="302" t="s">
        <v>115</v>
      </c>
      <c r="C650" s="284">
        <f>AB28</f>
        <v>1447298</v>
      </c>
      <c r="D650" s="284">
        <f>(D572/D569)*AB33</f>
        <v>8751.4969919402756</v>
      </c>
      <c r="E650" s="284">
        <f>(E580/E569)*SUM(C650:D650)</f>
        <v>113623.40846182805</v>
      </c>
      <c r="F650" s="284">
        <f>(F581/F569)*AB21</f>
        <v>47922.247749915783</v>
      </c>
      <c r="G650" s="284">
        <f>(G582/G569)*AB34</f>
        <v>0</v>
      </c>
      <c r="H650" s="284">
        <f>(H585/H569)*AB17</f>
        <v>5773.6357025423868</v>
      </c>
      <c r="I650" s="284">
        <f>(I586/I569)*AB35</f>
        <v>2791.6841909706745</v>
      </c>
      <c r="J650" s="284">
        <f>(J587/J569)*AB36</f>
        <v>0</v>
      </c>
      <c r="K650" s="284">
        <f>(K601/K569)*AB32</f>
        <v>242882.06214301247</v>
      </c>
      <c r="L650" s="284">
        <f>(L604/L569)*AB37</f>
        <v>0</v>
      </c>
      <c r="M650" s="284">
        <f t="shared" si="20"/>
        <v>421745</v>
      </c>
      <c r="N650" s="302" t="s">
        <v>705</v>
      </c>
    </row>
    <row r="651" spans="1:14" ht="12.65" customHeight="1" x14ac:dyDescent="0.35">
      <c r="A651" s="300">
        <v>7180</v>
      </c>
      <c r="B651" s="302" t="s">
        <v>706</v>
      </c>
      <c r="C651" s="284">
        <f>AC28</f>
        <v>848140</v>
      </c>
      <c r="D651" s="284">
        <f>(D572/D569)*AC33</f>
        <v>16951.892158191618</v>
      </c>
      <c r="E651" s="284">
        <f>(E580/E569)*SUM(C651:D651)</f>
        <v>67507.793947096841</v>
      </c>
      <c r="F651" s="284">
        <f>(F581/F569)*AC21</f>
        <v>3127.4473287743394</v>
      </c>
      <c r="G651" s="284">
        <f>(G582/G569)*AC34</f>
        <v>0</v>
      </c>
      <c r="H651" s="284">
        <f>(H585/H569)*AC17</f>
        <v>38851.756915024809</v>
      </c>
      <c r="I651" s="284">
        <f>(I586/I569)*AC35</f>
        <v>5374.6443302799908</v>
      </c>
      <c r="J651" s="284">
        <f>(J587/J569)*AC36</f>
        <v>583.94659988381898</v>
      </c>
      <c r="K651" s="284">
        <f>(K601/K569)*AC32</f>
        <v>143728.12075917626</v>
      </c>
      <c r="L651" s="284">
        <f>(L604/L569)*AC37</f>
        <v>0</v>
      </c>
      <c r="M651" s="284">
        <f t="shared" si="20"/>
        <v>276126</v>
      </c>
      <c r="N651" s="302" t="s">
        <v>707</v>
      </c>
    </row>
    <row r="652" spans="1:14" ht="12.65" customHeight="1" x14ac:dyDescent="0.35">
      <c r="A652" s="300">
        <v>7190</v>
      </c>
      <c r="B652" s="302" t="s">
        <v>117</v>
      </c>
      <c r="C652" s="284">
        <f>AD28</f>
        <v>0</v>
      </c>
      <c r="D652" s="284">
        <f>(D572/D569)*AD33</f>
        <v>0</v>
      </c>
      <c r="E652" s="284">
        <f>(E580/E569)*SUM(C652:D652)</f>
        <v>0</v>
      </c>
      <c r="F652" s="284">
        <f>(F581/F569)*AD21</f>
        <v>0</v>
      </c>
      <c r="G652" s="284">
        <f>(G582/G569)*AD34</f>
        <v>0</v>
      </c>
      <c r="H652" s="284">
        <f>(H585/H569)*AD17</f>
        <v>0</v>
      </c>
      <c r="I652" s="284">
        <f>(I586/I569)*AD35</f>
        <v>0</v>
      </c>
      <c r="J652" s="284">
        <f>(J587/J569)*AD36</f>
        <v>0</v>
      </c>
      <c r="K652" s="284">
        <f>(K601/K569)*AD32</f>
        <v>0</v>
      </c>
      <c r="L652" s="284">
        <f>(L604/L569)*AD37</f>
        <v>0</v>
      </c>
      <c r="M652" s="284">
        <f t="shared" si="20"/>
        <v>0</v>
      </c>
      <c r="N652" s="302" t="s">
        <v>708</v>
      </c>
    </row>
    <row r="653" spans="1:14" ht="12.65" customHeight="1" x14ac:dyDescent="0.35">
      <c r="A653" s="300">
        <v>7200</v>
      </c>
      <c r="B653" s="302" t="s">
        <v>709</v>
      </c>
      <c r="C653" s="284">
        <f>AE28</f>
        <v>1849142</v>
      </c>
      <c r="D653" s="284">
        <f>(D572/D569)*AE33</f>
        <v>68623.199334786099</v>
      </c>
      <c r="E653" s="284">
        <f>(E580/E569)*SUM(C653:D653)</f>
        <v>149653.57910432466</v>
      </c>
      <c r="F653" s="284">
        <f>(F581/F569)*AE21</f>
        <v>1743.7171908512194</v>
      </c>
      <c r="G653" s="284">
        <f>(G582/G569)*AE34</f>
        <v>0</v>
      </c>
      <c r="H653" s="284">
        <f>(H585/H569)*AE17</f>
        <v>0</v>
      </c>
      <c r="I653" s="284">
        <f>(I586/I569)*AE35</f>
        <v>21811.663398612</v>
      </c>
      <c r="J653" s="284">
        <f>(J587/J569)*AE36</f>
        <v>25379.811253100252</v>
      </c>
      <c r="K653" s="284">
        <f>(K601/K569)*AE32</f>
        <v>293829.66121180251</v>
      </c>
      <c r="L653" s="284">
        <f>(L604/L569)*AE37</f>
        <v>0</v>
      </c>
      <c r="M653" s="284">
        <f t="shared" si="20"/>
        <v>561042</v>
      </c>
      <c r="N653" s="302" t="s">
        <v>710</v>
      </c>
    </row>
    <row r="654" spans="1:14" ht="12.65" customHeight="1" x14ac:dyDescent="0.35">
      <c r="A654" s="300">
        <v>7220</v>
      </c>
      <c r="B654" s="302" t="s">
        <v>711</v>
      </c>
      <c r="C654" s="284">
        <f>AF28</f>
        <v>0</v>
      </c>
      <c r="D654" s="284">
        <f>(D572/D569)*AF33</f>
        <v>0</v>
      </c>
      <c r="E654" s="284">
        <f>(E580/E569)*SUM(C654:D654)</f>
        <v>0</v>
      </c>
      <c r="F654" s="284">
        <f>(F581/F569)*AF21</f>
        <v>0</v>
      </c>
      <c r="G654" s="284">
        <f>(G582/G569)*AF34</f>
        <v>0</v>
      </c>
      <c r="H654" s="284">
        <f>(H585/H569)*AF17</f>
        <v>0</v>
      </c>
      <c r="I654" s="284">
        <f>(I586/I569)*AF35</f>
        <v>0</v>
      </c>
      <c r="J654" s="284">
        <f>(J587/J569)*AF36</f>
        <v>0</v>
      </c>
      <c r="K654" s="284">
        <f>(K601/K569)*AF32</f>
        <v>0</v>
      </c>
      <c r="L654" s="284">
        <f>(L604/L569)*AF37</f>
        <v>0</v>
      </c>
      <c r="M654" s="284">
        <f t="shared" si="20"/>
        <v>0</v>
      </c>
      <c r="N654" s="302" t="s">
        <v>712</v>
      </c>
    </row>
    <row r="655" spans="1:14" ht="12.65" customHeight="1" x14ac:dyDescent="0.35">
      <c r="A655" s="300">
        <v>7230</v>
      </c>
      <c r="B655" s="302" t="s">
        <v>713</v>
      </c>
      <c r="C655" s="284">
        <f>AG28</f>
        <v>4572986</v>
      </c>
      <c r="D655" s="284">
        <f>(D572/D569)*AG33</f>
        <v>68402.758604510527</v>
      </c>
      <c r="E655" s="284">
        <f>(E580/E569)*SUM(C655:D655)</f>
        <v>362192.63963110762</v>
      </c>
      <c r="F655" s="284">
        <f>(F581/F569)*AG21</f>
        <v>5767.9265256105882</v>
      </c>
      <c r="G655" s="284">
        <f>(G582/G569)*AG34</f>
        <v>0</v>
      </c>
      <c r="H655" s="284">
        <f>(H585/H569)*AG17</f>
        <v>86219.626491299641</v>
      </c>
      <c r="I655" s="284">
        <f>(I586/I569)*AG35</f>
        <v>21733.391879238992</v>
      </c>
      <c r="J655" s="284">
        <f>(J587/J569)*AG36</f>
        <v>36855.519544209135</v>
      </c>
      <c r="K655" s="284">
        <f>(K601/K569)*AG32</f>
        <v>846924.13684065675</v>
      </c>
      <c r="L655" s="284">
        <f>(L604/L569)*AG37</f>
        <v>255003.115112281</v>
      </c>
      <c r="M655" s="284">
        <f t="shared" si="20"/>
        <v>1683099</v>
      </c>
      <c r="N655" s="302" t="s">
        <v>714</v>
      </c>
    </row>
    <row r="656" spans="1:14" ht="12.65" customHeight="1" x14ac:dyDescent="0.35">
      <c r="A656" s="300">
        <v>7240</v>
      </c>
      <c r="B656" s="302" t="s">
        <v>119</v>
      </c>
      <c r="C656" s="284">
        <f>AH28</f>
        <v>1482987</v>
      </c>
      <c r="D656" s="284">
        <f>(D572/D569)*AH33</f>
        <v>29340.66119967886</v>
      </c>
      <c r="E656" s="284">
        <f>(E580/E569)*SUM(C656:D656)</f>
        <v>118015.09765403489</v>
      </c>
      <c r="F656" s="284">
        <f>(F581/F569)*AH21</f>
        <v>2211.1644937629057</v>
      </c>
      <c r="G656" s="284">
        <f>(G582/G569)*AH34</f>
        <v>0</v>
      </c>
      <c r="H656" s="284">
        <f>(H585/H569)*AH17</f>
        <v>59877.413598450003</v>
      </c>
      <c r="I656" s="284">
        <f>(I586/I569)*AH35</f>
        <v>9314.3108053881388</v>
      </c>
      <c r="J656" s="284">
        <f>(J587/J569)*AH36</f>
        <v>3193.6991354879347</v>
      </c>
      <c r="K656" s="284">
        <f>(K601/K569)*AH32</f>
        <v>138391.49376086614</v>
      </c>
      <c r="L656" s="284">
        <f>(L604/L569)*AH37</f>
        <v>0</v>
      </c>
      <c r="M656" s="284">
        <f t="shared" si="20"/>
        <v>360344</v>
      </c>
      <c r="N656" s="302" t="s">
        <v>715</v>
      </c>
    </row>
    <row r="657" spans="1:14" ht="12.65" customHeight="1" x14ac:dyDescent="0.35">
      <c r="A657" s="300">
        <v>7250</v>
      </c>
      <c r="B657" s="302" t="s">
        <v>716</v>
      </c>
      <c r="C657" s="284">
        <f>AI28</f>
        <v>269616</v>
      </c>
      <c r="D657" s="284">
        <f>(D572/D569)*AI33</f>
        <v>14130.250810664274</v>
      </c>
      <c r="E657" s="284">
        <f>(E580/E569)*SUM(C657:D657)</f>
        <v>22142.252871195404</v>
      </c>
      <c r="F657" s="284">
        <f>(F581/F569)*AI21</f>
        <v>1107.0415245415149</v>
      </c>
      <c r="G657" s="284">
        <f>(G582/G569)*AI34</f>
        <v>0</v>
      </c>
      <c r="H657" s="284">
        <f>(H585/H569)*AI17</f>
        <v>3007.1019284074928</v>
      </c>
      <c r="I657" s="284">
        <f>(I586/I569)*AI35</f>
        <v>4487.5671107192156</v>
      </c>
      <c r="J657" s="284">
        <f>(J587/J569)*AI36</f>
        <v>1588.4890988028994</v>
      </c>
      <c r="K657" s="284">
        <f>(K601/K569)*AI32</f>
        <v>48406.1286710645</v>
      </c>
      <c r="L657" s="284">
        <f>(L604/L569)*AI37</f>
        <v>15049.758918335754</v>
      </c>
      <c r="M657" s="284">
        <f t="shared" si="20"/>
        <v>109919</v>
      </c>
      <c r="N657" s="302" t="s">
        <v>717</v>
      </c>
    </row>
    <row r="658" spans="1:14" ht="12.65" customHeight="1" x14ac:dyDescent="0.35">
      <c r="A658" s="300">
        <v>7260</v>
      </c>
      <c r="B658" s="302" t="s">
        <v>121</v>
      </c>
      <c r="C658" s="284">
        <f>AJ28</f>
        <v>11608020</v>
      </c>
      <c r="D658" s="284">
        <f>(D572/D569)*AJ33</f>
        <v>440683.06389389938</v>
      </c>
      <c r="E658" s="284">
        <f>(E580/E569)*SUM(C658:D658)</f>
        <v>940225.39240070456</v>
      </c>
      <c r="F658" s="284">
        <f>(F581/F569)*AJ21</f>
        <v>11323.564035559031</v>
      </c>
      <c r="G658" s="284">
        <f>(G582/G569)*AJ34</f>
        <v>0</v>
      </c>
      <c r="H658" s="284">
        <f>(H585/H569)*AJ17</f>
        <v>118600.10005639151</v>
      </c>
      <c r="I658" s="284">
        <f>(I586/I569)*AJ35</f>
        <v>257435.02721782849</v>
      </c>
      <c r="J658" s="284">
        <f>(J587/J569)*AJ36</f>
        <v>1104.8681262118953</v>
      </c>
      <c r="K658" s="284">
        <f>(K601/K569)*AJ32</f>
        <v>453107.54893386702</v>
      </c>
      <c r="L658" s="284">
        <f>(L604/L569)*AJ37</f>
        <v>39851.761615753079</v>
      </c>
      <c r="M658" s="284">
        <f t="shared" si="20"/>
        <v>2262331</v>
      </c>
      <c r="N658" s="302" t="s">
        <v>718</v>
      </c>
    </row>
    <row r="659" spans="1:14" ht="12.65" customHeight="1" x14ac:dyDescent="0.35">
      <c r="A659" s="300">
        <v>7310</v>
      </c>
      <c r="B659" s="302" t="s">
        <v>719</v>
      </c>
      <c r="C659" s="284">
        <f>AK28</f>
        <v>376824</v>
      </c>
      <c r="D659" s="284">
        <f>(D572/D569)*AK33</f>
        <v>16577.142916723144</v>
      </c>
      <c r="E659" s="284">
        <f>(E580/E569)*SUM(C659:D659)</f>
        <v>30699.216505566535</v>
      </c>
      <c r="F659" s="284">
        <f>(F581/F569)*AK21</f>
        <v>250.46946066967027</v>
      </c>
      <c r="G659" s="284">
        <f>(G582/G569)*AK34</f>
        <v>0</v>
      </c>
      <c r="H659" s="284">
        <f>(H585/H569)*AK17</f>
        <v>0</v>
      </c>
      <c r="I659" s="284">
        <f>(I586/I569)*AK35</f>
        <v>5270.2823044493107</v>
      </c>
      <c r="J659" s="284">
        <f>(J587/J569)*AK36</f>
        <v>3198.8440394516688</v>
      </c>
      <c r="K659" s="284">
        <f>(K601/K569)*AK32</f>
        <v>47139.911481157375</v>
      </c>
      <c r="L659" s="284">
        <f>(L604/L569)*AK37</f>
        <v>0</v>
      </c>
      <c r="M659" s="284">
        <f t="shared" si="20"/>
        <v>103136</v>
      </c>
      <c r="N659" s="302" t="s">
        <v>720</v>
      </c>
    </row>
    <row r="660" spans="1:14" ht="12.65" customHeight="1" x14ac:dyDescent="0.35">
      <c r="A660" s="300">
        <v>7320</v>
      </c>
      <c r="B660" s="302" t="s">
        <v>721</v>
      </c>
      <c r="C660" s="284">
        <f>AL28</f>
        <v>307982</v>
      </c>
      <c r="D660" s="284">
        <f>(D572/D569)*AL33</f>
        <v>9589.1717669874561</v>
      </c>
      <c r="E660" s="284">
        <f>(E580/E569)*SUM(C660:D660)</f>
        <v>24781.794190325872</v>
      </c>
      <c r="F660" s="284">
        <f>(F581/F569)*AL21</f>
        <v>224.34599829610008</v>
      </c>
      <c r="G660" s="284">
        <f>(G582/G569)*AL34</f>
        <v>0</v>
      </c>
      <c r="H660" s="284">
        <f>(H585/H569)*AL17</f>
        <v>0</v>
      </c>
      <c r="I660" s="284">
        <f>(I586/I569)*AL35</f>
        <v>3052.5892555473733</v>
      </c>
      <c r="J660" s="284">
        <f>(J587/J569)*AL36</f>
        <v>3120.384254004724</v>
      </c>
      <c r="K660" s="284">
        <f>(K601/K569)*AL32</f>
        <v>45300.087874242439</v>
      </c>
      <c r="L660" s="284">
        <f>(L604/L569)*AL37</f>
        <v>0</v>
      </c>
      <c r="M660" s="284">
        <f t="shared" si="20"/>
        <v>86068</v>
      </c>
      <c r="N660" s="302" t="s">
        <v>722</v>
      </c>
    </row>
    <row r="661" spans="1:14" ht="12.65" customHeight="1" x14ac:dyDescent="0.35">
      <c r="A661" s="300">
        <v>7330</v>
      </c>
      <c r="B661" s="302" t="s">
        <v>723</v>
      </c>
      <c r="C661" s="284">
        <f>AM28</f>
        <v>0</v>
      </c>
      <c r="D661" s="284">
        <f>(D572/D569)*AM33</f>
        <v>0</v>
      </c>
      <c r="E661" s="284">
        <f>(E580/E569)*SUM(C661:D661)</f>
        <v>0</v>
      </c>
      <c r="F661" s="284">
        <f>(F581/F569)*AM21</f>
        <v>0</v>
      </c>
      <c r="G661" s="284">
        <f>(G582/G569)*AM34</f>
        <v>0</v>
      </c>
      <c r="H661" s="284">
        <f>(H585/H569)*AM17</f>
        <v>0</v>
      </c>
      <c r="I661" s="284">
        <f>(I586/I569)*AM35</f>
        <v>0</v>
      </c>
      <c r="J661" s="284">
        <f>(J587/J569)*AM36</f>
        <v>0</v>
      </c>
      <c r="K661" s="284">
        <f>(K601/K569)*AM32</f>
        <v>0</v>
      </c>
      <c r="L661" s="284">
        <f>(L604/L569)*AM37</f>
        <v>0</v>
      </c>
      <c r="M661" s="284">
        <f t="shared" si="20"/>
        <v>0</v>
      </c>
      <c r="N661" s="302" t="s">
        <v>724</v>
      </c>
    </row>
    <row r="662" spans="1:14" ht="12.65" customHeight="1" x14ac:dyDescent="0.35">
      <c r="A662" s="300">
        <v>7340</v>
      </c>
      <c r="B662" s="302" t="s">
        <v>725</v>
      </c>
      <c r="C662" s="284">
        <f>AN28</f>
        <v>0</v>
      </c>
      <c r="D662" s="284">
        <f>(D572/D569)*AN33</f>
        <v>0</v>
      </c>
      <c r="E662" s="284">
        <f>(E580/E569)*SUM(C662:D662)</f>
        <v>0</v>
      </c>
      <c r="F662" s="284">
        <f>(F581/F569)*AN21</f>
        <v>0</v>
      </c>
      <c r="G662" s="284">
        <f>(G582/G569)*AN34</f>
        <v>0</v>
      </c>
      <c r="H662" s="284">
        <f>(H585/H569)*AN17</f>
        <v>0</v>
      </c>
      <c r="I662" s="284">
        <f>(I586/I569)*AN35</f>
        <v>0</v>
      </c>
      <c r="J662" s="284">
        <f>(J587/J569)*AN36</f>
        <v>0</v>
      </c>
      <c r="K662" s="284">
        <f>(K601/K569)*AN32</f>
        <v>0</v>
      </c>
      <c r="L662" s="284">
        <f>(L604/L569)*AN37</f>
        <v>0</v>
      </c>
      <c r="M662" s="284">
        <f t="shared" si="20"/>
        <v>0</v>
      </c>
      <c r="N662" s="302" t="s">
        <v>726</v>
      </c>
    </row>
    <row r="663" spans="1:14" ht="12.65" customHeight="1" x14ac:dyDescent="0.35">
      <c r="A663" s="300">
        <v>7350</v>
      </c>
      <c r="B663" s="302" t="s">
        <v>727</v>
      </c>
      <c r="C663" s="284">
        <f>AO28</f>
        <v>326952</v>
      </c>
      <c r="D663" s="284">
        <f>(D572/D569)*AO33</f>
        <v>16356.702186447568</v>
      </c>
      <c r="E663" s="284">
        <f>(E580/E569)*SUM(C663:D663)</f>
        <v>26790.232734269975</v>
      </c>
      <c r="F663" s="284">
        <f>(F581/F569)*AO21</f>
        <v>537.06202407202454</v>
      </c>
      <c r="G663" s="284">
        <f>(G582/G569)*AO34</f>
        <v>119412.42621853713</v>
      </c>
      <c r="H663" s="284">
        <f>(H585/H569)*AO17</f>
        <v>8203.3740606956417</v>
      </c>
      <c r="I663" s="284">
        <f>(I586/I569)*AO35</f>
        <v>0</v>
      </c>
      <c r="J663" s="284">
        <f>(J587/J569)*AO36</f>
        <v>7981.0322737425031</v>
      </c>
      <c r="K663" s="284">
        <f>(K601/K569)*AO32</f>
        <v>71773.903510878386</v>
      </c>
      <c r="L663" s="284">
        <f>(L604/L569)*AO37</f>
        <v>25163.196911457377</v>
      </c>
      <c r="M663" s="284">
        <f t="shared" si="20"/>
        <v>276218</v>
      </c>
      <c r="N663" s="302" t="s">
        <v>728</v>
      </c>
    </row>
    <row r="664" spans="1:14" ht="12.65" customHeight="1" x14ac:dyDescent="0.35">
      <c r="A664" s="300">
        <v>7380</v>
      </c>
      <c r="B664" s="302" t="s">
        <v>729</v>
      </c>
      <c r="C664" s="284">
        <f>AP28</f>
        <v>2038280</v>
      </c>
      <c r="D664" s="284">
        <f>(D572/D569)*AP33</f>
        <v>380127.99528719927</v>
      </c>
      <c r="E664" s="284">
        <f>(E580/E569)*SUM(C664:D664)</f>
        <v>188721.44116223627</v>
      </c>
      <c r="F664" s="284">
        <f>(F581/F569)*AP21</f>
        <v>14752.340239843894</v>
      </c>
      <c r="G664" s="284">
        <f>(G582/G569)*AP34</f>
        <v>0</v>
      </c>
      <c r="H664" s="284">
        <f>(H585/H569)*AP17</f>
        <v>52516.028077708455</v>
      </c>
      <c r="I664" s="284">
        <f>(I586/I569)*AP35</f>
        <v>0</v>
      </c>
      <c r="J664" s="284">
        <f>(J587/J569)*AP36</f>
        <v>1277.2224089969873</v>
      </c>
      <c r="K664" s="284">
        <f>(K601/K569)*AP32</f>
        <v>169128.36710777349</v>
      </c>
      <c r="L664" s="284">
        <f>(L604/L569)*AP37</f>
        <v>41055.742329219938</v>
      </c>
      <c r="M664" s="284">
        <f t="shared" si="20"/>
        <v>847579</v>
      </c>
      <c r="N664" s="302" t="s">
        <v>730</v>
      </c>
    </row>
    <row r="665" spans="1:14" ht="12.65" customHeight="1" x14ac:dyDescent="0.35">
      <c r="A665" s="300">
        <v>7390</v>
      </c>
      <c r="B665" s="302" t="s">
        <v>731</v>
      </c>
      <c r="C665" s="284">
        <f>AQ28</f>
        <v>0</v>
      </c>
      <c r="D665" s="284">
        <f>(D572/D569)*AQ33</f>
        <v>0</v>
      </c>
      <c r="E665" s="284">
        <f>(E580/E569)*SUM(C665:D665)</f>
        <v>0</v>
      </c>
      <c r="F665" s="284">
        <f>(F581/F569)*AQ21</f>
        <v>0</v>
      </c>
      <c r="G665" s="284">
        <f>(G582/G569)*AQ34</f>
        <v>0</v>
      </c>
      <c r="H665" s="284">
        <f>(H585/H569)*AQ17</f>
        <v>0</v>
      </c>
      <c r="I665" s="284">
        <f>(I586/I569)*AQ35</f>
        <v>0</v>
      </c>
      <c r="J665" s="284">
        <f>(J587/J569)*AQ36</f>
        <v>0</v>
      </c>
      <c r="K665" s="284">
        <f>(K601/K569)*AQ32</f>
        <v>0</v>
      </c>
      <c r="L665" s="284">
        <f>(L604/L569)*AQ37</f>
        <v>0</v>
      </c>
      <c r="M665" s="284">
        <f t="shared" si="20"/>
        <v>0</v>
      </c>
      <c r="N665" s="302" t="s">
        <v>732</v>
      </c>
    </row>
    <row r="666" spans="1:14" ht="12.65" customHeight="1" x14ac:dyDescent="0.35">
      <c r="A666" s="300">
        <v>7400</v>
      </c>
      <c r="B666" s="302" t="s">
        <v>733</v>
      </c>
      <c r="C666" s="284">
        <f>AR28</f>
        <v>0</v>
      </c>
      <c r="D666" s="284">
        <f>(D572/D569)*AR33</f>
        <v>0</v>
      </c>
      <c r="E666" s="284">
        <f>(E580/E569)*SUM(C666:D666)</f>
        <v>0</v>
      </c>
      <c r="F666" s="284">
        <f>(F581/F569)*AR21</f>
        <v>0</v>
      </c>
      <c r="G666" s="284">
        <f>(G582/G569)*AR34</f>
        <v>0</v>
      </c>
      <c r="H666" s="284">
        <f>(H585/H569)*AR17</f>
        <v>0</v>
      </c>
      <c r="I666" s="284">
        <f>(I586/I569)*AR35</f>
        <v>0</v>
      </c>
      <c r="J666" s="284">
        <f>(J587/J569)*AR36</f>
        <v>0</v>
      </c>
      <c r="K666" s="284">
        <f>(K601/K569)*AR32</f>
        <v>0</v>
      </c>
      <c r="L666" s="284">
        <f>(L604/L569)*AR37</f>
        <v>0</v>
      </c>
      <c r="M666" s="284">
        <f t="shared" si="20"/>
        <v>0</v>
      </c>
      <c r="N666" s="302" t="s">
        <v>734</v>
      </c>
    </row>
    <row r="667" spans="1:14" ht="12.65" customHeight="1" x14ac:dyDescent="0.35">
      <c r="A667" s="300">
        <v>7410</v>
      </c>
      <c r="B667" s="302" t="s">
        <v>129</v>
      </c>
      <c r="C667" s="284">
        <f>AS28</f>
        <v>0</v>
      </c>
      <c r="D667" s="284">
        <f>(D572/D569)*AS33</f>
        <v>0</v>
      </c>
      <c r="E667" s="284">
        <f>(E580/E569)*SUM(C667:D667)</f>
        <v>0</v>
      </c>
      <c r="F667" s="284">
        <f>(F581/F569)*AS21</f>
        <v>0</v>
      </c>
      <c r="G667" s="284">
        <f>(G582/G569)*AS34</f>
        <v>0</v>
      </c>
      <c r="H667" s="284">
        <f>(H585/H569)*AS17</f>
        <v>0</v>
      </c>
      <c r="I667" s="284">
        <f>(I586/I569)*AS35</f>
        <v>0</v>
      </c>
      <c r="J667" s="284">
        <f>(J587/J569)*AS36</f>
        <v>0</v>
      </c>
      <c r="K667" s="284">
        <f>(K601/K569)*AS32</f>
        <v>0</v>
      </c>
      <c r="L667" s="284">
        <f>(L604/L569)*AS37</f>
        <v>0</v>
      </c>
      <c r="M667" s="284">
        <f t="shared" si="20"/>
        <v>0</v>
      </c>
      <c r="N667" s="302" t="s">
        <v>735</v>
      </c>
    </row>
    <row r="668" spans="1:14" ht="12.65" customHeight="1" x14ac:dyDescent="0.35">
      <c r="A668" s="300">
        <v>7420</v>
      </c>
      <c r="B668" s="302" t="s">
        <v>736</v>
      </c>
      <c r="C668" s="284">
        <f>AT28</f>
        <v>0</v>
      </c>
      <c r="D668" s="284">
        <f>(D572/D569)*AT33</f>
        <v>0</v>
      </c>
      <c r="E668" s="284">
        <f>(E580/E569)*SUM(C668:D668)</f>
        <v>0</v>
      </c>
      <c r="F668" s="284">
        <f>(F581/F569)*AT21</f>
        <v>0</v>
      </c>
      <c r="G668" s="284">
        <f>(G582/G569)*AT34</f>
        <v>0</v>
      </c>
      <c r="H668" s="284">
        <f>(H585/H569)*AT17</f>
        <v>0</v>
      </c>
      <c r="I668" s="284">
        <f>(I586/I569)*AT35</f>
        <v>0</v>
      </c>
      <c r="J668" s="284">
        <f>(J587/J569)*AT36</f>
        <v>0</v>
      </c>
      <c r="K668" s="284">
        <f>(K601/K569)*AT32</f>
        <v>0</v>
      </c>
      <c r="L668" s="284">
        <f>(L604/L569)*AT37</f>
        <v>0</v>
      </c>
      <c r="M668" s="284">
        <f t="shared" si="20"/>
        <v>0</v>
      </c>
      <c r="N668" s="302" t="s">
        <v>737</v>
      </c>
    </row>
    <row r="669" spans="1:14" ht="12.65" customHeight="1" x14ac:dyDescent="0.35">
      <c r="A669" s="300">
        <v>7430</v>
      </c>
      <c r="B669" s="302" t="s">
        <v>738</v>
      </c>
      <c r="C669" s="284">
        <f>AU28</f>
        <v>0</v>
      </c>
      <c r="D669" s="284">
        <f>(D572/D569)*AU33</f>
        <v>0</v>
      </c>
      <c r="E669" s="284">
        <f>(E580/E569)*SUM(C669:D669)</f>
        <v>0</v>
      </c>
      <c r="F669" s="284">
        <f>(F581/F569)*AU21</f>
        <v>0</v>
      </c>
      <c r="G669" s="284">
        <f>(G582/G569)*AU34</f>
        <v>0</v>
      </c>
      <c r="H669" s="284">
        <f>(H585/H569)*AU17</f>
        <v>0</v>
      </c>
      <c r="I669" s="284">
        <f>(I586/I569)*AU35</f>
        <v>0</v>
      </c>
      <c r="J669" s="284">
        <f>(J587/J569)*AU36</f>
        <v>0</v>
      </c>
      <c r="K669" s="284">
        <f>(K601/K569)*AU32</f>
        <v>0</v>
      </c>
      <c r="L669" s="284">
        <f>(L604/L569)*AU37</f>
        <v>0</v>
      </c>
      <c r="M669" s="284">
        <f t="shared" si="20"/>
        <v>0</v>
      </c>
      <c r="N669" s="302" t="s">
        <v>739</v>
      </c>
    </row>
    <row r="670" spans="1:14" ht="12.65" customHeight="1" x14ac:dyDescent="0.35">
      <c r="A670" s="300">
        <v>7490</v>
      </c>
      <c r="B670" s="302" t="s">
        <v>740</v>
      </c>
      <c r="C670" s="284">
        <f>AV28</f>
        <v>0</v>
      </c>
      <c r="D670" s="284">
        <f>(D572/D569)*AV33</f>
        <v>0</v>
      </c>
      <c r="E670" s="284">
        <f>(E580/E569)*SUM(C670:D670)</f>
        <v>0</v>
      </c>
      <c r="F670" s="284">
        <f>(F581/F569)*AV21</f>
        <v>0</v>
      </c>
      <c r="G670" s="284">
        <f>(G582/G569)*AV34</f>
        <v>0</v>
      </c>
      <c r="H670" s="284">
        <f>(H585/H569)*AV17</f>
        <v>0</v>
      </c>
      <c r="I670" s="284">
        <f>(I586/I569)*AV35</f>
        <v>0</v>
      </c>
      <c r="J670" s="284">
        <f>(J587/J569)*AV36</f>
        <v>0</v>
      </c>
      <c r="K670" s="284">
        <f>(K601/K569)*AV32</f>
        <v>0</v>
      </c>
      <c r="L670" s="284">
        <f>(L604/L569)*AV37</f>
        <v>0</v>
      </c>
      <c r="M670" s="284">
        <f t="shared" si="20"/>
        <v>0</v>
      </c>
      <c r="N670" s="303" t="s">
        <v>741</v>
      </c>
    </row>
    <row r="672" spans="1:14" ht="12.65" customHeight="1" x14ac:dyDescent="0.35">
      <c r="C672" s="284">
        <f>SUM(C571:C604)+SUM(C625:C670)</f>
        <v>58938340</v>
      </c>
      <c r="D672" s="284">
        <f>SUM(D573:D604)+SUM(D625:D670)</f>
        <v>2114225</v>
      </c>
      <c r="E672" s="284">
        <f>SUM(E581:E604)+SUM(E625:E670)</f>
        <v>4266350.6878499398</v>
      </c>
      <c r="F672" s="284">
        <f>SUM(F582:F605)+SUM(F625:F670)</f>
        <v>312746.69452937052</v>
      </c>
      <c r="G672" s="284">
        <f>SUM(G583:G604)+SUM(G625:G670)</f>
        <v>1020290.6948323365</v>
      </c>
      <c r="H672" s="284">
        <f>SUM(H586:H604)+SUM(H625:H670)</f>
        <v>909203.28225786227</v>
      </c>
      <c r="I672" s="284">
        <f>SUM(I587:I604)+SUM(I625:I670)</f>
        <v>566816.25279287761</v>
      </c>
      <c r="J672" s="284">
        <f>SUM(J588:J604)+SUM(J625:J670)</f>
        <v>244862.70057198734</v>
      </c>
      <c r="K672" s="284">
        <f>SUM(K625:K670)</f>
        <v>6418635.9722580696</v>
      </c>
      <c r="L672" s="284">
        <f>SUM(L625:L670)</f>
        <v>1086231.3996898013</v>
      </c>
      <c r="M672" s="284">
        <f>SUM(M625:M670)</f>
        <v>15426807</v>
      </c>
      <c r="N672" s="302" t="s">
        <v>742</v>
      </c>
    </row>
    <row r="673" spans="3:15" ht="12.65" customHeight="1" x14ac:dyDescent="0.35">
      <c r="C673" s="284">
        <f>CE28</f>
        <v>58938340</v>
      </c>
      <c r="D673" s="284">
        <f>D572</f>
        <v>2114225</v>
      </c>
      <c r="E673" s="284">
        <f>E580</f>
        <v>4266350.6878499407</v>
      </c>
      <c r="F673" s="284">
        <f>F581</f>
        <v>312746.6945293704</v>
      </c>
      <c r="G673" s="284">
        <f>G582</f>
        <v>1020290.6948323365</v>
      </c>
      <c r="H673" s="284">
        <f>H585</f>
        <v>909203.28225786204</v>
      </c>
      <c r="I673" s="284">
        <f>I586</f>
        <v>566816.25279287761</v>
      </c>
      <c r="J673" s="284">
        <f>J587</f>
        <v>244862.70057198734</v>
      </c>
      <c r="K673" s="284">
        <f>K601</f>
        <v>6418635.9722580705</v>
      </c>
      <c r="L673" s="284">
        <f>L604</f>
        <v>1086231.3996898013</v>
      </c>
      <c r="M673" s="284">
        <f>C605</f>
        <v>15426806</v>
      </c>
      <c r="N673" s="302" t="s">
        <v>743</v>
      </c>
    </row>
    <row r="674" spans="3:15" ht="12.65" customHeight="1" x14ac:dyDescent="0.35">
      <c r="O674" s="302"/>
    </row>
    <row r="675" spans="3:15" ht="12.65" customHeight="1" x14ac:dyDescent="0.35">
      <c r="O675" s="302"/>
    </row>
    <row r="676" spans="3:15" ht="12.65" customHeight="1" x14ac:dyDescent="0.35">
      <c r="O676" s="302"/>
    </row>
  </sheetData>
  <mergeCells count="1">
    <mergeCell ref="B177:C177"/>
  </mergeCells>
  <printOptions horizontalCentered="1" gridLines="1" gridLinesSet="0"/>
  <pageMargins left="0.2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topLeftCell="A13" workbookViewId="0"/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744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745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746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148"/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747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748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749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992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993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5"/>
    </row>
    <row r="16" spans="2:13" ht="15.45" thickBot="1" x14ac:dyDescent="0.4">
      <c r="B16" s="144"/>
      <c r="C16" s="8"/>
      <c r="D16" s="8"/>
      <c r="E16" s="8"/>
      <c r="F16" s="8" t="s">
        <v>750</v>
      </c>
      <c r="G16" s="8"/>
      <c r="H16" s="8"/>
      <c r="I16" s="8"/>
      <c r="J16" s="145"/>
    </row>
    <row r="17" spans="2:10" ht="15.45" thickTop="1" x14ac:dyDescent="0.35">
      <c r="B17" s="141"/>
      <c r="C17" s="150" t="s">
        <v>751</v>
      </c>
      <c r="D17" s="150"/>
      <c r="E17" s="142" t="str">
        <f>+data!C84</f>
        <v>PMH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752</v>
      </c>
      <c r="D18" s="151"/>
      <c r="E18" s="8" t="str">
        <f>+"H-"&amp;data!C83</f>
        <v>H-046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753</v>
      </c>
      <c r="D19" s="151"/>
      <c r="E19" s="8" t="str">
        <f>+data!C85</f>
        <v>723 Memorial St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754</v>
      </c>
      <c r="D20" s="151"/>
      <c r="E20" s="8" t="str">
        <f>+data!C86</f>
        <v>723 Memorial St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755</v>
      </c>
      <c r="D21" s="151"/>
      <c r="E21" s="8" t="str">
        <f>+data!C87</f>
        <v>Prosser, WA  99350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756</v>
      </c>
      <c r="G26" s="70"/>
      <c r="H26" s="70"/>
      <c r="I26" s="70"/>
      <c r="J26" s="154"/>
    </row>
    <row r="27" spans="2:10" ht="15" x14ac:dyDescent="0.35">
      <c r="B27" s="155" t="s">
        <v>757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758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759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760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761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762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763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761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762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topLeftCell="A16" workbookViewId="0"/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764</v>
      </c>
      <c r="H1" s="7"/>
    </row>
    <row r="2" spans="1:13" ht="20.149999999999999" customHeight="1" x14ac:dyDescent="0.35">
      <c r="A2" s="6" t="s">
        <v>765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H-46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PMH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766</v>
      </c>
      <c r="C7" s="24"/>
      <c r="D7" s="127" t="str">
        <f>"  "&amp;data!C89</f>
        <v xml:space="preserve">  Craig Marks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767</v>
      </c>
      <c r="C8" s="24"/>
      <c r="D8" s="127" t="str">
        <f>"  "&amp;data!C90</f>
        <v xml:space="preserve">  David Rollins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768</v>
      </c>
      <c r="C9" s="24"/>
      <c r="D9" s="127" t="str">
        <f>"  "&amp;data!C91</f>
        <v xml:space="preserve">  Stephen Kenney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769</v>
      </c>
      <c r="C10" s="24"/>
      <c r="D10" s="127" t="str">
        <f>"  "&amp;data!C92</f>
        <v xml:space="preserve">  509-786-2222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770</v>
      </c>
      <c r="C11" s="24"/>
      <c r="D11" s="127" t="str">
        <f>"  "&amp;data!C93</f>
        <v xml:space="preserve">  509-786-6660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771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772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773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774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775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776</v>
      </c>
      <c r="C23" s="38"/>
      <c r="D23" s="38"/>
      <c r="E23" s="38"/>
      <c r="F23" s="13">
        <f>data!C111</f>
        <v>1024</v>
      </c>
      <c r="G23" s="21">
        <f>data!D111</f>
        <v>2249</v>
      </c>
      <c r="H23" s="7"/>
    </row>
    <row r="24" spans="1:9" ht="20.149999999999999" customHeight="1" x14ac:dyDescent="0.35">
      <c r="A24" s="130"/>
      <c r="B24" s="49" t="s">
        <v>777</v>
      </c>
      <c r="C24" s="38"/>
      <c r="D24" s="38"/>
      <c r="E24" s="38"/>
      <c r="F24" s="13">
        <f>data!C112</f>
        <v>110</v>
      </c>
      <c r="G24" s="21">
        <f>data!D112</f>
        <v>1518</v>
      </c>
      <c r="H24" s="7"/>
    </row>
    <row r="25" spans="1:9" ht="20.149999999999999" customHeight="1" x14ac:dyDescent="0.35">
      <c r="A25" s="130"/>
      <c r="B25" s="49" t="s">
        <v>778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489</v>
      </c>
      <c r="G26" s="13">
        <f>data!D114</f>
        <v>696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779</v>
      </c>
      <c r="C29" s="24"/>
      <c r="D29" s="15" t="s">
        <v>167</v>
      </c>
      <c r="E29" s="97" t="s">
        <v>779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780</v>
      </c>
      <c r="C31" s="24"/>
      <c r="D31" s="21">
        <f>data!C117</f>
        <v>0</v>
      </c>
      <c r="E31" s="49" t="s">
        <v>289</v>
      </c>
      <c r="F31" s="24"/>
      <c r="G31" s="21">
        <f>data!C124</f>
        <v>6</v>
      </c>
      <c r="H31" s="7"/>
    </row>
    <row r="32" spans="1:9" ht="20.149999999999999" customHeight="1" x14ac:dyDescent="0.35">
      <c r="A32" s="130"/>
      <c r="B32" s="97" t="s">
        <v>781</v>
      </c>
      <c r="C32" s="24"/>
      <c r="D32" s="21">
        <f>data!C118</f>
        <v>19</v>
      </c>
      <c r="E32" s="49" t="s">
        <v>782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783</v>
      </c>
      <c r="C33" s="24"/>
      <c r="D33" s="21">
        <f>data!C119</f>
        <v>0</v>
      </c>
      <c r="E33" s="49" t="s">
        <v>784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785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786</v>
      </c>
      <c r="C35" s="24"/>
      <c r="D35" s="21">
        <f>data!C121</f>
        <v>0</v>
      </c>
      <c r="E35" s="49" t="s">
        <v>787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788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topLeftCell="A4" workbookViewId="0">
      <selection activeCell="B16" sqref="B16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789</v>
      </c>
      <c r="B1" s="8"/>
      <c r="C1" s="8"/>
      <c r="D1" s="8"/>
      <c r="E1" s="8"/>
      <c r="F1" s="8"/>
      <c r="G1" s="165" t="s">
        <v>790</v>
      </c>
    </row>
    <row r="2" spans="1:13" ht="20.149999999999999" customHeight="1" x14ac:dyDescent="0.35">
      <c r="A2" s="105" t="str">
        <f>"Hospital Name: "&amp;data!C84</f>
        <v>Hospital Name: PMH Medical Center</v>
      </c>
      <c r="B2" s="8"/>
      <c r="C2" s="8"/>
      <c r="D2" s="8"/>
      <c r="E2" s="8"/>
      <c r="F2" s="11"/>
      <c r="G2" s="76" t="s">
        <v>791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792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793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794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391</v>
      </c>
      <c r="C7" s="48">
        <f>data!B139</f>
        <v>858</v>
      </c>
      <c r="D7" s="48">
        <f>data!B140</f>
        <v>0</v>
      </c>
      <c r="E7" s="48">
        <f>data!B141</f>
        <v>8817670</v>
      </c>
      <c r="F7" s="48">
        <f>data!B142</f>
        <v>31945868</v>
      </c>
      <c r="G7" s="48">
        <f>data!B141+data!B142</f>
        <v>40763538</v>
      </c>
    </row>
    <row r="8" spans="1:13" ht="20.149999999999999" customHeight="1" x14ac:dyDescent="0.35">
      <c r="A8" s="23" t="s">
        <v>297</v>
      </c>
      <c r="B8" s="48">
        <f>data!C138</f>
        <v>311</v>
      </c>
      <c r="C8" s="48">
        <f>data!C139</f>
        <v>684</v>
      </c>
      <c r="D8" s="48">
        <f>data!C140</f>
        <v>0</v>
      </c>
      <c r="E8" s="48">
        <f>data!C141</f>
        <v>13206346</v>
      </c>
      <c r="F8" s="48">
        <f>data!C142</f>
        <v>33919834</v>
      </c>
      <c r="G8" s="48">
        <f>data!C141+data!C142</f>
        <v>47126180</v>
      </c>
    </row>
    <row r="9" spans="1:13" ht="20.149999999999999" customHeight="1" x14ac:dyDescent="0.35">
      <c r="A9" s="23" t="s">
        <v>795</v>
      </c>
      <c r="B9" s="48">
        <f>data!D138</f>
        <v>322</v>
      </c>
      <c r="C9" s="48">
        <f>data!D139</f>
        <v>707</v>
      </c>
      <c r="D9" s="48">
        <f>data!D140</f>
        <v>0</v>
      </c>
      <c r="E9" s="48">
        <f>data!D141</f>
        <v>9662272</v>
      </c>
      <c r="F9" s="48">
        <f>data!D142</f>
        <v>43445397</v>
      </c>
      <c r="G9" s="48">
        <f>data!D141+data!D142</f>
        <v>53107669</v>
      </c>
    </row>
    <row r="10" spans="1:13" ht="20.149999999999999" customHeight="1" x14ac:dyDescent="0.35">
      <c r="A10" s="111" t="s">
        <v>203</v>
      </c>
      <c r="B10" s="48">
        <f>data!E138</f>
        <v>1024</v>
      </c>
      <c r="C10" s="48">
        <f>data!E139</f>
        <v>2249</v>
      </c>
      <c r="D10" s="48">
        <f>data!E140</f>
        <v>0</v>
      </c>
      <c r="E10" s="48">
        <f>data!E141</f>
        <v>31686288</v>
      </c>
      <c r="F10" s="48">
        <f>data!E142</f>
        <v>109311099</v>
      </c>
      <c r="G10" s="48">
        <f>data!E141+data!E142</f>
        <v>140997387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796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793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794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58</v>
      </c>
      <c r="C16" s="48">
        <f>data!B145</f>
        <v>1189</v>
      </c>
      <c r="D16" s="48">
        <f>data!B146</f>
        <v>0</v>
      </c>
      <c r="E16" s="48">
        <f>data!B147</f>
        <v>2132462</v>
      </c>
      <c r="F16" s="48">
        <f>data!B148</f>
        <v>316972</v>
      </c>
      <c r="G16" s="48">
        <f>data!B147+data!B148</f>
        <v>2449434</v>
      </c>
    </row>
    <row r="17" spans="1:7" ht="20.149999999999999" customHeight="1" x14ac:dyDescent="0.35">
      <c r="A17" s="23" t="s">
        <v>297</v>
      </c>
      <c r="B17" s="48">
        <f>data!C144</f>
        <v>12</v>
      </c>
      <c r="C17" s="48">
        <f>data!C145</f>
        <v>236</v>
      </c>
      <c r="D17" s="48">
        <f>data!C146</f>
        <v>0</v>
      </c>
      <c r="E17" s="48">
        <f>data!C147</f>
        <v>423264</v>
      </c>
      <c r="F17" s="48">
        <f>data!C148</f>
        <v>62915</v>
      </c>
      <c r="G17" s="48">
        <f>data!C147+data!C148</f>
        <v>486179</v>
      </c>
    </row>
    <row r="18" spans="1:7" ht="20.149999999999999" customHeight="1" x14ac:dyDescent="0.35">
      <c r="A18" s="23" t="s">
        <v>795</v>
      </c>
      <c r="B18" s="48">
        <f>data!D144</f>
        <v>40</v>
      </c>
      <c r="C18" s="48">
        <f>data!D145</f>
        <v>93</v>
      </c>
      <c r="D18" s="48">
        <f>data!D146</f>
        <v>0</v>
      </c>
      <c r="E18" s="48">
        <f>data!D147</f>
        <v>166795</v>
      </c>
      <c r="F18" s="48">
        <f>data!D148</f>
        <v>24793</v>
      </c>
      <c r="G18" s="48">
        <f>data!D147+data!D148</f>
        <v>191588</v>
      </c>
    </row>
    <row r="19" spans="1:7" ht="20.149999999999999" customHeight="1" x14ac:dyDescent="0.35">
      <c r="A19" s="111" t="s">
        <v>203</v>
      </c>
      <c r="B19" s="48">
        <f>data!E144</f>
        <v>110</v>
      </c>
      <c r="C19" s="48">
        <f>data!E145</f>
        <v>1518</v>
      </c>
      <c r="D19" s="48">
        <f>data!E146</f>
        <v>0</v>
      </c>
      <c r="E19" s="48">
        <f>data!E147</f>
        <v>2722521</v>
      </c>
      <c r="F19" s="48">
        <f>data!E148</f>
        <v>404680</v>
      </c>
      <c r="G19" s="48">
        <f>data!E147+data!E148</f>
        <v>3127201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797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793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794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795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798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799</v>
      </c>
      <c r="C32" s="123">
        <f>data!B157</f>
        <v>17835133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800</v>
      </c>
      <c r="C33" s="125">
        <f>data!C157</f>
        <v>8133709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workbookViewId="0"/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801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PMH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802</v>
      </c>
      <c r="C6" s="13">
        <f>data!C165</f>
        <v>1812173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87333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151653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3514385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62837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772403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0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51730</v>
      </c>
    </row>
    <row r="14" spans="1:13" ht="20.149999999999999" customHeight="1" x14ac:dyDescent="0.35">
      <c r="A14" s="40">
        <v>10</v>
      </c>
      <c r="B14" s="49" t="s">
        <v>803</v>
      </c>
      <c r="C14" s="13">
        <f>data!D173</f>
        <v>6452514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804</v>
      </c>
      <c r="C18" s="13">
        <f>data!C175</f>
        <v>1016763</v>
      </c>
    </row>
    <row r="19" spans="1:3" ht="20.149999999999999" customHeight="1" x14ac:dyDescent="0.35">
      <c r="A19" s="13">
        <v>13</v>
      </c>
      <c r="B19" s="49" t="s">
        <v>805</v>
      </c>
      <c r="C19" s="13">
        <f>data!C176</f>
        <v>1058450</v>
      </c>
    </row>
    <row r="20" spans="1:3" ht="20.149999999999999" customHeight="1" x14ac:dyDescent="0.35">
      <c r="A20" s="13">
        <v>14</v>
      </c>
      <c r="B20" s="49" t="s">
        <v>806</v>
      </c>
      <c r="C20" s="13">
        <f>data!D177</f>
        <v>2075213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807</v>
      </c>
      <c r="C24" s="104"/>
    </row>
    <row r="25" spans="1:3" ht="20.149999999999999" customHeight="1" x14ac:dyDescent="0.35">
      <c r="A25" s="13">
        <v>17</v>
      </c>
      <c r="B25" s="49" t="s">
        <v>808</v>
      </c>
      <c r="C25" s="13">
        <f>data!C179</f>
        <v>297042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120714</v>
      </c>
    </row>
    <row r="27" spans="1:3" ht="20.149999999999999" customHeight="1" x14ac:dyDescent="0.35">
      <c r="A27" s="13">
        <v>19</v>
      </c>
      <c r="B27" s="49" t="s">
        <v>809</v>
      </c>
      <c r="C27" s="13">
        <f>data!D181</f>
        <v>417756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810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49640</v>
      </c>
    </row>
    <row r="32" spans="1:3" ht="20.149999999999999" customHeight="1" x14ac:dyDescent="0.35">
      <c r="A32" s="13">
        <v>22</v>
      </c>
      <c r="B32" s="49" t="s">
        <v>811</v>
      </c>
      <c r="C32" s="13">
        <f>data!C184</f>
        <v>425176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812</v>
      </c>
      <c r="C34" s="13">
        <f>data!D186</f>
        <v>474816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813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386610</v>
      </c>
    </row>
    <row r="40" spans="1:3" ht="20.149999999999999" customHeight="1" x14ac:dyDescent="0.35">
      <c r="A40" s="13">
        <v>28</v>
      </c>
      <c r="B40" s="49" t="s">
        <v>814</v>
      </c>
      <c r="C40" s="13">
        <f>data!D190</f>
        <v>386610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workbookViewId="0"/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815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PMH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816</v>
      </c>
      <c r="D5" s="47"/>
      <c r="E5" s="47"/>
      <c r="F5" s="72" t="s">
        <v>817</v>
      </c>
    </row>
    <row r="6" spans="1:13" ht="20.149999999999999" customHeight="1" x14ac:dyDescent="0.35">
      <c r="A6" s="19"/>
      <c r="B6" s="20"/>
      <c r="C6" s="18" t="s">
        <v>818</v>
      </c>
      <c r="D6" s="18" t="s">
        <v>329</v>
      </c>
      <c r="E6" s="18" t="s">
        <v>819</v>
      </c>
      <c r="F6" s="18" t="s">
        <v>818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3128342</v>
      </c>
      <c r="D7" s="21">
        <f>data!C195</f>
        <v>0</v>
      </c>
      <c r="E7" s="21">
        <f>data!D195</f>
        <v>0</v>
      </c>
      <c r="F7" s="21">
        <f>data!E195</f>
        <v>3128342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629956</v>
      </c>
      <c r="D8" s="21">
        <f>data!C196</f>
        <v>2743</v>
      </c>
      <c r="E8" s="21">
        <f>data!D196</f>
        <v>0</v>
      </c>
      <c r="F8" s="21">
        <f>data!E196</f>
        <v>632699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22556640</v>
      </c>
      <c r="D9" s="21" t="str">
        <f>data!C197</f>
        <v xml:space="preserve"> </v>
      </c>
      <c r="E9" s="21">
        <f>data!D197</f>
        <v>0</v>
      </c>
      <c r="F9" s="21">
        <f>data!E197</f>
        <v>22556640</v>
      </c>
    </row>
    <row r="10" spans="1:13" ht="20.149999999999999" customHeight="1" x14ac:dyDescent="0.35">
      <c r="A10" s="13">
        <v>4</v>
      </c>
      <c r="B10" s="14" t="s">
        <v>820</v>
      </c>
      <c r="C10" s="21">
        <f>data!B198</f>
        <v>3163300</v>
      </c>
      <c r="D10" s="21">
        <f>data!C198</f>
        <v>1580734</v>
      </c>
      <c r="E10" s="21">
        <f>data!D198</f>
        <v>373057</v>
      </c>
      <c r="F10" s="21">
        <f>data!E198</f>
        <v>4370977</v>
      </c>
    </row>
    <row r="11" spans="1:13" ht="20.149999999999999" customHeight="1" x14ac:dyDescent="0.35">
      <c r="A11" s="13">
        <v>5</v>
      </c>
      <c r="B11" s="14" t="s">
        <v>821</v>
      </c>
      <c r="C11" s="21">
        <f>data!B199</f>
        <v>665178</v>
      </c>
      <c r="D11" s="21" t="str">
        <f>data!C199</f>
        <v xml:space="preserve"> </v>
      </c>
      <c r="E11" s="21">
        <f>data!D199</f>
        <v>0</v>
      </c>
      <c r="F11" s="21">
        <f>data!E199</f>
        <v>665178</v>
      </c>
    </row>
    <row r="12" spans="1:13" ht="20.149999999999999" customHeight="1" x14ac:dyDescent="0.35">
      <c r="A12" s="13">
        <v>6</v>
      </c>
      <c r="B12" s="14" t="s">
        <v>822</v>
      </c>
      <c r="C12" s="21">
        <f>data!B200</f>
        <v>14619070</v>
      </c>
      <c r="D12" s="21" t="str">
        <f>data!C200</f>
        <v xml:space="preserve"> </v>
      </c>
      <c r="E12" s="21" t="str">
        <f>data!D200</f>
        <v xml:space="preserve"> </v>
      </c>
      <c r="F12" s="21">
        <f>data!E200</f>
        <v>14619070</v>
      </c>
    </row>
    <row r="13" spans="1:13" ht="20.149999999999999" customHeight="1" x14ac:dyDescent="0.35">
      <c r="A13" s="13">
        <v>7</v>
      </c>
      <c r="B13" s="14" t="s">
        <v>823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824</v>
      </c>
      <c r="C15" s="21">
        <f>data!B203</f>
        <v>228718</v>
      </c>
      <c r="D15" s="21">
        <f>data!C203</f>
        <v>4820333</v>
      </c>
      <c r="E15" s="21">
        <f>data!D203</f>
        <v>3142958</v>
      </c>
      <c r="F15" s="21">
        <f>data!E203</f>
        <v>1906093</v>
      </c>
      <c r="M15" s="265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44991204</v>
      </c>
      <c r="D16" s="21">
        <f>data!C204</f>
        <v>6403810</v>
      </c>
      <c r="E16" s="21">
        <f>data!D204</f>
        <v>3516015</v>
      </c>
      <c r="F16" s="21">
        <f>data!E204</f>
        <v>47878999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816</v>
      </c>
      <c r="D21" s="76" t="s">
        <v>203</v>
      </c>
      <c r="E21" s="25"/>
      <c r="F21" s="18" t="s">
        <v>817</v>
      </c>
    </row>
    <row r="22" spans="1:6" ht="20.149999999999999" customHeight="1" x14ac:dyDescent="0.35">
      <c r="A22" s="75"/>
      <c r="B22" s="44"/>
      <c r="C22" s="18" t="s">
        <v>818</v>
      </c>
      <c r="D22" s="18" t="s">
        <v>825</v>
      </c>
      <c r="E22" s="18" t="s">
        <v>819</v>
      </c>
      <c r="F22" s="18" t="s">
        <v>818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452980</v>
      </c>
      <c r="D24" s="21">
        <f>data!C209</f>
        <v>38629</v>
      </c>
      <c r="E24" s="21">
        <f>data!D209</f>
        <v>0</v>
      </c>
      <c r="F24" s="21">
        <f>data!E209</f>
        <v>491609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14864588</v>
      </c>
      <c r="D25" s="21">
        <f>data!C210</f>
        <v>613186</v>
      </c>
      <c r="E25" s="21">
        <f>data!D210</f>
        <v>0</v>
      </c>
      <c r="F25" s="21">
        <f>data!E210</f>
        <v>15477774</v>
      </c>
    </row>
    <row r="26" spans="1:6" ht="20.149999999999999" customHeight="1" x14ac:dyDescent="0.35">
      <c r="A26" s="13">
        <v>14</v>
      </c>
      <c r="B26" s="14" t="s">
        <v>820</v>
      </c>
      <c r="C26" s="21">
        <f>data!B211</f>
        <v>1421274</v>
      </c>
      <c r="D26" s="21">
        <f>data!C211</f>
        <v>2083970</v>
      </c>
      <c r="E26" s="21">
        <f>data!D211</f>
        <v>311552</v>
      </c>
      <c r="F26" s="21">
        <f>data!E211</f>
        <v>3193692</v>
      </c>
    </row>
    <row r="27" spans="1:6" ht="20.149999999999999" customHeight="1" x14ac:dyDescent="0.35">
      <c r="A27" s="13">
        <v>15</v>
      </c>
      <c r="B27" s="14" t="s">
        <v>821</v>
      </c>
      <c r="C27" s="21">
        <f>data!B212</f>
        <v>528415</v>
      </c>
      <c r="D27" s="21">
        <f>data!C212</f>
        <v>19088</v>
      </c>
      <c r="E27" s="21">
        <f>data!D212</f>
        <v>0</v>
      </c>
      <c r="F27" s="21">
        <f>data!E212</f>
        <v>547503</v>
      </c>
    </row>
    <row r="28" spans="1:6" ht="20.149999999999999" customHeight="1" x14ac:dyDescent="0.35">
      <c r="A28" s="13">
        <v>16</v>
      </c>
      <c r="B28" s="14" t="s">
        <v>822</v>
      </c>
      <c r="C28" s="21">
        <f>data!B213</f>
        <v>9410008</v>
      </c>
      <c r="D28" s="21" t="str">
        <f>data!C213</f>
        <v xml:space="preserve"> </v>
      </c>
      <c r="E28" s="21" t="str">
        <f>data!D213</f>
        <v xml:space="preserve"> </v>
      </c>
      <c r="F28" s="21">
        <f>data!E213</f>
        <v>9410008</v>
      </c>
    </row>
    <row r="29" spans="1:6" ht="20.149999999999999" customHeight="1" x14ac:dyDescent="0.35">
      <c r="A29" s="13">
        <v>17</v>
      </c>
      <c r="B29" s="14" t="s">
        <v>823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824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26677265</v>
      </c>
      <c r="D32" s="21">
        <f>data!C217</f>
        <v>2754873</v>
      </c>
      <c r="E32" s="21">
        <f>data!D217</f>
        <v>311552</v>
      </c>
      <c r="F32" s="21">
        <f>data!E217</f>
        <v>29120586</v>
      </c>
    </row>
  </sheetData>
  <sheetProtection sheet="1" objects="1" scenarios="1"/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workbookViewId="0"/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826</v>
      </c>
      <c r="B1" s="6"/>
      <c r="C1" s="6"/>
      <c r="D1" s="169" t="s">
        <v>827</v>
      </c>
    </row>
    <row r="2" spans="1:13" ht="20.149999999999999" customHeight="1" x14ac:dyDescent="0.35">
      <c r="A2" s="29" t="str">
        <f>"Hospital: "&amp;data!C84</f>
        <v>Hospital: PMH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828</v>
      </c>
      <c r="C4" s="41" t="s">
        <v>829</v>
      </c>
      <c r="D4" s="54"/>
    </row>
    <row r="5" spans="1:13" ht="20.149999999999999" customHeight="1" x14ac:dyDescent="0.35">
      <c r="A5" s="102">
        <v>1</v>
      </c>
      <c r="B5" s="55"/>
      <c r="C5" s="22" t="s">
        <v>994</v>
      </c>
      <c r="D5" s="14">
        <f>data!D221</f>
        <v>3323931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26822171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32612768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2612492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49999999999999" customHeight="1" x14ac:dyDescent="0.35">
      <c r="A11" s="13">
        <v>7</v>
      </c>
      <c r="B11" s="55">
        <v>5850</v>
      </c>
      <c r="C11" s="14" t="s">
        <v>830</v>
      </c>
      <c r="D11" s="14">
        <f>data!C227</f>
        <v>0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17557851</v>
      </c>
    </row>
    <row r="13" spans="1:13" ht="20.149999999999999" customHeight="1" x14ac:dyDescent="0.35">
      <c r="A13" s="23">
        <v>9</v>
      </c>
      <c r="B13" s="24"/>
      <c r="C13" s="14" t="s">
        <v>831</v>
      </c>
      <c r="D13" s="14">
        <f>data!D229</f>
        <v>79605282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832</v>
      </c>
      <c r="D16" s="140">
        <f>+data!C231</f>
        <v>1557</v>
      </c>
      <c r="M16" s="265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435916</v>
      </c>
    </row>
    <row r="19" spans="1:4" ht="20.149999999999999" customHeight="1" x14ac:dyDescent="0.35">
      <c r="A19" s="61">
        <v>15</v>
      </c>
      <c r="B19" s="55">
        <v>5910</v>
      </c>
      <c r="C19" s="22" t="s">
        <v>833</v>
      </c>
      <c r="D19" s="14">
        <f>data!C234</f>
        <v>1346085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834</v>
      </c>
      <c r="D22" s="14">
        <f>data!D236</f>
        <v>1782001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0">
        <v>20</v>
      </c>
      <c r="B24" s="55">
        <v>5970</v>
      </c>
      <c r="C24" s="14" t="s">
        <v>357</v>
      </c>
      <c r="D24" s="14">
        <f>data!C238</f>
        <v>0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835</v>
      </c>
      <c r="D26" s="14">
        <f>data!C239</f>
        <v>0</v>
      </c>
    </row>
    <row r="27" spans="1:4" ht="20.149999999999999" customHeight="1" x14ac:dyDescent="0.35">
      <c r="A27" s="64">
        <v>23</v>
      </c>
      <c r="B27" s="63" t="s">
        <v>836</v>
      </c>
      <c r="C27" s="56"/>
      <c r="D27" s="14">
        <f>data!D242</f>
        <v>84711214</v>
      </c>
    </row>
    <row r="28" spans="1:4" ht="20.149999999999999" customHeight="1" x14ac:dyDescent="0.35">
      <c r="A28" s="126">
        <v>24</v>
      </c>
      <c r="B28" s="65" t="s">
        <v>837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topLeftCell="A25" workbookViewId="0">
      <selection activeCell="E51" sqref="E51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838</v>
      </c>
      <c r="B1" s="5"/>
      <c r="C1" s="6"/>
    </row>
    <row r="2" spans="1:13" ht="20.149999999999999" customHeight="1" x14ac:dyDescent="0.35">
      <c r="A2" s="4"/>
      <c r="B2" s="5"/>
      <c r="C2" s="167" t="s">
        <v>839</v>
      </c>
    </row>
    <row r="3" spans="1:13" ht="20.149999999999999" customHeight="1" x14ac:dyDescent="0.35">
      <c r="A3" s="29" t="str">
        <f>"HOSPITAL: "&amp;data!C84</f>
        <v>HOSPITAL: PMH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840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9357886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15448177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26577800</v>
      </c>
    </row>
    <row r="9" spans="1:13" ht="20.149999999999999" customHeight="1" x14ac:dyDescent="0.35">
      <c r="A9" s="13">
        <v>5</v>
      </c>
      <c r="B9" s="14" t="s">
        <v>841</v>
      </c>
      <c r="C9" s="21">
        <f>data!C253</f>
        <v>16699000</v>
      </c>
    </row>
    <row r="10" spans="1:13" ht="20.149999999999999" customHeight="1" x14ac:dyDescent="0.35">
      <c r="A10" s="13">
        <v>6</v>
      </c>
      <c r="B10" s="14" t="s">
        <v>842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843</v>
      </c>
      <c r="C11" s="21">
        <f>data!C255</f>
        <v>153786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484141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940096</v>
      </c>
    </row>
    <row r="15" spans="1:13" ht="20.149999999999999" customHeight="1" x14ac:dyDescent="0.35">
      <c r="A15" s="13">
        <v>11</v>
      </c>
      <c r="B15" s="14" t="s">
        <v>844</v>
      </c>
      <c r="C15" s="21">
        <f>data!C259</f>
        <v>0</v>
      </c>
      <c r="M15" s="265"/>
    </row>
    <row r="16" spans="1:13" ht="20.149999999999999" customHeight="1" x14ac:dyDescent="0.35">
      <c r="A16" s="13">
        <v>12</v>
      </c>
      <c r="B16" s="14" t="s">
        <v>845</v>
      </c>
      <c r="C16" s="21">
        <f>data!D260</f>
        <v>36262886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846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2233842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1660627</v>
      </c>
    </row>
    <row r="22" spans="1:3" ht="20.149999999999999" customHeight="1" x14ac:dyDescent="0.35">
      <c r="A22" s="13">
        <v>18</v>
      </c>
      <c r="B22" s="14" t="s">
        <v>847</v>
      </c>
      <c r="C22" s="21">
        <f>data!D265</f>
        <v>3894469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848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3128342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632699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22556640</v>
      </c>
    </row>
    <row r="28" spans="1:3" ht="20.149999999999999" customHeight="1" x14ac:dyDescent="0.35">
      <c r="A28" s="13">
        <v>24</v>
      </c>
      <c r="B28" s="14" t="s">
        <v>849</v>
      </c>
      <c r="C28" s="21">
        <f>data!C270</f>
        <v>4370977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665178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14619070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1906093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47878999</v>
      </c>
    </row>
    <row r="34" spans="1:3" ht="20.149999999999999" customHeight="1" x14ac:dyDescent="0.35">
      <c r="A34" s="13">
        <v>30</v>
      </c>
      <c r="B34" s="14" t="s">
        <v>850</v>
      </c>
      <c r="C34" s="21">
        <f>data!C276</f>
        <v>29120585</v>
      </c>
    </row>
    <row r="35" spans="1:3" ht="20.149999999999999" customHeight="1" x14ac:dyDescent="0.35">
      <c r="A35" s="13">
        <v>31</v>
      </c>
      <c r="B35" s="14" t="s">
        <v>851</v>
      </c>
      <c r="C35" s="21">
        <f>data!D277</f>
        <v>18758414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852</v>
      </c>
      <c r="C37" s="36"/>
    </row>
    <row r="38" spans="1:3" ht="20.149999999999999" customHeight="1" x14ac:dyDescent="0.35">
      <c r="A38" s="13">
        <v>34</v>
      </c>
      <c r="B38" s="14" t="s">
        <v>853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854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268653</v>
      </c>
    </row>
    <row r="42" spans="1:3" ht="20.149999999999999" customHeight="1" x14ac:dyDescent="0.35">
      <c r="A42" s="13">
        <v>38</v>
      </c>
      <c r="B42" s="14" t="s">
        <v>855</v>
      </c>
      <c r="C42" s="21">
        <f>data!D283</f>
        <v>268653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856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857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858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859</v>
      </c>
      <c r="C50" s="21">
        <f>data!D292</f>
        <v>59184422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860</v>
      </c>
      <c r="B53" s="5"/>
      <c r="C53" s="6"/>
    </row>
    <row r="54" spans="1:3" ht="20.149999999999999" customHeight="1" x14ac:dyDescent="0.35">
      <c r="A54" s="4"/>
      <c r="B54" s="5"/>
      <c r="C54" s="167" t="s">
        <v>861</v>
      </c>
    </row>
    <row r="55" spans="1:3" ht="20.149999999999999" customHeight="1" x14ac:dyDescent="0.35">
      <c r="A55" s="29" t="str">
        <f>"HOSPITAL: "&amp;data!C84</f>
        <v>HOSPITAL: PMH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862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863</v>
      </c>
      <c r="C59" s="21">
        <f>data!C305</f>
        <v>1390404</v>
      </c>
    </row>
    <row r="60" spans="1:3" ht="20.149999999999999" customHeight="1" x14ac:dyDescent="0.35">
      <c r="A60" s="13">
        <v>4</v>
      </c>
      <c r="B60" s="14" t="s">
        <v>864</v>
      </c>
      <c r="C60" s="21">
        <f>data!C306</f>
        <v>1134162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1329277</v>
      </c>
    </row>
    <row r="62" spans="1:3" ht="20.149999999999999" customHeight="1" x14ac:dyDescent="0.35">
      <c r="A62" s="13">
        <v>6</v>
      </c>
      <c r="B62" s="14" t="s">
        <v>865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866</v>
      </c>
      <c r="C63" s="21">
        <f>data!C309</f>
        <v>901118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19670</v>
      </c>
    </row>
    <row r="67" spans="1:3" ht="20.149999999999999" customHeight="1" x14ac:dyDescent="0.35">
      <c r="A67" s="13">
        <v>11</v>
      </c>
      <c r="B67" s="14" t="s">
        <v>867</v>
      </c>
      <c r="C67" s="21">
        <f>data!C313</f>
        <v>1170080</v>
      </c>
    </row>
    <row r="68" spans="1:3" ht="20.149999999999999" customHeight="1" x14ac:dyDescent="0.35">
      <c r="A68" s="13">
        <v>12</v>
      </c>
      <c r="B68" s="14" t="s">
        <v>868</v>
      </c>
      <c r="C68" s="21">
        <f>data!D314</f>
        <v>5944711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869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870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3166415</v>
      </c>
    </row>
    <row r="74" spans="1:3" ht="20.149999999999999" customHeight="1" x14ac:dyDescent="0.35">
      <c r="A74" s="13">
        <v>18</v>
      </c>
      <c r="B74" s="14" t="s">
        <v>871</v>
      </c>
      <c r="C74" s="21">
        <f>data!D319</f>
        <v>3166415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872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18665392</v>
      </c>
    </row>
    <row r="80" spans="1:3" ht="20.149999999999999" customHeight="1" x14ac:dyDescent="0.35">
      <c r="A80" s="13">
        <v>24</v>
      </c>
      <c r="B80" s="14" t="s">
        <v>873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874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18665392</v>
      </c>
    </row>
    <row r="85" spans="1:3" ht="20.149999999999999" customHeight="1" x14ac:dyDescent="0.35">
      <c r="A85" s="13">
        <v>29</v>
      </c>
      <c r="B85" s="14" t="s">
        <v>875</v>
      </c>
      <c r="C85" s="21">
        <f>data!D329</f>
        <v>1170080</v>
      </c>
    </row>
    <row r="86" spans="1:3" ht="20.149999999999999" customHeight="1" x14ac:dyDescent="0.35">
      <c r="A86" s="13">
        <v>30</v>
      </c>
      <c r="B86" s="14" t="s">
        <v>876</v>
      </c>
      <c r="C86" s="21">
        <f>data!D330</f>
        <v>17495312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877</v>
      </c>
      <c r="C88" s="21">
        <f>data!C332</f>
        <v>32577984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878</v>
      </c>
      <c r="C90" s="36"/>
    </row>
    <row r="91" spans="1:3" ht="20.149999999999999" customHeight="1" x14ac:dyDescent="0.35">
      <c r="A91" s="13">
        <v>35</v>
      </c>
      <c r="B91" s="14" t="s">
        <v>879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880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881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882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883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884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885</v>
      </c>
      <c r="C101" s="21">
        <f>data!C332+data!C334+data!C335+data!C336+data!C337-data!C338</f>
        <v>32577984</v>
      </c>
    </row>
    <row r="102" spans="1:3" ht="20.149999999999999" customHeight="1" x14ac:dyDescent="0.35">
      <c r="A102" s="13">
        <v>46</v>
      </c>
      <c r="B102" s="14" t="s">
        <v>886</v>
      </c>
      <c r="C102" s="21">
        <f>data!D339</f>
        <v>59184422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887</v>
      </c>
      <c r="B105" s="5"/>
      <c r="C105" s="6"/>
    </row>
    <row r="106" spans="1:3" ht="20.149999999999999" customHeight="1" x14ac:dyDescent="0.35">
      <c r="A106" s="45"/>
      <c r="B106" s="8"/>
      <c r="C106" s="167" t="s">
        <v>888</v>
      </c>
    </row>
    <row r="107" spans="1:3" ht="20.149999999999999" customHeight="1" x14ac:dyDescent="0.35">
      <c r="A107" s="29" t="str">
        <f>"HOSPITAL: "&amp;data!C84</f>
        <v>HOSPITAL: PMH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889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34408809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109715779</v>
      </c>
    </row>
    <row r="112" spans="1:3" ht="20.149999999999999" customHeight="1" x14ac:dyDescent="0.35">
      <c r="A112" s="13">
        <v>4</v>
      </c>
      <c r="B112" s="14" t="s">
        <v>890</v>
      </c>
      <c r="C112" s="21">
        <f>data!D361</f>
        <v>144124588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891</v>
      </c>
      <c r="C114" s="36"/>
    </row>
    <row r="115" spans="1:3" ht="20.149999999999999" customHeight="1" x14ac:dyDescent="0.35">
      <c r="A115" s="13">
        <v>7</v>
      </c>
      <c r="B115" s="269" t="s">
        <v>450</v>
      </c>
      <c r="C115" s="48">
        <f>data!C363</f>
        <v>3323931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79605282</v>
      </c>
    </row>
    <row r="117" spans="1:3" ht="20.149999999999999" customHeight="1" x14ac:dyDescent="0.35">
      <c r="A117" s="13">
        <v>9</v>
      </c>
      <c r="B117" s="14" t="s">
        <v>892</v>
      </c>
      <c r="C117" s="48">
        <f>data!C365</f>
        <v>1782001</v>
      </c>
    </row>
    <row r="118" spans="1:3" ht="20.149999999999999" customHeight="1" x14ac:dyDescent="0.35">
      <c r="A118" s="13">
        <v>10</v>
      </c>
      <c r="B118" s="14" t="s">
        <v>893</v>
      </c>
      <c r="C118" s="48">
        <f>data!C366</f>
        <v>0</v>
      </c>
    </row>
    <row r="119" spans="1:3" ht="20.149999999999999" customHeight="1" x14ac:dyDescent="0.35">
      <c r="A119" s="13">
        <v>11</v>
      </c>
      <c r="B119" s="14" t="s">
        <v>836</v>
      </c>
      <c r="C119" s="48">
        <f>data!D367</f>
        <v>84711214</v>
      </c>
    </row>
    <row r="120" spans="1:3" ht="20.149999999999999" customHeight="1" x14ac:dyDescent="0.35">
      <c r="A120" s="13">
        <v>12</v>
      </c>
      <c r="B120" s="14" t="s">
        <v>894</v>
      </c>
      <c r="C120" s="48">
        <f>data!D368</f>
        <v>59413374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5138939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856225</v>
      </c>
    </row>
    <row r="125" spans="1:3" ht="20.149999999999999" customHeight="1" x14ac:dyDescent="0.35">
      <c r="A125" s="13">
        <v>17</v>
      </c>
      <c r="B125" s="14" t="s">
        <v>895</v>
      </c>
      <c r="C125" s="48">
        <f>data!D372</f>
        <v>5995164</v>
      </c>
    </row>
    <row r="126" spans="1:3" ht="20.149999999999999" customHeight="1" x14ac:dyDescent="0.35">
      <c r="A126" s="13">
        <v>18</v>
      </c>
      <c r="B126" s="14" t="s">
        <v>896</v>
      </c>
      <c r="C126" s="48">
        <f>data!D373</f>
        <v>65408538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897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29263038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6452514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7462624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8221833</v>
      </c>
    </row>
    <row r="133" spans="1:3" ht="20.149999999999999" customHeight="1" x14ac:dyDescent="0.35">
      <c r="A133" s="13">
        <v>25</v>
      </c>
      <c r="B133" s="14" t="s">
        <v>898</v>
      </c>
      <c r="C133" s="48">
        <f>data!C382</f>
        <v>575775</v>
      </c>
    </row>
    <row r="134" spans="1:3" ht="20.149999999999999" customHeight="1" x14ac:dyDescent="0.35">
      <c r="A134" s="13">
        <v>26</v>
      </c>
      <c r="B134" s="14" t="s">
        <v>899</v>
      </c>
      <c r="C134" s="48">
        <f>data!C383</f>
        <v>3352762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2754873</v>
      </c>
    </row>
    <row r="136" spans="1:3" ht="20.149999999999999" customHeight="1" x14ac:dyDescent="0.35">
      <c r="A136" s="13">
        <v>28</v>
      </c>
      <c r="B136" s="14" t="s">
        <v>900</v>
      </c>
      <c r="C136" s="48">
        <f>data!C385</f>
        <v>2075213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417756</v>
      </c>
    </row>
    <row r="138" spans="1:3" ht="20.149999999999999" customHeight="1" x14ac:dyDescent="0.35">
      <c r="A138" s="13">
        <v>30</v>
      </c>
      <c r="B138" s="14" t="s">
        <v>901</v>
      </c>
      <c r="C138" s="48">
        <f>data!C387</f>
        <v>474816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386610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1483817</v>
      </c>
    </row>
    <row r="141" spans="1:3" ht="20.149999999999999" customHeight="1" x14ac:dyDescent="0.35">
      <c r="A141" s="13">
        <v>34</v>
      </c>
      <c r="B141" s="14" t="s">
        <v>902</v>
      </c>
      <c r="C141" s="48">
        <f>data!D390</f>
        <v>62921631</v>
      </c>
    </row>
    <row r="142" spans="1:3" ht="20.149999999999999" customHeight="1" x14ac:dyDescent="0.35">
      <c r="A142" s="13">
        <v>35</v>
      </c>
      <c r="B142" s="14" t="s">
        <v>903</v>
      </c>
      <c r="C142" s="48">
        <f>data!D391</f>
        <v>2486907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904</v>
      </c>
      <c r="C144" s="48">
        <f>data!C392</f>
        <v>464119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905</v>
      </c>
      <c r="C146" s="21">
        <f>data!D393</f>
        <v>2951026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906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907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908</v>
      </c>
      <c r="C151" s="48">
        <f>data!D396</f>
        <v>2951026</v>
      </c>
    </row>
    <row r="152" spans="1:3" ht="20.149999999999999" customHeight="1" x14ac:dyDescent="0.35">
      <c r="A152" s="40">
        <v>45</v>
      </c>
      <c r="B152" s="49" t="s">
        <v>909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topLeftCell="A367" workbookViewId="0">
      <selection activeCell="E371" sqref="E371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910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911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PMH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912</v>
      </c>
      <c r="C6" s="88" t="s">
        <v>92</v>
      </c>
      <c r="D6" s="18" t="s">
        <v>913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914</v>
      </c>
      <c r="E7" s="18" t="s">
        <v>163</v>
      </c>
      <c r="F7" s="18" t="s">
        <v>915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916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2249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19.36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662073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145987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1052911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88603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4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15827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116815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34481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8940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917</v>
      </c>
      <c r="C21" s="14">
        <f>data!C71</f>
        <v>0</v>
      </c>
      <c r="D21" s="14">
        <f>data!D71</f>
        <v>0</v>
      </c>
      <c r="E21" s="14">
        <f>data!E71</f>
        <v>2125637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06"/>
      <c r="D22" s="207"/>
      <c r="E22" s="207"/>
      <c r="F22" s="207"/>
      <c r="G22" s="207"/>
      <c r="H22" s="207"/>
      <c r="I22" s="207"/>
    </row>
    <row r="23" spans="1:9" ht="20.149999999999999" customHeight="1" x14ac:dyDescent="0.35">
      <c r="A23" s="23">
        <v>18</v>
      </c>
      <c r="B23" s="14" t="s">
        <v>918</v>
      </c>
      <c r="C23" s="48">
        <f>+data!M668</f>
        <v>0</v>
      </c>
      <c r="D23" s="48">
        <f>+data!M669</f>
        <v>0</v>
      </c>
      <c r="E23" s="48">
        <f>+data!M670</f>
        <v>1490518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919</v>
      </c>
      <c r="C24" s="14">
        <f>data!C73</f>
        <v>0</v>
      </c>
      <c r="D24" s="14">
        <f>data!D73</f>
        <v>0</v>
      </c>
      <c r="E24" s="14">
        <f>data!E73</f>
        <v>5157604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920</v>
      </c>
      <c r="C25" s="14">
        <f>data!C74</f>
        <v>0</v>
      </c>
      <c r="D25" s="14">
        <f>data!D74</f>
        <v>0</v>
      </c>
      <c r="E25" s="14">
        <f>data!E74</f>
        <v>1664125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921</v>
      </c>
      <c r="C26" s="14">
        <f>data!C75</f>
        <v>0</v>
      </c>
      <c r="D26" s="14">
        <f>data!D75</f>
        <v>0</v>
      </c>
      <c r="E26" s="14">
        <f>data!E75</f>
        <v>6821729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922</v>
      </c>
      <c r="B27" s="60"/>
      <c r="C27" s="207"/>
      <c r="D27" s="207"/>
      <c r="E27" s="207"/>
      <c r="F27" s="207"/>
      <c r="G27" s="207"/>
      <c r="H27" s="207"/>
      <c r="I27" s="207"/>
    </row>
    <row r="28" spans="1:9" ht="20.149999999999999" customHeight="1" x14ac:dyDescent="0.35">
      <c r="A28" s="23">
        <v>22</v>
      </c>
      <c r="B28" s="14" t="s">
        <v>923</v>
      </c>
      <c r="C28" s="14">
        <f>data!C76</f>
        <v>0</v>
      </c>
      <c r="D28" s="14">
        <f>data!D76</f>
        <v>0</v>
      </c>
      <c r="E28" s="14">
        <f>data!E76</f>
        <v>4407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924</v>
      </c>
      <c r="C29" s="14">
        <f>data!C77</f>
        <v>0</v>
      </c>
      <c r="D29" s="14">
        <f>data!D77</f>
        <v>0</v>
      </c>
      <c r="E29" s="14">
        <f>data!E77</f>
        <v>10075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925</v>
      </c>
      <c r="C30" s="14">
        <f>data!C78</f>
        <v>0</v>
      </c>
      <c r="D30" s="14">
        <f>data!D78</f>
        <v>0</v>
      </c>
      <c r="E30" s="14">
        <f>data!E78</f>
        <v>1128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926</v>
      </c>
      <c r="C31" s="14">
        <f>data!C79</f>
        <v>0</v>
      </c>
      <c r="D31" s="14">
        <f>data!D79</f>
        <v>0</v>
      </c>
      <c r="E31" s="14">
        <f>data!E79</f>
        <v>40277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16.47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910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927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PMH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912</v>
      </c>
      <c r="C38" s="25"/>
      <c r="D38" s="18" t="s">
        <v>100</v>
      </c>
      <c r="E38" s="18" t="s">
        <v>101</v>
      </c>
      <c r="F38" s="18" t="s">
        <v>928</v>
      </c>
      <c r="G38" s="18" t="s">
        <v>103</v>
      </c>
      <c r="H38" s="18" t="s">
        <v>929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916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696</v>
      </c>
      <c r="D41" s="14">
        <f>data!K59</f>
        <v>0</v>
      </c>
      <c r="E41" s="14">
        <f>data!L59</f>
        <v>1518</v>
      </c>
      <c r="F41" s="14">
        <f>data!M59</f>
        <v>0</v>
      </c>
      <c r="G41" s="14">
        <f>data!N59</f>
        <v>0</v>
      </c>
      <c r="H41" s="14">
        <f>data!O59</f>
        <v>696</v>
      </c>
      <c r="I41" s="14">
        <f>data!P59</f>
        <v>103979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6</v>
      </c>
      <c r="D42" s="26">
        <f>data!K60</f>
        <v>0</v>
      </c>
      <c r="E42" s="26">
        <f>data!L60</f>
        <v>12.24</v>
      </c>
      <c r="F42" s="26">
        <f>data!M60</f>
        <v>0</v>
      </c>
      <c r="G42" s="26">
        <f>data!N60</f>
        <v>0</v>
      </c>
      <c r="H42" s="26">
        <f>data!O60</f>
        <v>23.28</v>
      </c>
      <c r="I42" s="26">
        <f>data!P60</f>
        <v>31.1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191841</v>
      </c>
      <c r="D43" s="14">
        <f>data!K61</f>
        <v>0</v>
      </c>
      <c r="E43" s="14">
        <f>data!L61</f>
        <v>418413</v>
      </c>
      <c r="F43" s="14">
        <f>data!M61</f>
        <v>0</v>
      </c>
      <c r="G43" s="14">
        <f>data!N61</f>
        <v>0</v>
      </c>
      <c r="H43" s="14">
        <f>data!O61</f>
        <v>1353484</v>
      </c>
      <c r="I43" s="14">
        <f>data!P61</f>
        <v>1390102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42301</v>
      </c>
      <c r="D44" s="14">
        <f>data!K62</f>
        <v>0</v>
      </c>
      <c r="E44" s="14">
        <f>data!L62</f>
        <v>92260</v>
      </c>
      <c r="F44" s="14">
        <f>data!M62</f>
        <v>0</v>
      </c>
      <c r="G44" s="14">
        <f>data!N62</f>
        <v>0</v>
      </c>
      <c r="H44" s="14">
        <f>data!O62</f>
        <v>298444</v>
      </c>
      <c r="I44" s="14">
        <f>data!P62</f>
        <v>306518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305090</v>
      </c>
      <c r="D45" s="14">
        <f>data!K63</f>
        <v>0</v>
      </c>
      <c r="E45" s="14">
        <f>data!L63</f>
        <v>665412</v>
      </c>
      <c r="F45" s="14">
        <f>data!M63</f>
        <v>0</v>
      </c>
      <c r="G45" s="14">
        <f>data!N63</f>
        <v>0</v>
      </c>
      <c r="H45" s="14">
        <f>data!O63</f>
        <v>207000</v>
      </c>
      <c r="I45" s="14">
        <f>data!P63</f>
        <v>59250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25673</v>
      </c>
      <c r="D46" s="14">
        <f>data!K64</f>
        <v>0</v>
      </c>
      <c r="E46" s="14">
        <f>data!L64</f>
        <v>55995</v>
      </c>
      <c r="F46" s="14">
        <f>data!M64</f>
        <v>0</v>
      </c>
      <c r="G46" s="14">
        <f>data!N64</f>
        <v>0</v>
      </c>
      <c r="H46" s="14">
        <f>data!O64</f>
        <v>199693</v>
      </c>
      <c r="I46" s="14">
        <f>data!P64</f>
        <v>2178851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4586</v>
      </c>
      <c r="D48" s="14">
        <f>data!K66</f>
        <v>0</v>
      </c>
      <c r="E48" s="14">
        <f>data!L66</f>
        <v>10002</v>
      </c>
      <c r="F48" s="14">
        <f>data!M66</f>
        <v>0</v>
      </c>
      <c r="G48" s="14">
        <f>data!N66</f>
        <v>0</v>
      </c>
      <c r="H48" s="14">
        <f>data!O66</f>
        <v>21883</v>
      </c>
      <c r="I48" s="14">
        <f>data!P66</f>
        <v>126059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33849</v>
      </c>
      <c r="D49" s="14">
        <f>data!K67</f>
        <v>0</v>
      </c>
      <c r="E49" s="14">
        <f>data!L67</f>
        <v>73821</v>
      </c>
      <c r="F49" s="14">
        <f>data!M67</f>
        <v>0</v>
      </c>
      <c r="G49" s="14">
        <f>data!N67</f>
        <v>0</v>
      </c>
      <c r="H49" s="14">
        <f>data!O67</f>
        <v>64358</v>
      </c>
      <c r="I49" s="14">
        <f>data!P67</f>
        <v>184089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9991</v>
      </c>
      <c r="D50" s="14">
        <f>data!K68</f>
        <v>0</v>
      </c>
      <c r="E50" s="14">
        <f>data!L68</f>
        <v>21791</v>
      </c>
      <c r="F50" s="14">
        <f>data!M68</f>
        <v>0</v>
      </c>
      <c r="G50" s="14">
        <f>data!N68</f>
        <v>0</v>
      </c>
      <c r="H50" s="14">
        <f>data!O68</f>
        <v>18416</v>
      </c>
      <c r="I50" s="14">
        <f>data!P68</f>
        <v>521085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2591</v>
      </c>
      <c r="D51" s="14">
        <f>data!K69</f>
        <v>0</v>
      </c>
      <c r="E51" s="14">
        <f>data!L69</f>
        <v>5650</v>
      </c>
      <c r="F51" s="14">
        <f>data!M69</f>
        <v>0</v>
      </c>
      <c r="G51" s="14">
        <f>data!N69</f>
        <v>0</v>
      </c>
      <c r="H51" s="14">
        <f>data!O69</f>
        <v>15160</v>
      </c>
      <c r="I51" s="14">
        <f>data!P69</f>
        <v>149171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917</v>
      </c>
      <c r="C53" s="14">
        <f>data!J71</f>
        <v>615922</v>
      </c>
      <c r="D53" s="14">
        <f>data!K71</f>
        <v>0</v>
      </c>
      <c r="E53" s="14">
        <f>data!L71</f>
        <v>1343344</v>
      </c>
      <c r="F53" s="14">
        <f>data!M71</f>
        <v>0</v>
      </c>
      <c r="G53" s="14">
        <f>data!N71</f>
        <v>0</v>
      </c>
      <c r="H53" s="14">
        <f>data!O71</f>
        <v>2178438</v>
      </c>
      <c r="I53" s="14">
        <f>data!P71</f>
        <v>4915125</v>
      </c>
    </row>
    <row r="54" spans="1:9" ht="20.149999999999999" customHeight="1" x14ac:dyDescent="0.35">
      <c r="A54" s="23">
        <v>17</v>
      </c>
      <c r="B54" s="14" t="s">
        <v>244</v>
      </c>
      <c r="C54" s="207"/>
      <c r="D54" s="207"/>
      <c r="E54" s="207"/>
      <c r="F54" s="207"/>
      <c r="G54" s="207"/>
      <c r="H54" s="207"/>
      <c r="I54" s="207"/>
    </row>
    <row r="55" spans="1:9" ht="20.149999999999999" customHeight="1" x14ac:dyDescent="0.35">
      <c r="A55" s="23">
        <v>18</v>
      </c>
      <c r="B55" s="14" t="s">
        <v>918</v>
      </c>
      <c r="C55" s="48">
        <f>+data!M675</f>
        <v>284766</v>
      </c>
      <c r="D55" s="48">
        <f>+data!M676</f>
        <v>0</v>
      </c>
      <c r="E55" s="48">
        <f>+data!M677</f>
        <v>941993</v>
      </c>
      <c r="F55" s="48">
        <f>+data!M678</f>
        <v>0</v>
      </c>
      <c r="G55" s="48">
        <f>+data!M679</f>
        <v>0</v>
      </c>
      <c r="H55" s="48">
        <f>+data!M680</f>
        <v>784999</v>
      </c>
      <c r="I55" s="48">
        <f>+data!M681</f>
        <v>2037631</v>
      </c>
    </row>
    <row r="56" spans="1:9" ht="20.149999999999999" customHeight="1" x14ac:dyDescent="0.35">
      <c r="A56" s="23">
        <v>19</v>
      </c>
      <c r="B56" s="48" t="s">
        <v>919</v>
      </c>
      <c r="C56" s="14">
        <f>data!J73</f>
        <v>1494460</v>
      </c>
      <c r="D56" s="14">
        <f>data!K73</f>
        <v>0</v>
      </c>
      <c r="E56" s="14">
        <f>data!L73</f>
        <v>3259469</v>
      </c>
      <c r="F56" s="14">
        <f>data!M73</f>
        <v>0</v>
      </c>
      <c r="G56" s="14">
        <f>data!N73</f>
        <v>0</v>
      </c>
      <c r="H56" s="14">
        <f>data!O73</f>
        <v>2754437</v>
      </c>
      <c r="I56" s="14">
        <f>data!P73</f>
        <v>5044343</v>
      </c>
    </row>
    <row r="57" spans="1:9" ht="20.149999999999999" customHeight="1" x14ac:dyDescent="0.35">
      <c r="A57" s="23">
        <v>20</v>
      </c>
      <c r="B57" s="48" t="s">
        <v>920</v>
      </c>
      <c r="C57" s="14">
        <f>data!J74</f>
        <v>482194</v>
      </c>
      <c r="D57" s="14">
        <f>data!K74</f>
        <v>0</v>
      </c>
      <c r="E57" s="14">
        <f>data!L74</f>
        <v>1051683</v>
      </c>
      <c r="F57" s="14">
        <f>data!M74</f>
        <v>0</v>
      </c>
      <c r="G57" s="14">
        <f>data!N74</f>
        <v>0</v>
      </c>
      <c r="H57" s="14">
        <f>data!O74</f>
        <v>447186</v>
      </c>
      <c r="I57" s="14">
        <f>data!P74</f>
        <v>16687126</v>
      </c>
    </row>
    <row r="58" spans="1:9" ht="20.149999999999999" customHeight="1" x14ac:dyDescent="0.35">
      <c r="A58" s="23">
        <v>21</v>
      </c>
      <c r="B58" s="48" t="s">
        <v>921</v>
      </c>
      <c r="C58" s="14">
        <f>data!J75</f>
        <v>1976654</v>
      </c>
      <c r="D58" s="14">
        <f>data!K75</f>
        <v>0</v>
      </c>
      <c r="E58" s="14">
        <f>data!L75</f>
        <v>4311152</v>
      </c>
      <c r="F58" s="14">
        <f>data!M75</f>
        <v>0</v>
      </c>
      <c r="G58" s="14">
        <f>data!N75</f>
        <v>0</v>
      </c>
      <c r="H58" s="14">
        <f>data!O75</f>
        <v>3201623</v>
      </c>
      <c r="I58" s="14">
        <f>data!P75</f>
        <v>21731469</v>
      </c>
    </row>
    <row r="59" spans="1:9" ht="20.149999999999999" customHeight="1" x14ac:dyDescent="0.35">
      <c r="A59" s="23" t="s">
        <v>922</v>
      </c>
      <c r="B59" s="60"/>
      <c r="C59" s="207"/>
      <c r="D59" s="207"/>
      <c r="E59" s="207"/>
      <c r="F59" s="207"/>
      <c r="G59" s="207"/>
      <c r="H59" s="207"/>
      <c r="I59" s="207"/>
    </row>
    <row r="60" spans="1:9" ht="20.149999999999999" customHeight="1" x14ac:dyDescent="0.35">
      <c r="A60" s="23">
        <v>22</v>
      </c>
      <c r="B60" s="14" t="s">
        <v>923</v>
      </c>
      <c r="C60" s="14">
        <f>data!J76</f>
        <v>1277</v>
      </c>
      <c r="D60" s="14">
        <f>data!K76</f>
        <v>0</v>
      </c>
      <c r="E60" s="14">
        <f>data!L76</f>
        <v>2785</v>
      </c>
      <c r="F60" s="14">
        <f>data!M76</f>
        <v>0</v>
      </c>
      <c r="G60" s="14">
        <f>data!N76</f>
        <v>0</v>
      </c>
      <c r="H60" s="14">
        <f>data!O76</f>
        <v>2428</v>
      </c>
      <c r="I60" s="14">
        <f>data!P76</f>
        <v>6945</v>
      </c>
    </row>
    <row r="61" spans="1:9" ht="20.149999999999999" customHeight="1" x14ac:dyDescent="0.35">
      <c r="A61" s="23">
        <v>23</v>
      </c>
      <c r="B61" s="14" t="s">
        <v>924</v>
      </c>
      <c r="C61" s="14">
        <f>data!J77</f>
        <v>0</v>
      </c>
      <c r="D61" s="14">
        <f>data!K77</f>
        <v>0</v>
      </c>
      <c r="E61" s="14">
        <f>data!L77</f>
        <v>6367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925</v>
      </c>
      <c r="C62" s="14">
        <f>data!J78</f>
        <v>327</v>
      </c>
      <c r="D62" s="14">
        <f>data!K78</f>
        <v>0</v>
      </c>
      <c r="E62" s="14">
        <f>data!L78</f>
        <v>713</v>
      </c>
      <c r="F62" s="14">
        <f>data!M78</f>
        <v>0</v>
      </c>
      <c r="G62" s="14">
        <f>data!N78</f>
        <v>0</v>
      </c>
      <c r="H62" s="14">
        <f>data!O78</f>
        <v>622</v>
      </c>
      <c r="I62" s="14">
        <f>data!P78</f>
        <v>1778</v>
      </c>
    </row>
    <row r="63" spans="1:9" ht="20.149999999999999" customHeight="1" x14ac:dyDescent="0.35">
      <c r="A63" s="23">
        <v>25</v>
      </c>
      <c r="B63" s="14" t="s">
        <v>926</v>
      </c>
      <c r="C63" s="14">
        <f>data!J79</f>
        <v>11670</v>
      </c>
      <c r="D63" s="14">
        <f>data!K79</f>
        <v>0</v>
      </c>
      <c r="E63" s="14">
        <f>data!L79</f>
        <v>25454</v>
      </c>
      <c r="F63" s="14">
        <f>data!M79</f>
        <v>0</v>
      </c>
      <c r="G63" s="14">
        <f>data!N79</f>
        <v>0</v>
      </c>
      <c r="H63" s="14">
        <f>data!O79</f>
        <v>17652</v>
      </c>
      <c r="I63" s="14">
        <f>data!P79</f>
        <v>13726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5</v>
      </c>
      <c r="D64" s="26">
        <f>data!K80</f>
        <v>0</v>
      </c>
      <c r="E64" s="26">
        <f>data!L80</f>
        <v>10.41</v>
      </c>
      <c r="F64" s="26">
        <f>data!M80</f>
        <v>0</v>
      </c>
      <c r="G64" s="26">
        <f>data!N80</f>
        <v>0</v>
      </c>
      <c r="H64" s="26">
        <f>data!O80</f>
        <v>22.08</v>
      </c>
      <c r="I64" s="26">
        <f>data!P80</f>
        <v>21.67</v>
      </c>
    </row>
    <row r="65" spans="1:9" ht="20.149999999999999" customHeight="1" x14ac:dyDescent="0.35">
      <c r="A65" s="4" t="s">
        <v>910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930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PMH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912</v>
      </c>
      <c r="C70" s="18" t="s">
        <v>106</v>
      </c>
      <c r="D70" s="25"/>
      <c r="E70" s="18" t="s">
        <v>108</v>
      </c>
      <c r="F70" s="18" t="s">
        <v>931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932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916</v>
      </c>
      <c r="C72" s="15" t="s">
        <v>933</v>
      </c>
      <c r="D72" s="89" t="s">
        <v>934</v>
      </c>
      <c r="E72" s="208"/>
      <c r="F72" s="208"/>
      <c r="G72" s="89" t="s">
        <v>935</v>
      </c>
      <c r="H72" s="89" t="s">
        <v>935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08"/>
      <c r="F73" s="208"/>
      <c r="G73" s="14">
        <f>data!U59</f>
        <v>141216</v>
      </c>
      <c r="H73" s="14">
        <f>data!V59</f>
        <v>0</v>
      </c>
      <c r="I73" s="14">
        <f>data!W59</f>
        <v>1074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0</v>
      </c>
      <c r="D74" s="26">
        <f>data!R60</f>
        <v>0</v>
      </c>
      <c r="E74" s="26">
        <f>data!S60</f>
        <v>4.99</v>
      </c>
      <c r="F74" s="26">
        <f>data!T60</f>
        <v>0</v>
      </c>
      <c r="G74" s="26">
        <f>data!U60</f>
        <v>31.25</v>
      </c>
      <c r="H74" s="26">
        <f>data!V60</f>
        <v>0</v>
      </c>
      <c r="I74" s="26">
        <f>data!W60</f>
        <v>1.1499999999999999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0</v>
      </c>
      <c r="D75" s="14">
        <f>data!R61</f>
        <v>0</v>
      </c>
      <c r="E75" s="14">
        <f>data!S61</f>
        <v>171374</v>
      </c>
      <c r="F75" s="14">
        <f>data!T61</f>
        <v>0</v>
      </c>
      <c r="G75" s="14">
        <f>data!U61</f>
        <v>1265358</v>
      </c>
      <c r="H75" s="14">
        <f>data!V61</f>
        <v>0</v>
      </c>
      <c r="I75" s="14">
        <f>data!W61</f>
        <v>63600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0</v>
      </c>
      <c r="D76" s="14">
        <f>data!R62</f>
        <v>0</v>
      </c>
      <c r="E76" s="14">
        <f>data!S62</f>
        <v>37788</v>
      </c>
      <c r="F76" s="14">
        <f>data!T62</f>
        <v>0</v>
      </c>
      <c r="G76" s="14">
        <f>data!U62</f>
        <v>279012</v>
      </c>
      <c r="H76" s="14">
        <f>data!V62</f>
        <v>0</v>
      </c>
      <c r="I76" s="14">
        <f>data!W62</f>
        <v>14024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934111</v>
      </c>
      <c r="E77" s="14">
        <f>data!S63</f>
        <v>0</v>
      </c>
      <c r="F77" s="14">
        <f>data!T63</f>
        <v>0</v>
      </c>
      <c r="G77" s="14">
        <f>data!U63</f>
        <v>8250</v>
      </c>
      <c r="H77" s="14">
        <f>data!V63</f>
        <v>0</v>
      </c>
      <c r="I77" s="14">
        <f>data!W63</f>
        <v>42172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0</v>
      </c>
      <c r="D78" s="14">
        <f>data!R64</f>
        <v>2744</v>
      </c>
      <c r="E78" s="14">
        <f>data!S64</f>
        <v>-158137</v>
      </c>
      <c r="F78" s="14">
        <f>data!T64</f>
        <v>0</v>
      </c>
      <c r="G78" s="14">
        <f>data!U64</f>
        <v>1114168</v>
      </c>
      <c r="H78" s="14">
        <f>data!V64</f>
        <v>0</v>
      </c>
      <c r="I78" s="14">
        <f>data!W64</f>
        <v>8279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4437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0</v>
      </c>
      <c r="D80" s="14">
        <f>data!R66</f>
        <v>8425</v>
      </c>
      <c r="E80" s="14">
        <f>data!S66</f>
        <v>2283</v>
      </c>
      <c r="F80" s="14">
        <f>data!T66</f>
        <v>0</v>
      </c>
      <c r="G80" s="14">
        <f>data!U66</f>
        <v>630593</v>
      </c>
      <c r="H80" s="14">
        <f>data!V66</f>
        <v>0</v>
      </c>
      <c r="I80" s="14">
        <f>data!W66</f>
        <v>17760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0</v>
      </c>
      <c r="D81" s="14">
        <f>data!R67</f>
        <v>4268</v>
      </c>
      <c r="E81" s="14">
        <f>data!S67</f>
        <v>38170</v>
      </c>
      <c r="F81" s="14">
        <f>data!T67</f>
        <v>0</v>
      </c>
      <c r="G81" s="14">
        <f>data!U67</f>
        <v>42861</v>
      </c>
      <c r="H81" s="14">
        <f>data!V67</f>
        <v>0</v>
      </c>
      <c r="I81" s="14">
        <f>data!W67</f>
        <v>5911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8104</v>
      </c>
      <c r="F82" s="14">
        <f>data!T68</f>
        <v>0</v>
      </c>
      <c r="G82" s="14">
        <f>data!U68</f>
        <v>95249</v>
      </c>
      <c r="H82" s="14">
        <f>data!V68</f>
        <v>0</v>
      </c>
      <c r="I82" s="14">
        <f>data!W68</f>
        <v>6456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0</v>
      </c>
      <c r="D83" s="14">
        <f>data!R69</f>
        <v>3218</v>
      </c>
      <c r="E83" s="14">
        <f>data!S69</f>
        <v>127842</v>
      </c>
      <c r="F83" s="14">
        <f>data!T69</f>
        <v>0</v>
      </c>
      <c r="G83" s="14">
        <f>data!U69</f>
        <v>15703</v>
      </c>
      <c r="H83" s="14">
        <f>data!V69</f>
        <v>0</v>
      </c>
      <c r="I83" s="14">
        <f>data!W69</f>
        <v>1010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917</v>
      </c>
      <c r="C85" s="14">
        <f>data!Q71</f>
        <v>0</v>
      </c>
      <c r="D85" s="14">
        <f>data!R71</f>
        <v>952766</v>
      </c>
      <c r="E85" s="14">
        <f>data!S71</f>
        <v>231861</v>
      </c>
      <c r="F85" s="14">
        <f>data!T71</f>
        <v>0</v>
      </c>
      <c r="G85" s="14">
        <f>data!U71</f>
        <v>3451194</v>
      </c>
      <c r="H85" s="14">
        <f>data!V71</f>
        <v>0</v>
      </c>
      <c r="I85" s="14">
        <f>data!W71</f>
        <v>159212</v>
      </c>
    </row>
    <row r="86" spans="1:9" ht="20.149999999999999" customHeight="1" x14ac:dyDescent="0.35">
      <c r="A86" s="23">
        <v>17</v>
      </c>
      <c r="B86" s="14" t="s">
        <v>244</v>
      </c>
      <c r="C86" s="207"/>
      <c r="D86" s="207"/>
      <c r="E86" s="207"/>
      <c r="F86" s="207"/>
      <c r="G86" s="207"/>
      <c r="H86" s="207"/>
      <c r="I86" s="207"/>
    </row>
    <row r="87" spans="1:9" ht="20.149999999999999" customHeight="1" x14ac:dyDescent="0.35">
      <c r="A87" s="23">
        <v>18</v>
      </c>
      <c r="B87" s="14" t="s">
        <v>918</v>
      </c>
      <c r="C87" s="48">
        <f>+data!M682</f>
        <v>0</v>
      </c>
      <c r="D87" s="48">
        <f>+data!M683</f>
        <v>382031</v>
      </c>
      <c r="E87" s="48">
        <f>+data!M684</f>
        <v>253890</v>
      </c>
      <c r="F87" s="48">
        <f>+data!M685</f>
        <v>0</v>
      </c>
      <c r="G87" s="48">
        <f>+data!M686</f>
        <v>1242728</v>
      </c>
      <c r="H87" s="48">
        <f>+data!M687</f>
        <v>0</v>
      </c>
      <c r="I87" s="48">
        <f>+data!M688</f>
        <v>78923</v>
      </c>
    </row>
    <row r="88" spans="1:9" ht="20.149999999999999" customHeight="1" x14ac:dyDescent="0.35">
      <c r="A88" s="23">
        <v>19</v>
      </c>
      <c r="B88" s="48" t="s">
        <v>919</v>
      </c>
      <c r="C88" s="14">
        <f>data!Q73</f>
        <v>0</v>
      </c>
      <c r="D88" s="14">
        <f>data!R73</f>
        <v>2642869</v>
      </c>
      <c r="E88" s="14">
        <f>data!S73</f>
        <v>1065878</v>
      </c>
      <c r="F88" s="14">
        <f>data!T73</f>
        <v>0</v>
      </c>
      <c r="G88" s="14">
        <f>data!U73</f>
        <v>3065688</v>
      </c>
      <c r="H88" s="14">
        <f>data!V73</f>
        <v>0</v>
      </c>
      <c r="I88" s="14">
        <f>data!W73</f>
        <v>60660</v>
      </c>
    </row>
    <row r="89" spans="1:9" ht="20.149999999999999" customHeight="1" x14ac:dyDescent="0.35">
      <c r="A89" s="23">
        <v>20</v>
      </c>
      <c r="B89" s="48" t="s">
        <v>920</v>
      </c>
      <c r="C89" s="14">
        <f>data!Q74</f>
        <v>0</v>
      </c>
      <c r="D89" s="14">
        <f>data!R74</f>
        <v>3783137</v>
      </c>
      <c r="E89" s="14">
        <f>data!S74</f>
        <v>2644972</v>
      </c>
      <c r="F89" s="14">
        <f>data!T74</f>
        <v>0</v>
      </c>
      <c r="G89" s="14">
        <f>data!U74</f>
        <v>14504511</v>
      </c>
      <c r="H89" s="14">
        <f>data!V74</f>
        <v>0</v>
      </c>
      <c r="I89" s="14">
        <f>data!W74</f>
        <v>1104249</v>
      </c>
    </row>
    <row r="90" spans="1:9" ht="20.149999999999999" customHeight="1" x14ac:dyDescent="0.35">
      <c r="A90" s="23">
        <v>21</v>
      </c>
      <c r="B90" s="48" t="s">
        <v>921</v>
      </c>
      <c r="C90" s="14">
        <f>data!Q75</f>
        <v>0</v>
      </c>
      <c r="D90" s="14">
        <f>data!R75</f>
        <v>6426006</v>
      </c>
      <c r="E90" s="14">
        <f>data!S75</f>
        <v>3710850</v>
      </c>
      <c r="F90" s="14">
        <f>data!T75</f>
        <v>0</v>
      </c>
      <c r="G90" s="14">
        <f>data!U75</f>
        <v>17570199</v>
      </c>
      <c r="H90" s="14">
        <f>data!V75</f>
        <v>0</v>
      </c>
      <c r="I90" s="14">
        <f>data!W75</f>
        <v>1164909</v>
      </c>
    </row>
    <row r="91" spans="1:9" ht="20.149999999999999" customHeight="1" x14ac:dyDescent="0.35">
      <c r="A91" s="23" t="s">
        <v>922</v>
      </c>
      <c r="B91" s="60"/>
      <c r="C91" s="207"/>
      <c r="D91" s="207"/>
      <c r="E91" s="207"/>
      <c r="F91" s="207"/>
      <c r="G91" s="207"/>
      <c r="H91" s="207"/>
      <c r="I91" s="207"/>
    </row>
    <row r="92" spans="1:9" ht="20.149999999999999" customHeight="1" x14ac:dyDescent="0.35">
      <c r="A92" s="23">
        <v>22</v>
      </c>
      <c r="B92" s="14" t="s">
        <v>923</v>
      </c>
      <c r="C92" s="14">
        <f>data!Q76</f>
        <v>0</v>
      </c>
      <c r="D92" s="14">
        <f>data!R76</f>
        <v>161</v>
      </c>
      <c r="E92" s="14">
        <f>data!S76</f>
        <v>1440</v>
      </c>
      <c r="F92" s="14">
        <f>data!T76</f>
        <v>0</v>
      </c>
      <c r="G92" s="14">
        <f>data!U76</f>
        <v>1617</v>
      </c>
      <c r="H92" s="14">
        <f>data!V76</f>
        <v>0</v>
      </c>
      <c r="I92" s="14">
        <f>data!W76</f>
        <v>223</v>
      </c>
    </row>
    <row r="93" spans="1:9" ht="20.149999999999999" customHeight="1" x14ac:dyDescent="0.35">
      <c r="A93" s="23">
        <v>23</v>
      </c>
      <c r="B93" s="14" t="s">
        <v>924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925</v>
      </c>
      <c r="C94" s="14">
        <f>data!Q78</f>
        <v>0</v>
      </c>
      <c r="D94" s="14">
        <f>data!R78</f>
        <v>41</v>
      </c>
      <c r="E94" s="14">
        <f>data!S78</f>
        <v>369</v>
      </c>
      <c r="F94" s="14">
        <f>data!T78</f>
        <v>0</v>
      </c>
      <c r="G94" s="14">
        <f>data!U78</f>
        <v>414</v>
      </c>
      <c r="H94" s="14">
        <f>data!V78</f>
        <v>0</v>
      </c>
      <c r="I94" s="14">
        <f>data!W78</f>
        <v>57</v>
      </c>
    </row>
    <row r="95" spans="1:9" ht="20.149999999999999" customHeight="1" x14ac:dyDescent="0.35">
      <c r="A95" s="23">
        <v>25</v>
      </c>
      <c r="B95" s="14" t="s">
        <v>926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344</v>
      </c>
      <c r="H95" s="14">
        <f>data!V79</f>
        <v>0</v>
      </c>
      <c r="I95" s="14">
        <f>data!W79</f>
        <v>628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910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936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PMH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912</v>
      </c>
      <c r="C102" s="18" t="s">
        <v>937</v>
      </c>
      <c r="D102" s="18" t="s">
        <v>938</v>
      </c>
      <c r="E102" s="18" t="s">
        <v>938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916</v>
      </c>
      <c r="C104" s="89" t="s">
        <v>224</v>
      </c>
      <c r="D104" s="15" t="s">
        <v>939</v>
      </c>
      <c r="E104" s="15" t="s">
        <v>939</v>
      </c>
      <c r="F104" s="15" t="s">
        <v>939</v>
      </c>
      <c r="G104" s="208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4001</v>
      </c>
      <c r="D105" s="14">
        <f>data!Y59</f>
        <v>20472</v>
      </c>
      <c r="E105" s="14">
        <f>data!Z59</f>
        <v>0</v>
      </c>
      <c r="F105" s="14">
        <f>data!AA59</f>
        <v>0</v>
      </c>
      <c r="G105" s="208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15.89</v>
      </c>
      <c r="D106" s="26">
        <f>data!Y60</f>
        <v>10.1</v>
      </c>
      <c r="E106" s="26">
        <f>data!Z60</f>
        <v>0</v>
      </c>
      <c r="F106" s="26">
        <f>data!AA60</f>
        <v>0</v>
      </c>
      <c r="G106" s="26">
        <f>data!AB60</f>
        <v>3.22</v>
      </c>
      <c r="H106" s="26">
        <f>data!AC60</f>
        <v>17.010000000000002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875174</v>
      </c>
      <c r="D107" s="14">
        <f>data!Y61</f>
        <v>556300</v>
      </c>
      <c r="E107" s="14">
        <f>data!Z61</f>
        <v>0</v>
      </c>
      <c r="F107" s="14">
        <f>data!AA61</f>
        <v>0</v>
      </c>
      <c r="G107" s="14">
        <f>data!AB61</f>
        <v>230168</v>
      </c>
      <c r="H107" s="14">
        <f>data!AC61</f>
        <v>596395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192976</v>
      </c>
      <c r="D108" s="14">
        <f>data!Y62</f>
        <v>122664</v>
      </c>
      <c r="E108" s="14">
        <f>data!Z62</f>
        <v>0</v>
      </c>
      <c r="F108" s="14">
        <f>data!AA62</f>
        <v>0</v>
      </c>
      <c r="G108" s="14">
        <f>data!AB62</f>
        <v>50752</v>
      </c>
      <c r="H108" s="14">
        <f>data!AC62</f>
        <v>131505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580307</v>
      </c>
      <c r="D109" s="14">
        <f>data!Y63</f>
        <v>368870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250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113923</v>
      </c>
      <c r="D110" s="14">
        <f>data!Y64</f>
        <v>72414</v>
      </c>
      <c r="E110" s="14">
        <f>data!Z64</f>
        <v>0</v>
      </c>
      <c r="F110" s="14">
        <f>data!AA64</f>
        <v>0</v>
      </c>
      <c r="G110" s="14">
        <f>data!AB64</f>
        <v>1155000</v>
      </c>
      <c r="H110" s="14">
        <f>data!AC64</f>
        <v>74430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244377</v>
      </c>
      <c r="D112" s="14">
        <f>data!Y66</f>
        <v>155337</v>
      </c>
      <c r="E112" s="14">
        <f>data!Z66</f>
        <v>0</v>
      </c>
      <c r="F112" s="14">
        <f>data!AA66</f>
        <v>0</v>
      </c>
      <c r="G112" s="14">
        <f>data!AB66</f>
        <v>138846</v>
      </c>
      <c r="H112" s="14">
        <f>data!AC66</f>
        <v>3847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81482</v>
      </c>
      <c r="D113" s="14">
        <f>data!Y67</f>
        <v>51794</v>
      </c>
      <c r="E113" s="14">
        <f>data!Z67</f>
        <v>0</v>
      </c>
      <c r="F113" s="14">
        <f>data!AA67</f>
        <v>0</v>
      </c>
      <c r="G113" s="14">
        <f>data!AB67</f>
        <v>10523</v>
      </c>
      <c r="H113" s="14">
        <f>data!AC67</f>
        <v>23856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88835</v>
      </c>
      <c r="D114" s="14">
        <f>data!Y68</f>
        <v>56468</v>
      </c>
      <c r="E114" s="14">
        <f>data!Z68</f>
        <v>0</v>
      </c>
      <c r="F114" s="14">
        <f>data!AA68</f>
        <v>0</v>
      </c>
      <c r="G114" s="14">
        <f>data!AB68</f>
        <v>3713</v>
      </c>
      <c r="H114" s="14">
        <f>data!AC68</f>
        <v>15179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13896</v>
      </c>
      <c r="D115" s="14">
        <f>data!Y69</f>
        <v>8833</v>
      </c>
      <c r="E115" s="14">
        <f>data!Z69</f>
        <v>0</v>
      </c>
      <c r="F115" s="14">
        <f>data!AA69</f>
        <v>0</v>
      </c>
      <c r="G115" s="14">
        <f>data!AB69</f>
        <v>3729</v>
      </c>
      <c r="H115" s="14">
        <f>data!AC69</f>
        <v>11003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917</v>
      </c>
      <c r="C117" s="14">
        <f>data!X71</f>
        <v>2190970</v>
      </c>
      <c r="D117" s="14">
        <f>data!Y71</f>
        <v>1392680</v>
      </c>
      <c r="E117" s="14">
        <f>data!Z71</f>
        <v>0</v>
      </c>
      <c r="F117" s="14">
        <f>data!AA71</f>
        <v>0</v>
      </c>
      <c r="G117" s="14">
        <f>data!AB71</f>
        <v>1592731</v>
      </c>
      <c r="H117" s="14">
        <f>data!AC71</f>
        <v>856465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07"/>
      <c r="D118" s="207"/>
      <c r="E118" s="207"/>
      <c r="F118" s="207"/>
      <c r="G118" s="207"/>
      <c r="H118" s="207"/>
      <c r="I118" s="207"/>
    </row>
    <row r="119" spans="1:9" ht="20.149999999999999" customHeight="1" x14ac:dyDescent="0.35">
      <c r="A119" s="23">
        <v>18</v>
      </c>
      <c r="B119" s="14" t="s">
        <v>918</v>
      </c>
      <c r="C119" s="48">
        <f>+data!M689</f>
        <v>1086438</v>
      </c>
      <c r="D119" s="48">
        <f>+data!M690</f>
        <v>690580</v>
      </c>
      <c r="E119" s="48">
        <f>+data!M691</f>
        <v>0</v>
      </c>
      <c r="F119" s="48">
        <f>+data!M692</f>
        <v>0</v>
      </c>
      <c r="G119" s="48">
        <f>+data!M693</f>
        <v>445696</v>
      </c>
      <c r="H119" s="48">
        <f>+data!M694</f>
        <v>283759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919</v>
      </c>
      <c r="C120" s="14">
        <f>data!X73</f>
        <v>834717</v>
      </c>
      <c r="D120" s="14">
        <f>data!Y73</f>
        <v>530585</v>
      </c>
      <c r="E120" s="14">
        <f>data!Z73</f>
        <v>0</v>
      </c>
      <c r="F120" s="14">
        <f>data!AA73</f>
        <v>0</v>
      </c>
      <c r="G120" s="14">
        <f>data!AB73</f>
        <v>2569814</v>
      </c>
      <c r="H120" s="14">
        <f>data!AC73</f>
        <v>1553282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920</v>
      </c>
      <c r="C121" s="14">
        <f>data!X74</f>
        <v>15195147</v>
      </c>
      <c r="D121" s="14">
        <f>data!Y74</f>
        <v>9658731</v>
      </c>
      <c r="E121" s="14">
        <f>data!Z74</f>
        <v>0</v>
      </c>
      <c r="F121" s="14">
        <f>data!AA74</f>
        <v>0</v>
      </c>
      <c r="G121" s="14">
        <f>data!AB74</f>
        <v>3677319</v>
      </c>
      <c r="H121" s="14">
        <f>data!AC74</f>
        <v>1339426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921</v>
      </c>
      <c r="C122" s="14">
        <f>data!X75</f>
        <v>16029864</v>
      </c>
      <c r="D122" s="14">
        <f>data!Y75</f>
        <v>10189316</v>
      </c>
      <c r="E122" s="14">
        <f>data!Z75</f>
        <v>0</v>
      </c>
      <c r="F122" s="14">
        <f>data!AA75</f>
        <v>0</v>
      </c>
      <c r="G122" s="14">
        <f>data!AB75</f>
        <v>6247133</v>
      </c>
      <c r="H122" s="14">
        <f>data!AC75</f>
        <v>2892708</v>
      </c>
      <c r="I122" s="14">
        <f>data!AD75</f>
        <v>0</v>
      </c>
    </row>
    <row r="123" spans="1:9" ht="20.149999999999999" customHeight="1" x14ac:dyDescent="0.35">
      <c r="A123" s="23" t="s">
        <v>922</v>
      </c>
      <c r="B123" s="60"/>
      <c r="C123" s="207"/>
      <c r="D123" s="207"/>
      <c r="E123" s="207"/>
      <c r="F123" s="207"/>
      <c r="G123" s="207"/>
      <c r="H123" s="207"/>
      <c r="I123" s="207"/>
    </row>
    <row r="124" spans="1:9" ht="20.149999999999999" customHeight="1" x14ac:dyDescent="0.35">
      <c r="A124" s="23">
        <v>22</v>
      </c>
      <c r="B124" s="14" t="s">
        <v>923</v>
      </c>
      <c r="C124" s="14">
        <f>data!X76</f>
        <v>3074</v>
      </c>
      <c r="D124" s="14">
        <f>data!Y76</f>
        <v>1954</v>
      </c>
      <c r="E124" s="14">
        <f>data!Z76</f>
        <v>0</v>
      </c>
      <c r="F124" s="14">
        <f>data!AA76</f>
        <v>0</v>
      </c>
      <c r="G124" s="14">
        <f>data!AB76</f>
        <v>397</v>
      </c>
      <c r="H124" s="14">
        <f>data!AC76</f>
        <v>900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924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925</v>
      </c>
      <c r="C126" s="14">
        <f>data!X78</f>
        <v>787</v>
      </c>
      <c r="D126" s="14">
        <f>data!Y78</f>
        <v>500</v>
      </c>
      <c r="E126" s="14">
        <f>data!Z78</f>
        <v>0</v>
      </c>
      <c r="F126" s="14">
        <f>data!AA78</f>
        <v>0</v>
      </c>
      <c r="G126" s="14">
        <f>data!AB78</f>
        <v>102</v>
      </c>
      <c r="H126" s="14">
        <f>data!AC78</f>
        <v>230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926</v>
      </c>
      <c r="C127" s="14">
        <f>data!X79</f>
        <v>8639</v>
      </c>
      <c r="D127" s="14">
        <f>data!Y79</f>
        <v>5491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331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910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940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PMH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912</v>
      </c>
      <c r="C134" s="18" t="s">
        <v>96</v>
      </c>
      <c r="D134" s="18" t="s">
        <v>97</v>
      </c>
      <c r="E134" s="18" t="s">
        <v>118</v>
      </c>
      <c r="F134" s="25"/>
      <c r="G134" s="18" t="s">
        <v>941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916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942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11636</v>
      </c>
      <c r="D137" s="14">
        <f>data!AF59</f>
        <v>0</v>
      </c>
      <c r="E137" s="14">
        <f>data!AG59</f>
        <v>9662</v>
      </c>
      <c r="F137" s="14">
        <f>data!AH59</f>
        <v>1767</v>
      </c>
      <c r="G137" s="14">
        <f>data!AI59</f>
        <v>2966</v>
      </c>
      <c r="H137" s="14">
        <f>data!AJ59</f>
        <v>50856</v>
      </c>
      <c r="I137" s="14">
        <f>data!AK59</f>
        <v>1513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0</v>
      </c>
      <c r="D138" s="26">
        <f>data!AF60</f>
        <v>0</v>
      </c>
      <c r="E138" s="26">
        <f>data!AG60</f>
        <v>37.79</v>
      </c>
      <c r="F138" s="26">
        <f>data!AH60</f>
        <v>25.78</v>
      </c>
      <c r="G138" s="26">
        <f>data!AI60</f>
        <v>3.37</v>
      </c>
      <c r="H138" s="26">
        <f>data!AJ60</f>
        <v>81.31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0</v>
      </c>
      <c r="D139" s="14">
        <f>data!AF61</f>
        <v>0</v>
      </c>
      <c r="E139" s="14">
        <f>data!AG61</f>
        <v>3272109</v>
      </c>
      <c r="F139" s="14">
        <f>data!AH61</f>
        <v>951741</v>
      </c>
      <c r="G139" s="14">
        <f>data!AI61</f>
        <v>236917</v>
      </c>
      <c r="H139" s="14">
        <f>data!AJ61</f>
        <v>9792266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0</v>
      </c>
      <c r="D140" s="14">
        <f>data!AF62</f>
        <v>0</v>
      </c>
      <c r="E140" s="14">
        <f>data!AG62</f>
        <v>721502</v>
      </c>
      <c r="F140" s="14">
        <f>data!AH62</f>
        <v>209859</v>
      </c>
      <c r="G140" s="14">
        <f>data!AI62</f>
        <v>52240</v>
      </c>
      <c r="H140" s="14">
        <f>data!AJ62</f>
        <v>2159199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1343027</v>
      </c>
      <c r="D141" s="14">
        <f>data!AF63</f>
        <v>0</v>
      </c>
      <c r="E141" s="14">
        <f>data!AG63</f>
        <v>129522</v>
      </c>
      <c r="F141" s="14">
        <f>data!AH63</f>
        <v>0</v>
      </c>
      <c r="G141" s="14">
        <f>data!AI63</f>
        <v>0</v>
      </c>
      <c r="H141" s="14">
        <f>data!AJ63</f>
        <v>176149</v>
      </c>
      <c r="I141" s="14">
        <f>data!AK63</f>
        <v>257795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23399</v>
      </c>
      <c r="D142" s="14">
        <f>data!AF64</f>
        <v>0</v>
      </c>
      <c r="E142" s="14">
        <f>data!AG64</f>
        <v>145968</v>
      </c>
      <c r="F142" s="14">
        <f>data!AH64</f>
        <v>43746</v>
      </c>
      <c r="G142" s="14">
        <f>data!AI64</f>
        <v>33825</v>
      </c>
      <c r="H142" s="14">
        <f>data!AJ64</f>
        <v>727264</v>
      </c>
      <c r="I142" s="14">
        <f>data!AK64</f>
        <v>1398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10413</v>
      </c>
      <c r="D143" s="14">
        <f>data!AF65</f>
        <v>0</v>
      </c>
      <c r="E143" s="14">
        <f>data!AG65</f>
        <v>0</v>
      </c>
      <c r="F143" s="14">
        <f>data!AH65</f>
        <v>30062</v>
      </c>
      <c r="G143" s="14">
        <f>data!AI65</f>
        <v>0</v>
      </c>
      <c r="H143" s="14">
        <f>data!AJ65</f>
        <v>66439</v>
      </c>
      <c r="I143" s="14">
        <f>data!AK65</f>
        <v>970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31176</v>
      </c>
      <c r="D144" s="14">
        <f>data!AF66</f>
        <v>0</v>
      </c>
      <c r="E144" s="14">
        <f>data!AG66</f>
        <v>4690</v>
      </c>
      <c r="F144" s="14">
        <f>data!AH66</f>
        <v>89570</v>
      </c>
      <c r="G144" s="14">
        <f>data!AI66</f>
        <v>7141</v>
      </c>
      <c r="H144" s="14">
        <f>data!AJ66</f>
        <v>219322</v>
      </c>
      <c r="I144" s="14">
        <f>data!AK66</f>
        <v>1880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85723</v>
      </c>
      <c r="D145" s="14">
        <f>data!AF67</f>
        <v>0</v>
      </c>
      <c r="E145" s="14">
        <f>data!AG67</f>
        <v>82250</v>
      </c>
      <c r="F145" s="14">
        <f>data!AH67</f>
        <v>35280</v>
      </c>
      <c r="G145" s="14">
        <f>data!AI67</f>
        <v>16991</v>
      </c>
      <c r="H145" s="14">
        <f>data!AJ67</f>
        <v>832285</v>
      </c>
      <c r="I145" s="14">
        <f>data!AK67</f>
        <v>17813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229640</v>
      </c>
      <c r="D146" s="14">
        <f>data!AF68</f>
        <v>0</v>
      </c>
      <c r="E146" s="14">
        <f>data!AG68</f>
        <v>32152</v>
      </c>
      <c r="F146" s="14">
        <f>data!AH68</f>
        <v>1500</v>
      </c>
      <c r="G146" s="14">
        <f>data!AI68</f>
        <v>5020</v>
      </c>
      <c r="H146" s="14">
        <f>data!AJ68</f>
        <v>711102</v>
      </c>
      <c r="I146" s="14">
        <f>data!AK68</f>
        <v>11497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8652</v>
      </c>
      <c r="D147" s="14">
        <f>data!AF69</f>
        <v>0</v>
      </c>
      <c r="E147" s="14">
        <f>data!AG69</f>
        <v>32629</v>
      </c>
      <c r="F147" s="14">
        <f>data!AH69</f>
        <v>9566</v>
      </c>
      <c r="G147" s="14">
        <f>data!AI69</f>
        <v>4614</v>
      </c>
      <c r="H147" s="14">
        <f>data!AJ69</f>
        <v>149776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917</v>
      </c>
      <c r="C149" s="14">
        <f>data!AE71</f>
        <v>1732030</v>
      </c>
      <c r="D149" s="14">
        <f>data!AF71</f>
        <v>0</v>
      </c>
      <c r="E149" s="14">
        <f>data!AG71</f>
        <v>4420822</v>
      </c>
      <c r="F149" s="14">
        <f>data!AH71</f>
        <v>1371324</v>
      </c>
      <c r="G149" s="14">
        <f>data!AI71</f>
        <v>356748</v>
      </c>
      <c r="H149" s="14">
        <f>data!AJ71</f>
        <v>14833802</v>
      </c>
      <c r="I149" s="14">
        <f>data!AK71</f>
        <v>291353</v>
      </c>
    </row>
    <row r="150" spans="1:9" ht="20.149999999999999" customHeight="1" x14ac:dyDescent="0.35">
      <c r="A150" s="23">
        <v>17</v>
      </c>
      <c r="B150" s="14" t="s">
        <v>244</v>
      </c>
      <c r="C150" s="207"/>
      <c r="D150" s="207"/>
      <c r="E150" s="207"/>
      <c r="F150" s="207"/>
      <c r="G150" s="207"/>
      <c r="H150" s="207"/>
      <c r="I150" s="207"/>
    </row>
    <row r="151" spans="1:9" ht="20.149999999999999" customHeight="1" x14ac:dyDescent="0.35">
      <c r="A151" s="23">
        <v>18</v>
      </c>
      <c r="B151" s="14" t="s">
        <v>918</v>
      </c>
      <c r="C151" s="48">
        <f>+data!M696</f>
        <v>557823</v>
      </c>
      <c r="D151" s="48">
        <f>+data!M697</f>
        <v>0</v>
      </c>
      <c r="E151" s="48">
        <f>+data!M698</f>
        <v>1662518</v>
      </c>
      <c r="F151" s="48">
        <f>+data!M699</f>
        <v>349898</v>
      </c>
      <c r="G151" s="48">
        <f>+data!M700</f>
        <v>173868</v>
      </c>
      <c r="H151" s="48">
        <f>+data!M701</f>
        <v>3184295</v>
      </c>
      <c r="I151" s="48">
        <f>+data!M702</f>
        <v>82412</v>
      </c>
    </row>
    <row r="152" spans="1:9" ht="20.149999999999999" customHeight="1" x14ac:dyDescent="0.35">
      <c r="A152" s="23">
        <v>19</v>
      </c>
      <c r="B152" s="48" t="s">
        <v>919</v>
      </c>
      <c r="C152" s="14">
        <f>data!AE73</f>
        <v>546122</v>
      </c>
      <c r="D152" s="14">
        <f>data!AF73</f>
        <v>0</v>
      </c>
      <c r="E152" s="14">
        <f>data!AG73</f>
        <v>753963</v>
      </c>
      <c r="F152" s="14">
        <f>data!AH73</f>
        <v>0</v>
      </c>
      <c r="G152" s="14">
        <f>data!AI73</f>
        <v>566</v>
      </c>
      <c r="H152" s="14">
        <f>data!AJ73</f>
        <v>1378788</v>
      </c>
      <c r="I152" s="14">
        <f>data!AK73</f>
        <v>328282</v>
      </c>
    </row>
    <row r="153" spans="1:9" ht="20.149999999999999" customHeight="1" x14ac:dyDescent="0.35">
      <c r="A153" s="23">
        <v>20</v>
      </c>
      <c r="B153" s="48" t="s">
        <v>920</v>
      </c>
      <c r="C153" s="14">
        <f>data!AE74</f>
        <v>5561010</v>
      </c>
      <c r="D153" s="14">
        <f>data!AF74</f>
        <v>0</v>
      </c>
      <c r="E153" s="14">
        <f>data!AG74</f>
        <v>15917825</v>
      </c>
      <c r="F153" s="14">
        <f>data!AH74</f>
        <v>2444982</v>
      </c>
      <c r="G153" s="14">
        <f>data!AI74</f>
        <v>1475120</v>
      </c>
      <c r="H153" s="14">
        <f>data!AJ74</f>
        <v>10132596</v>
      </c>
      <c r="I153" s="14">
        <f>data!AK74</f>
        <v>370509</v>
      </c>
    </row>
    <row r="154" spans="1:9" ht="20.149999999999999" customHeight="1" x14ac:dyDescent="0.35">
      <c r="A154" s="23">
        <v>21</v>
      </c>
      <c r="B154" s="48" t="s">
        <v>921</v>
      </c>
      <c r="C154" s="14">
        <f>data!AE75</f>
        <v>6107132</v>
      </c>
      <c r="D154" s="14">
        <f>data!AF75</f>
        <v>0</v>
      </c>
      <c r="E154" s="14">
        <f>data!AG75</f>
        <v>16671788</v>
      </c>
      <c r="F154" s="14">
        <f>data!AH75</f>
        <v>2444982</v>
      </c>
      <c r="G154" s="14">
        <f>data!AI75</f>
        <v>1475686</v>
      </c>
      <c r="H154" s="14">
        <f>data!AJ75</f>
        <v>11511384</v>
      </c>
      <c r="I154" s="14">
        <f>data!AK75</f>
        <v>698791</v>
      </c>
    </row>
    <row r="155" spans="1:9" ht="20.149999999999999" customHeight="1" x14ac:dyDescent="0.35">
      <c r="A155" s="23" t="s">
        <v>922</v>
      </c>
      <c r="B155" s="60"/>
      <c r="C155" s="207"/>
      <c r="D155" s="207"/>
      <c r="E155" s="207"/>
      <c r="F155" s="207"/>
      <c r="G155" s="207"/>
      <c r="H155" s="207"/>
      <c r="I155" s="207"/>
    </row>
    <row r="156" spans="1:9" ht="20.149999999999999" customHeight="1" x14ac:dyDescent="0.35">
      <c r="A156" s="23">
        <v>22</v>
      </c>
      <c r="B156" s="14" t="s">
        <v>923</v>
      </c>
      <c r="C156" s="14">
        <f>data!AE76</f>
        <v>3234</v>
      </c>
      <c r="D156" s="14">
        <f>data!AF76</f>
        <v>0</v>
      </c>
      <c r="E156" s="14">
        <f>data!AG76</f>
        <v>3103</v>
      </c>
      <c r="F156" s="14">
        <f>data!AH76</f>
        <v>1331</v>
      </c>
      <c r="G156" s="14">
        <f>data!AI76</f>
        <v>641</v>
      </c>
      <c r="H156" s="14">
        <f>data!AJ76</f>
        <v>31399</v>
      </c>
      <c r="I156" s="14">
        <f>data!AK76</f>
        <v>672</v>
      </c>
    </row>
    <row r="157" spans="1:9" ht="20.149999999999999" customHeight="1" x14ac:dyDescent="0.35">
      <c r="A157" s="23">
        <v>23</v>
      </c>
      <c r="B157" s="14" t="s">
        <v>924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925</v>
      </c>
      <c r="C158" s="14">
        <f>data!AE78</f>
        <v>828</v>
      </c>
      <c r="D158" s="14">
        <f>data!AF78</f>
        <v>0</v>
      </c>
      <c r="E158" s="14">
        <f>data!AG78</f>
        <v>794</v>
      </c>
      <c r="F158" s="14">
        <f>data!AH78</f>
        <v>341</v>
      </c>
      <c r="G158" s="14">
        <f>data!AI78</f>
        <v>164</v>
      </c>
      <c r="H158" s="14">
        <f>data!AJ78</f>
        <v>8037</v>
      </c>
      <c r="I158" s="14">
        <f>data!AK78</f>
        <v>172</v>
      </c>
    </row>
    <row r="159" spans="1:9" ht="20.149999999999999" customHeight="1" x14ac:dyDescent="0.35">
      <c r="A159" s="23">
        <v>25</v>
      </c>
      <c r="B159" s="14" t="s">
        <v>926</v>
      </c>
      <c r="C159" s="14">
        <f>data!AE79</f>
        <v>10379</v>
      </c>
      <c r="D159" s="14">
        <f>data!AF79</f>
        <v>0</v>
      </c>
      <c r="E159" s="14">
        <f>data!AG79</f>
        <v>28268</v>
      </c>
      <c r="F159" s="14">
        <f>data!AH79</f>
        <v>2854</v>
      </c>
      <c r="G159" s="14">
        <f>data!AI79</f>
        <v>1206</v>
      </c>
      <c r="H159" s="14">
        <f>data!AJ79</f>
        <v>1777</v>
      </c>
      <c r="I159" s="14">
        <f>data!AK79</f>
        <v>1188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21.19</v>
      </c>
      <c r="F160" s="26">
        <f>data!AH80</f>
        <v>0</v>
      </c>
      <c r="G160" s="26">
        <f>data!AI80</f>
        <v>3.37</v>
      </c>
      <c r="H160" s="26">
        <f>data!AJ80</f>
        <v>4.92</v>
      </c>
      <c r="I160" s="26">
        <f>data!AK80</f>
        <v>0</v>
      </c>
    </row>
    <row r="161" spans="1:9" ht="20.149999999999999" customHeight="1" x14ac:dyDescent="0.35">
      <c r="A161" s="4" t="s">
        <v>910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943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PMH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912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944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945</v>
      </c>
      <c r="F167" s="18" t="s">
        <v>182</v>
      </c>
      <c r="G167" s="18" t="s">
        <v>121</v>
      </c>
      <c r="H167" s="88" t="s">
        <v>946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916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2617</v>
      </c>
      <c r="D169" s="14">
        <f>data!AM59</f>
        <v>0</v>
      </c>
      <c r="E169" s="14">
        <f>data!AN59</f>
        <v>0</v>
      </c>
      <c r="F169" s="14">
        <f>data!AO59</f>
        <v>14352</v>
      </c>
      <c r="G169" s="14">
        <f>data!AP59</f>
        <v>675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4.43</v>
      </c>
      <c r="G170" s="26">
        <f>data!AP60</f>
        <v>2.5499999999999998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164830</v>
      </c>
      <c r="G171" s="14">
        <f>data!AP61</f>
        <v>342303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36345</v>
      </c>
      <c r="G172" s="14">
        <f>data!AP62</f>
        <v>75478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218446</v>
      </c>
      <c r="D173" s="14">
        <f>data!AM63</f>
        <v>0</v>
      </c>
      <c r="E173" s="14">
        <f>data!AN63</f>
        <v>0</v>
      </c>
      <c r="F173" s="14">
        <f>data!AO63</f>
        <v>262132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3449</v>
      </c>
      <c r="D174" s="14">
        <f>data!AM64</f>
        <v>0</v>
      </c>
      <c r="E174" s="14">
        <f>data!AN64</f>
        <v>0</v>
      </c>
      <c r="F174" s="14">
        <f>data!AO64</f>
        <v>22058</v>
      </c>
      <c r="G174" s="14">
        <f>data!AP64</f>
        <v>992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476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2961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4965</v>
      </c>
      <c r="D176" s="14">
        <f>data!AM66</f>
        <v>0</v>
      </c>
      <c r="E176" s="14">
        <f>data!AN66</f>
        <v>0</v>
      </c>
      <c r="F176" s="14">
        <f>data!AO66</f>
        <v>3941</v>
      </c>
      <c r="G176" s="14">
        <f>data!AP66</f>
        <v>1988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10444</v>
      </c>
      <c r="D177" s="14">
        <f>data!AM67</f>
        <v>0</v>
      </c>
      <c r="E177" s="14">
        <f>data!AN67</f>
        <v>0</v>
      </c>
      <c r="F177" s="14">
        <f>data!AO67</f>
        <v>29078</v>
      </c>
      <c r="G177" s="14">
        <f>data!AP67</f>
        <v>58368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5725</v>
      </c>
      <c r="D178" s="14">
        <f>data!AM68</f>
        <v>0</v>
      </c>
      <c r="E178" s="14">
        <f>data!AN68</f>
        <v>0</v>
      </c>
      <c r="F178" s="14">
        <f>data!AO68</f>
        <v>8584</v>
      </c>
      <c r="G178" s="14">
        <f>data!AP68</f>
        <v>56325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2226</v>
      </c>
      <c r="G179" s="14">
        <f>data!AP69</f>
        <v>2361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917</v>
      </c>
      <c r="C181" s="14">
        <f>data!AL71</f>
        <v>243505</v>
      </c>
      <c r="D181" s="14">
        <f>data!AM71</f>
        <v>0</v>
      </c>
      <c r="E181" s="14">
        <f>data!AN71</f>
        <v>0</v>
      </c>
      <c r="F181" s="14">
        <f>data!AO71</f>
        <v>529194</v>
      </c>
      <c r="G181" s="14">
        <f>data!AP71</f>
        <v>540776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07"/>
      <c r="D182" s="207"/>
      <c r="E182" s="207"/>
      <c r="F182" s="207"/>
      <c r="G182" s="207"/>
      <c r="H182" s="207"/>
      <c r="I182" s="207"/>
    </row>
    <row r="183" spans="1:9" ht="20.149999999999999" customHeight="1" x14ac:dyDescent="0.35">
      <c r="A183" s="23">
        <v>18</v>
      </c>
      <c r="B183" s="14" t="s">
        <v>918</v>
      </c>
      <c r="C183" s="48">
        <f>+data!M703</f>
        <v>81437</v>
      </c>
      <c r="D183" s="48">
        <f>+data!M704</f>
        <v>0</v>
      </c>
      <c r="E183" s="48">
        <f>+data!M705</f>
        <v>0</v>
      </c>
      <c r="F183" s="48">
        <f>+data!M706</f>
        <v>367132</v>
      </c>
      <c r="G183" s="48">
        <f>+data!M707</f>
        <v>132393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919</v>
      </c>
      <c r="C184" s="14">
        <f>data!AL73</f>
        <v>84725</v>
      </c>
      <c r="D184" s="14">
        <f>data!AM73</f>
        <v>0</v>
      </c>
      <c r="E184" s="14">
        <f>data!AN73</f>
        <v>0</v>
      </c>
      <c r="F184" s="14">
        <f>data!AO73</f>
        <v>1284033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920</v>
      </c>
      <c r="C185" s="14">
        <f>data!AL74</f>
        <v>879944</v>
      </c>
      <c r="D185" s="14">
        <f>data!AM74</f>
        <v>0</v>
      </c>
      <c r="E185" s="14">
        <f>data!AN74</f>
        <v>0</v>
      </c>
      <c r="F185" s="14">
        <f>data!AO74</f>
        <v>414299</v>
      </c>
      <c r="G185" s="14">
        <f>data!AP74</f>
        <v>278212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921</v>
      </c>
      <c r="C186" s="14">
        <f>data!AL75</f>
        <v>964669</v>
      </c>
      <c r="D186" s="14">
        <f>data!AM75</f>
        <v>0</v>
      </c>
      <c r="E186" s="14">
        <f>data!AN75</f>
        <v>0</v>
      </c>
      <c r="F186" s="14">
        <f>data!AO75</f>
        <v>1698332</v>
      </c>
      <c r="G186" s="14">
        <f>data!AP75</f>
        <v>278212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922</v>
      </c>
      <c r="B187" s="60"/>
      <c r="C187" s="207"/>
      <c r="D187" s="207"/>
      <c r="E187" s="207"/>
      <c r="F187" s="207"/>
      <c r="G187" s="207"/>
      <c r="H187" s="207"/>
      <c r="I187" s="207"/>
    </row>
    <row r="188" spans="1:9" ht="20.149999999999999" customHeight="1" x14ac:dyDescent="0.35">
      <c r="A188" s="23">
        <v>22</v>
      </c>
      <c r="B188" s="14" t="s">
        <v>923</v>
      </c>
      <c r="C188" s="14">
        <f>data!AL76</f>
        <v>394</v>
      </c>
      <c r="D188" s="14">
        <f>data!AM76</f>
        <v>0</v>
      </c>
      <c r="E188" s="14">
        <f>data!AN76</f>
        <v>0</v>
      </c>
      <c r="F188" s="14">
        <f>data!AO76</f>
        <v>1097</v>
      </c>
      <c r="G188" s="14">
        <f>data!AP76</f>
        <v>2202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924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2508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925</v>
      </c>
      <c r="C190" s="14">
        <f>data!AL78</f>
        <v>101</v>
      </c>
      <c r="D190" s="14">
        <f>data!AM78</f>
        <v>0</v>
      </c>
      <c r="E190" s="14">
        <f>data!AN78</f>
        <v>0</v>
      </c>
      <c r="F190" s="14">
        <f>data!AO78</f>
        <v>281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926</v>
      </c>
      <c r="C191" s="14">
        <f>data!AL79</f>
        <v>1639</v>
      </c>
      <c r="D191" s="14">
        <f>data!AM79</f>
        <v>0</v>
      </c>
      <c r="E191" s="14">
        <f>data!AN79</f>
        <v>0</v>
      </c>
      <c r="F191" s="14">
        <f>data!AO79</f>
        <v>10027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3.87</v>
      </c>
      <c r="G192" s="26">
        <f>data!AP80</f>
        <v>0.64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910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947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PMH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912</v>
      </c>
      <c r="C198" s="25"/>
      <c r="D198" s="18" t="s">
        <v>130</v>
      </c>
      <c r="E198" s="18" t="s">
        <v>131</v>
      </c>
      <c r="F198" s="18" t="s">
        <v>132</v>
      </c>
      <c r="G198" s="18" t="s">
        <v>948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949</v>
      </c>
      <c r="E199" s="18" t="s">
        <v>950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916</v>
      </c>
      <c r="C200" s="15" t="s">
        <v>226</v>
      </c>
      <c r="D200" s="15" t="s">
        <v>949</v>
      </c>
      <c r="E200" s="15" t="s">
        <v>228</v>
      </c>
      <c r="F200" s="208"/>
      <c r="G200" s="208"/>
      <c r="H200" s="208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08"/>
      <c r="G201" s="208"/>
      <c r="H201" s="208"/>
      <c r="I201" s="14">
        <f>data!AY59</f>
        <v>18950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14.65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439171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96837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9144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228969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8084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57255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10682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917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850142</v>
      </c>
    </row>
    <row r="214" spans="1:9" ht="20.149999999999999" customHeight="1" x14ac:dyDescent="0.35">
      <c r="A214" s="23">
        <v>17</v>
      </c>
      <c r="B214" s="14" t="s">
        <v>244</v>
      </c>
      <c r="C214" s="207"/>
      <c r="D214" s="207"/>
      <c r="E214" s="207"/>
      <c r="F214" s="207"/>
      <c r="G214" s="207"/>
      <c r="H214" s="207"/>
      <c r="I214" s="207"/>
    </row>
    <row r="215" spans="1:9" ht="20.149999999999999" customHeight="1" x14ac:dyDescent="0.35">
      <c r="A215" s="23">
        <v>18</v>
      </c>
      <c r="B215" s="14" t="s">
        <v>918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919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09" t="str">
        <f>IF(data!AW73&gt;0,data!AW73,"")</f>
        <v>x</v>
      </c>
      <c r="H216" s="209" t="str">
        <f>IF(data!AX73&gt;0,data!AX73,"")</f>
        <v>x</v>
      </c>
      <c r="I216" s="209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920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09" t="str">
        <f>IF(data!AW74&gt;0,data!AW74,"")</f>
        <v>x</v>
      </c>
      <c r="H217" s="209" t="str">
        <f>IF(data!AX74&gt;0,data!AX74,"")</f>
        <v>x</v>
      </c>
      <c r="I217" s="209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921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09" t="str">
        <f>IF(data!AW75&gt;0,data!AW75,"")</f>
        <v>x</v>
      </c>
      <c r="H218" s="209" t="str">
        <f>IF(data!AX75&gt;0,data!AX75,"")</f>
        <v>x</v>
      </c>
      <c r="I218" s="209" t="str">
        <f>IF(data!AY75&gt;0,data!AY75,"")</f>
        <v>x</v>
      </c>
    </row>
    <row r="219" spans="1:9" ht="20.149999999999999" customHeight="1" x14ac:dyDescent="0.35">
      <c r="A219" s="23" t="s">
        <v>922</v>
      </c>
      <c r="B219" s="60"/>
      <c r="C219" s="207"/>
      <c r="D219" s="207"/>
      <c r="E219" s="207"/>
      <c r="F219" s="207"/>
      <c r="G219" s="207"/>
      <c r="H219" s="207"/>
      <c r="I219" s="207"/>
    </row>
    <row r="220" spans="1:9" ht="20.149999999999999" customHeight="1" x14ac:dyDescent="0.35">
      <c r="A220" s="23">
        <v>22</v>
      </c>
      <c r="B220" s="14" t="s">
        <v>923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2160</v>
      </c>
    </row>
    <row r="221" spans="1:9" ht="20.149999999999999" customHeight="1" x14ac:dyDescent="0.35">
      <c r="A221" s="23">
        <v>23</v>
      </c>
      <c r="B221" s="14" t="s">
        <v>924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09" t="str">
        <f>IF(data!AX77&gt;0,data!AX77,"")</f>
        <v>x</v>
      </c>
      <c r="I221" s="209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925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09" t="str">
        <f>IF(data!AX78&gt;0,data!AX78,"")</f>
        <v>x</v>
      </c>
      <c r="I222" s="209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926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09" t="str">
        <f>IF(data!AX79&gt;0,data!AX79,"")</f>
        <v>x</v>
      </c>
      <c r="I223" s="209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09" t="str">
        <f>IF(data!AW80&gt;0,data!AW80,"")</f>
        <v>x</v>
      </c>
      <c r="H224" s="209" t="str">
        <f>IF(data!AX80&gt;0,data!AX80,"")</f>
        <v>x</v>
      </c>
      <c r="I224" s="209" t="str">
        <f>IF(data!AY80&gt;0,data!AY80,"")</f>
        <v>x</v>
      </c>
    </row>
    <row r="225" spans="1:9" ht="20.149999999999999" customHeight="1" x14ac:dyDescent="0.35">
      <c r="A225" s="4" t="s">
        <v>910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951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PMH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912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952</v>
      </c>
      <c r="F231" s="18" t="s">
        <v>953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916</v>
      </c>
      <c r="C232" s="15" t="s">
        <v>954</v>
      </c>
      <c r="D232" s="15" t="s">
        <v>955</v>
      </c>
      <c r="E232" s="208"/>
      <c r="F232" s="208"/>
      <c r="G232" s="208"/>
      <c r="H232" s="15" t="s">
        <v>232</v>
      </c>
      <c r="I232" s="208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181548</v>
      </c>
      <c r="E233" s="208"/>
      <c r="F233" s="208"/>
      <c r="G233" s="208"/>
      <c r="H233" s="14">
        <f>data!BE59</f>
        <v>103931</v>
      </c>
      <c r="I233" s="208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3.84</v>
      </c>
      <c r="E234" s="26">
        <f>data!BB60</f>
        <v>2.11</v>
      </c>
      <c r="F234" s="26">
        <f>data!BC60</f>
        <v>0</v>
      </c>
      <c r="G234" s="26">
        <f>data!BD60</f>
        <v>0</v>
      </c>
      <c r="H234" s="26">
        <f>data!BE60</f>
        <v>8.4</v>
      </c>
      <c r="I234" s="26">
        <f>data!BF60</f>
        <v>15.13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110922</v>
      </c>
      <c r="E235" s="14">
        <f>data!BB61</f>
        <v>215465</v>
      </c>
      <c r="F235" s="14">
        <f>data!BC61</f>
        <v>0</v>
      </c>
      <c r="G235" s="14">
        <f>data!BD61</f>
        <v>0</v>
      </c>
      <c r="H235" s="14">
        <f>data!BE61</f>
        <v>373031</v>
      </c>
      <c r="I235" s="14">
        <f>data!BF61</f>
        <v>376538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24458</v>
      </c>
      <c r="E236" s="14">
        <f>data!BB62</f>
        <v>47510</v>
      </c>
      <c r="F236" s="14">
        <f>data!BC62</f>
        <v>0</v>
      </c>
      <c r="G236" s="14">
        <f>data!BD62</f>
        <v>0</v>
      </c>
      <c r="H236" s="14">
        <f>data!BE62</f>
        <v>82254</v>
      </c>
      <c r="I236" s="14">
        <f>data!BF62</f>
        <v>83027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54373</v>
      </c>
      <c r="E238" s="14">
        <f>data!BB64</f>
        <v>407</v>
      </c>
      <c r="F238" s="14">
        <f>data!BC64</f>
        <v>0</v>
      </c>
      <c r="G238" s="14">
        <f>data!BD64</f>
        <v>0</v>
      </c>
      <c r="H238" s="14">
        <f>data!BE64</f>
        <v>32410</v>
      </c>
      <c r="I238" s="14">
        <f>data!BF64</f>
        <v>26549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287590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2342</v>
      </c>
      <c r="E240" s="14">
        <f>data!BB66</f>
        <v>19455</v>
      </c>
      <c r="F240" s="14">
        <f>data!BC66</f>
        <v>0</v>
      </c>
      <c r="G240" s="14">
        <f>data!BD66</f>
        <v>0</v>
      </c>
      <c r="H240" s="14">
        <f>data!BE66</f>
        <v>154851</v>
      </c>
      <c r="I240" s="14">
        <f>data!BF66</f>
        <v>2288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23538</v>
      </c>
      <c r="E241" s="14">
        <f>data!BB67</f>
        <v>6971</v>
      </c>
      <c r="F241" s="14">
        <f>data!BC67</f>
        <v>0</v>
      </c>
      <c r="G241" s="14">
        <f>data!BD67</f>
        <v>0</v>
      </c>
      <c r="H241" s="14">
        <f>data!BE67</f>
        <v>166197</v>
      </c>
      <c r="I241" s="14">
        <f>data!BF67</f>
        <v>22266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2552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140</v>
      </c>
      <c r="E243" s="14">
        <f>data!BB69</f>
        <v>2232</v>
      </c>
      <c r="F243" s="14">
        <f>data!BC69</f>
        <v>0</v>
      </c>
      <c r="G243" s="14">
        <f>data!BD69</f>
        <v>0</v>
      </c>
      <c r="H243" s="14">
        <f>data!BE69</f>
        <v>5254</v>
      </c>
      <c r="I243" s="14">
        <f>data!BF69</f>
        <v>1732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917</v>
      </c>
      <c r="C245" s="14">
        <f>data!AZ71</f>
        <v>0</v>
      </c>
      <c r="D245" s="14">
        <f>data!BA71</f>
        <v>215773</v>
      </c>
      <c r="E245" s="14">
        <f>data!BB71</f>
        <v>292040</v>
      </c>
      <c r="F245" s="14">
        <f>data!BC71</f>
        <v>0</v>
      </c>
      <c r="G245" s="14">
        <f>data!BD71</f>
        <v>0</v>
      </c>
      <c r="H245" s="14">
        <f>data!BE71</f>
        <v>1104139</v>
      </c>
      <c r="I245" s="14">
        <f>data!BF71</f>
        <v>512400</v>
      </c>
    </row>
    <row r="246" spans="1:9" ht="20.149999999999999" customHeight="1" x14ac:dyDescent="0.35">
      <c r="A246" s="23">
        <v>17</v>
      </c>
      <c r="B246" s="14" t="s">
        <v>244</v>
      </c>
      <c r="C246" s="207"/>
      <c r="D246" s="207"/>
      <c r="E246" s="207"/>
      <c r="F246" s="207"/>
      <c r="G246" s="207"/>
      <c r="H246" s="207"/>
      <c r="I246" s="207"/>
    </row>
    <row r="247" spans="1:9" ht="20.149999999999999" customHeight="1" x14ac:dyDescent="0.35">
      <c r="A247" s="23">
        <v>18</v>
      </c>
      <c r="B247" s="14" t="s">
        <v>918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919</v>
      </c>
      <c r="C248" s="209" t="str">
        <f>IF(data!AZ73&gt;0,data!AZ73,"")</f>
        <v>x</v>
      </c>
      <c r="D248" s="209" t="str">
        <f>IF(data!BA73&gt;0,data!BA73,"")</f>
        <v>x</v>
      </c>
      <c r="E248" s="209" t="str">
        <f>IF(data!BB73&gt;0,data!BB73,"")</f>
        <v>x</v>
      </c>
      <c r="F248" s="209" t="str">
        <f>IF(data!BC73&gt;0,data!BC73,"")</f>
        <v>x</v>
      </c>
      <c r="G248" s="209" t="str">
        <f>IF(data!BD73&gt;0,data!BD73,"")</f>
        <v>x</v>
      </c>
      <c r="H248" s="209" t="str">
        <f>IF(data!BE73&gt;0,data!BE73,"")</f>
        <v>x</v>
      </c>
      <c r="I248" s="209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920</v>
      </c>
      <c r="C249" s="209" t="str">
        <f>IF(data!AZ74&gt;0,data!AZ74,"")</f>
        <v>x</v>
      </c>
      <c r="D249" s="209" t="str">
        <f>IF(data!BA74&gt;0,data!BA74,"")</f>
        <v>x</v>
      </c>
      <c r="E249" s="209" t="str">
        <f>IF(data!BB74&gt;0,data!BB74,"")</f>
        <v>x</v>
      </c>
      <c r="F249" s="209" t="str">
        <f>IF(data!BC74&gt;0,data!BC74,"")</f>
        <v>x</v>
      </c>
      <c r="G249" s="209" t="str">
        <f>IF(data!BD74&gt;0,data!BD74,"")</f>
        <v>x</v>
      </c>
      <c r="H249" s="209" t="str">
        <f>IF(data!BE74&gt;0,data!BE74,"")</f>
        <v>x</v>
      </c>
      <c r="I249" s="209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921</v>
      </c>
      <c r="C250" s="209" t="str">
        <f>IF(data!AZ75&gt;0,data!AZ75,"")</f>
        <v>x</v>
      </c>
      <c r="D250" s="209" t="str">
        <f>IF(data!BA75&gt;0,data!BA75,"")</f>
        <v>x</v>
      </c>
      <c r="E250" s="209" t="str">
        <f>IF(data!BB75&gt;0,data!BB75,"")</f>
        <v>x</v>
      </c>
      <c r="F250" s="209" t="str">
        <f>IF(data!BC75&gt;0,data!BC75,"")</f>
        <v>x</v>
      </c>
      <c r="G250" s="209" t="str">
        <f>IF(data!BD75&gt;0,data!BD75,"")</f>
        <v>x</v>
      </c>
      <c r="H250" s="209" t="str">
        <f>IF(data!BE75&gt;0,data!BE75,"")</f>
        <v>x</v>
      </c>
      <c r="I250" s="209" t="str">
        <f>IF(data!BF75&gt;0,data!BF75,"")</f>
        <v>x</v>
      </c>
    </row>
    <row r="251" spans="1:9" ht="20.149999999999999" customHeight="1" x14ac:dyDescent="0.35">
      <c r="A251" s="23" t="s">
        <v>922</v>
      </c>
      <c r="B251" s="60"/>
      <c r="C251" s="207"/>
      <c r="D251" s="207"/>
      <c r="E251" s="207"/>
      <c r="F251" s="207"/>
      <c r="G251" s="207"/>
      <c r="H251" s="207"/>
      <c r="I251" s="207"/>
    </row>
    <row r="252" spans="1:9" ht="20.149999999999999" customHeight="1" x14ac:dyDescent="0.35">
      <c r="A252" s="23">
        <v>22</v>
      </c>
      <c r="B252" s="14" t="s">
        <v>923</v>
      </c>
      <c r="C252" s="85">
        <f>data!AZ76</f>
        <v>0</v>
      </c>
      <c r="D252" s="85">
        <f>data!BA76</f>
        <v>888</v>
      </c>
      <c r="E252" s="85">
        <f>data!BB76</f>
        <v>263</v>
      </c>
      <c r="F252" s="85">
        <f>data!BC76</f>
        <v>0</v>
      </c>
      <c r="G252" s="85">
        <f>data!BD76</f>
        <v>0</v>
      </c>
      <c r="H252" s="85">
        <f>data!BE76</f>
        <v>6270</v>
      </c>
      <c r="I252" s="85">
        <f>data!BF76</f>
        <v>840</v>
      </c>
    </row>
    <row r="253" spans="1:9" ht="20.149999999999999" customHeight="1" x14ac:dyDescent="0.35">
      <c r="A253" s="23">
        <v>23</v>
      </c>
      <c r="B253" s="14" t="s">
        <v>924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09" t="str">
        <f>IF(data!BD77&gt;0,data!BD77,"")</f>
        <v>x</v>
      </c>
      <c r="H253" s="209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925</v>
      </c>
      <c r="C254" s="209" t="str">
        <f>IF(data!AZ78&gt;0,data!AZ78,"")</f>
        <v>x</v>
      </c>
      <c r="D254" s="85">
        <f>data!BA78</f>
        <v>227</v>
      </c>
      <c r="E254" s="85">
        <f>data!BB78</f>
        <v>67</v>
      </c>
      <c r="F254" s="85">
        <f>data!BC78</f>
        <v>0</v>
      </c>
      <c r="G254" s="209" t="str">
        <f>IF(data!BD78&gt;0,data!BD78,"")</f>
        <v>x</v>
      </c>
      <c r="H254" s="209" t="str">
        <f>IF(data!BE78&gt;0,data!BE78,"")</f>
        <v>x</v>
      </c>
      <c r="I254" s="209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926</v>
      </c>
      <c r="C255" s="209" t="str">
        <f>IF(data!AZ79&gt;0,data!AZ79,"")</f>
        <v>x</v>
      </c>
      <c r="D255" s="209" t="str">
        <f>IF(data!BA79&gt;0,data!BA79,"")</f>
        <v>x</v>
      </c>
      <c r="E255" s="85">
        <f>data!BB79</f>
        <v>0</v>
      </c>
      <c r="F255" s="85">
        <f>data!BC79</f>
        <v>0</v>
      </c>
      <c r="G255" s="209" t="str">
        <f>IF(data!BD79&gt;0,data!BD79,"")</f>
        <v>x</v>
      </c>
      <c r="H255" s="209" t="str">
        <f>IF(data!BE79&gt;0,data!BE79,"")</f>
        <v>x</v>
      </c>
      <c r="I255" s="209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09" t="str">
        <f>IF(data!AZ80&gt;0,data!AZ80,"")</f>
        <v>x</v>
      </c>
      <c r="D256" s="209" t="str">
        <f>IF(data!BA80&gt;0,data!BA80,"")</f>
        <v>x</v>
      </c>
      <c r="E256" s="209" t="str">
        <f>IF(data!BB80&gt;0,data!BB80,"")</f>
        <v>x</v>
      </c>
      <c r="F256" s="209" t="str">
        <f>IF(data!BC80&gt;0,data!BC80,"")</f>
        <v>x</v>
      </c>
      <c r="G256" s="209" t="str">
        <f>IF(data!BD80&gt;0,data!BD80,"")</f>
        <v>x</v>
      </c>
      <c r="H256" s="209" t="str">
        <f>IF(data!BE80&gt;0,data!BE80,"")</f>
        <v>x</v>
      </c>
      <c r="I256" s="209" t="str">
        <f>IF(data!BF80&gt;0,data!BF80,"")</f>
        <v>x</v>
      </c>
    </row>
    <row r="257" spans="1:9" ht="20.149999999999999" customHeight="1" x14ac:dyDescent="0.35">
      <c r="A257" s="4" t="s">
        <v>910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956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PMH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912</v>
      </c>
      <c r="C262" s="18" t="s">
        <v>957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958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959</v>
      </c>
    </row>
    <row r="264" spans="1:9" ht="20.149999999999999" customHeight="1" x14ac:dyDescent="0.35">
      <c r="A264" s="23">
        <v>3</v>
      </c>
      <c r="B264" s="14" t="s">
        <v>916</v>
      </c>
      <c r="C264" s="208"/>
      <c r="D264" s="208"/>
      <c r="E264" s="208"/>
      <c r="F264" s="208"/>
      <c r="G264" s="208"/>
      <c r="H264" s="208"/>
      <c r="I264" s="208"/>
    </row>
    <row r="265" spans="1:9" ht="20.149999999999999" customHeight="1" x14ac:dyDescent="0.35">
      <c r="A265" s="23">
        <v>4</v>
      </c>
      <c r="B265" s="14" t="s">
        <v>233</v>
      </c>
      <c r="C265" s="208"/>
      <c r="D265" s="208"/>
      <c r="E265" s="208"/>
      <c r="F265" s="208"/>
      <c r="G265" s="208"/>
      <c r="H265" s="208"/>
      <c r="I265" s="208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</v>
      </c>
      <c r="D266" s="26">
        <f>data!BH60</f>
        <v>9.4600000000000009</v>
      </c>
      <c r="E266" s="26">
        <f>data!BI60</f>
        <v>0</v>
      </c>
      <c r="F266" s="26">
        <f>data!BJ60</f>
        <v>5.53</v>
      </c>
      <c r="G266" s="26">
        <f>data!BK60</f>
        <v>28.37</v>
      </c>
      <c r="H266" s="26">
        <f>data!BL60</f>
        <v>0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0</v>
      </c>
      <c r="D267" s="14">
        <f>data!BH61</f>
        <v>604806</v>
      </c>
      <c r="E267" s="14">
        <f>data!BI61</f>
        <v>0</v>
      </c>
      <c r="F267" s="14">
        <f>data!BJ61</f>
        <v>548991</v>
      </c>
      <c r="G267" s="14">
        <f>data!BK61</f>
        <v>1142892</v>
      </c>
      <c r="H267" s="14">
        <f>data!BL61</f>
        <v>0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0</v>
      </c>
      <c r="D268" s="14">
        <f>data!BH62</f>
        <v>133360</v>
      </c>
      <c r="E268" s="14">
        <f>data!BI62</f>
        <v>0</v>
      </c>
      <c r="F268" s="14">
        <f>data!BJ62</f>
        <v>121053</v>
      </c>
      <c r="G268" s="14">
        <f>data!BK62</f>
        <v>252008</v>
      </c>
      <c r="H268" s="14">
        <f>data!BL62</f>
        <v>0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189489</v>
      </c>
      <c r="G269" s="14">
        <f>data!BK63</f>
        <v>80535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1349672</v>
      </c>
      <c r="E270" s="14">
        <f>data!BI64</f>
        <v>0</v>
      </c>
      <c r="F270" s="14">
        <f>data!BJ64</f>
        <v>5317</v>
      </c>
      <c r="G270" s="14">
        <f>data!BK64</f>
        <v>67541</v>
      </c>
      <c r="H270" s="14">
        <f>data!BL64</f>
        <v>0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172427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0</v>
      </c>
      <c r="D272" s="14">
        <f>data!BH66</f>
        <v>120797</v>
      </c>
      <c r="E272" s="14">
        <f>data!BI66</f>
        <v>0</v>
      </c>
      <c r="F272" s="14">
        <f>data!BJ66</f>
        <v>6088</v>
      </c>
      <c r="G272" s="14">
        <f>data!BK66</f>
        <v>160636</v>
      </c>
      <c r="H272" s="14">
        <f>data!BL66</f>
        <v>0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18343</v>
      </c>
      <c r="E273" s="14">
        <f>data!BI67</f>
        <v>0</v>
      </c>
      <c r="F273" s="14">
        <f>data!BJ67</f>
        <v>19721</v>
      </c>
      <c r="G273" s="14">
        <f>data!BK67</f>
        <v>13624</v>
      </c>
      <c r="H273" s="14">
        <f>data!BL67</f>
        <v>0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117249</v>
      </c>
      <c r="E274" s="14">
        <f>data!BI68</f>
        <v>0</v>
      </c>
      <c r="F274" s="14">
        <f>data!BJ68</f>
        <v>0</v>
      </c>
      <c r="G274" s="14">
        <f>data!BK68</f>
        <v>8316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32952</v>
      </c>
      <c r="E275" s="14">
        <f>data!BI69</f>
        <v>0</v>
      </c>
      <c r="F275" s="14">
        <f>data!BJ69</f>
        <v>119208</v>
      </c>
      <c r="G275" s="14">
        <f>data!BK69</f>
        <v>70486</v>
      </c>
      <c r="H275" s="14">
        <f>data!BL69</f>
        <v>0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917</v>
      </c>
      <c r="C277" s="14">
        <f>data!BG71</f>
        <v>0</v>
      </c>
      <c r="D277" s="14">
        <f>data!BH71</f>
        <v>2549606</v>
      </c>
      <c r="E277" s="14">
        <f>data!BI71</f>
        <v>0</v>
      </c>
      <c r="F277" s="14">
        <f>data!BJ71</f>
        <v>1009867</v>
      </c>
      <c r="G277" s="14">
        <f>data!BK71</f>
        <v>1796038</v>
      </c>
      <c r="H277" s="14">
        <f>data!BL71</f>
        <v>0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07"/>
      <c r="D278" s="207"/>
      <c r="E278" s="207"/>
      <c r="F278" s="207"/>
      <c r="G278" s="207"/>
      <c r="H278" s="207"/>
      <c r="I278" s="207"/>
    </row>
    <row r="279" spans="1:9" ht="20.149999999999999" customHeight="1" x14ac:dyDescent="0.35">
      <c r="A279" s="23">
        <v>18</v>
      </c>
      <c r="B279" s="14" t="s">
        <v>918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919</v>
      </c>
      <c r="C280" s="209" t="str">
        <f>IF(data!BG73&gt;0,data!BG73,"")</f>
        <v>x</v>
      </c>
      <c r="D280" s="209" t="str">
        <f>IF(data!BH73&gt;0,data!BH73,"")</f>
        <v>x</v>
      </c>
      <c r="E280" s="209" t="str">
        <f>IF(data!BI73&gt;0,data!BI73,"")</f>
        <v>x</v>
      </c>
      <c r="F280" s="209" t="str">
        <f>IF(data!BJ73&gt;0,data!BJ73,"")</f>
        <v>x</v>
      </c>
      <c r="G280" s="209" t="str">
        <f>IF(data!BK73&gt;0,data!BK73,"")</f>
        <v>x</v>
      </c>
      <c r="H280" s="209" t="str">
        <f>IF(data!BL73&gt;0,data!BL73,"")</f>
        <v>x</v>
      </c>
      <c r="I280" s="209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920</v>
      </c>
      <c r="C281" s="209" t="str">
        <f>IF(data!BG74&gt;0,data!BG74,"")</f>
        <v>x</v>
      </c>
      <c r="D281" s="209" t="str">
        <f>IF(data!BH74&gt;0,data!BH74,"")</f>
        <v>x</v>
      </c>
      <c r="E281" s="209" t="str">
        <f>IF(data!BI74&gt;0,data!BI74,"")</f>
        <v>x</v>
      </c>
      <c r="F281" s="209" t="str">
        <f>IF(data!BJ74&gt;0,data!BJ74,"")</f>
        <v>x</v>
      </c>
      <c r="G281" s="209" t="str">
        <f>IF(data!BK74&gt;0,data!BK74,"")</f>
        <v>x</v>
      </c>
      <c r="H281" s="209" t="str">
        <f>IF(data!BL74&gt;0,data!BL74,"")</f>
        <v>x</v>
      </c>
      <c r="I281" s="209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921</v>
      </c>
      <c r="C282" s="209" t="str">
        <f>IF(data!BG75&gt;0,data!BG75,"")</f>
        <v>x</v>
      </c>
      <c r="D282" s="209" t="str">
        <f>IF(data!BH75&gt;0,data!BH75,"")</f>
        <v>x</v>
      </c>
      <c r="E282" s="209" t="str">
        <f>IF(data!BI75&gt;0,data!BI75,"")</f>
        <v>x</v>
      </c>
      <c r="F282" s="209" t="str">
        <f>IF(data!BJ75&gt;0,data!BJ75,"")</f>
        <v>x</v>
      </c>
      <c r="G282" s="209" t="str">
        <f>IF(data!BK75&gt;0,data!BK75,"")</f>
        <v>x</v>
      </c>
      <c r="H282" s="209" t="str">
        <f>IF(data!BL75&gt;0,data!BL75,"")</f>
        <v>x</v>
      </c>
      <c r="I282" s="209" t="str">
        <f>IF(data!BM75&gt;0,data!BM75,"")</f>
        <v>x</v>
      </c>
    </row>
    <row r="283" spans="1:9" ht="20.149999999999999" customHeight="1" x14ac:dyDescent="0.35">
      <c r="A283" s="23" t="s">
        <v>922</v>
      </c>
      <c r="B283" s="60"/>
      <c r="C283" s="211"/>
      <c r="D283" s="211"/>
      <c r="E283" s="211"/>
      <c r="F283" s="211"/>
      <c r="G283" s="211"/>
      <c r="H283" s="211"/>
      <c r="I283" s="211"/>
    </row>
    <row r="284" spans="1:9" ht="20.149999999999999" customHeight="1" x14ac:dyDescent="0.35">
      <c r="A284" s="23">
        <v>22</v>
      </c>
      <c r="B284" s="14" t="s">
        <v>923</v>
      </c>
      <c r="C284" s="85">
        <f>data!BG76</f>
        <v>0</v>
      </c>
      <c r="D284" s="85">
        <f>data!BH76</f>
        <v>692</v>
      </c>
      <c r="E284" s="85">
        <f>data!BI76</f>
        <v>0</v>
      </c>
      <c r="F284" s="85">
        <f>data!BJ76</f>
        <v>744</v>
      </c>
      <c r="G284" s="85">
        <f>data!BK76</f>
        <v>514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924</v>
      </c>
      <c r="C285" s="209" t="str">
        <f>IF(data!BG77&gt;0,data!BG77,"")</f>
        <v>x</v>
      </c>
      <c r="D285" s="85">
        <f>data!BH77</f>
        <v>0</v>
      </c>
      <c r="E285" s="85">
        <f>data!BI77</f>
        <v>0</v>
      </c>
      <c r="F285" s="209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925</v>
      </c>
      <c r="C286" s="209" t="str">
        <f>IF(data!BG78&gt;0,data!BG78,"")</f>
        <v>x</v>
      </c>
      <c r="D286" s="85">
        <f>data!BH78</f>
        <v>0</v>
      </c>
      <c r="E286" s="85">
        <f>data!BI78</f>
        <v>0</v>
      </c>
      <c r="F286" s="209" t="str">
        <f>IF(data!BJ78&gt;0,data!BJ78,"")</f>
        <v>x</v>
      </c>
      <c r="G286" s="85">
        <f>data!BK78</f>
        <v>132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926</v>
      </c>
      <c r="C287" s="209" t="str">
        <f>IF(data!BG79&gt;0,data!BG79,"")</f>
        <v>x</v>
      </c>
      <c r="D287" s="85">
        <f>data!BH79</f>
        <v>0</v>
      </c>
      <c r="E287" s="85">
        <f>data!BI79</f>
        <v>0</v>
      </c>
      <c r="F287" s="209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09" t="str">
        <f>IF(data!BG80&gt;0,data!BG80,"")</f>
        <v>x</v>
      </c>
      <c r="D288" s="209" t="str">
        <f>IF(data!BH80&gt;0,data!BH80,"")</f>
        <v>x</v>
      </c>
      <c r="E288" s="209" t="str">
        <f>IF(data!BI80&gt;0,data!BI80,"")</f>
        <v>x</v>
      </c>
      <c r="F288" s="209" t="str">
        <f>IF(data!BJ80&gt;0,data!BJ80,"")</f>
        <v>x</v>
      </c>
      <c r="G288" s="209" t="str">
        <f>IF(data!BK80&gt;0,data!BK80,"")</f>
        <v>x</v>
      </c>
      <c r="H288" s="209" t="str">
        <f>IF(data!BL80&gt;0,data!BL80,"")</f>
        <v>x</v>
      </c>
      <c r="I288" s="209" t="str">
        <f>IF(data!BM80&gt;0,data!BM80,"")</f>
        <v>x</v>
      </c>
    </row>
    <row r="289" spans="1:9" ht="20.149999999999999" customHeight="1" x14ac:dyDescent="0.35">
      <c r="A289" s="4" t="s">
        <v>910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960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PMH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912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961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916</v>
      </c>
      <c r="C296" s="208"/>
      <c r="D296" s="208"/>
      <c r="E296" s="208"/>
      <c r="F296" s="208"/>
      <c r="G296" s="208"/>
      <c r="H296" s="208"/>
      <c r="I296" s="208"/>
    </row>
    <row r="297" spans="1:9" ht="20.149999999999999" customHeight="1" x14ac:dyDescent="0.35">
      <c r="A297" s="23">
        <v>4</v>
      </c>
      <c r="B297" s="14" t="s">
        <v>233</v>
      </c>
      <c r="C297" s="208"/>
      <c r="D297" s="208"/>
      <c r="E297" s="208"/>
      <c r="F297" s="208"/>
      <c r="G297" s="208"/>
      <c r="H297" s="208"/>
      <c r="I297" s="208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2.52</v>
      </c>
      <c r="D298" s="26">
        <f>data!BO60</f>
        <v>0.74</v>
      </c>
      <c r="E298" s="26">
        <f>data!BP60</f>
        <v>3.08</v>
      </c>
      <c r="F298" s="26">
        <f>data!BQ60</f>
        <v>0</v>
      </c>
      <c r="G298" s="26">
        <f>data!BR60</f>
        <v>4.38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806164</v>
      </c>
      <c r="D299" s="14">
        <f>data!BO61</f>
        <v>63681</v>
      </c>
      <c r="E299" s="14">
        <f>data!BP61</f>
        <v>206895</v>
      </c>
      <c r="F299" s="14">
        <f>data!BQ61</f>
        <v>0</v>
      </c>
      <c r="G299" s="14">
        <f>data!BR61</f>
        <v>336807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177760</v>
      </c>
      <c r="D300" s="14">
        <f>data!BO62</f>
        <v>14042</v>
      </c>
      <c r="E300" s="14">
        <f>data!BP62</f>
        <v>45620</v>
      </c>
      <c r="F300" s="14">
        <f>data!BQ62</f>
        <v>0</v>
      </c>
      <c r="G300" s="14">
        <f>data!BR62</f>
        <v>74266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207576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84786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-51039</v>
      </c>
      <c r="D302" s="14">
        <f>data!BO64</f>
        <v>125</v>
      </c>
      <c r="E302" s="14">
        <f>data!BP64</f>
        <v>260014</v>
      </c>
      <c r="F302" s="14">
        <f>data!BQ64</f>
        <v>0</v>
      </c>
      <c r="G302" s="14">
        <f>data!BR64</f>
        <v>203140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 t="str">
        <f>data!BP65</f>
        <v xml:space="preserve"> 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83387</v>
      </c>
      <c r="D304" s="14">
        <f>data!BO66</f>
        <v>0</v>
      </c>
      <c r="E304" s="14">
        <f>data!BP66</f>
        <v>841925</v>
      </c>
      <c r="F304" s="14">
        <f>data!BQ66</f>
        <v>0</v>
      </c>
      <c r="G304" s="14">
        <f>data!BR66</f>
        <v>46370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458143</v>
      </c>
      <c r="D305" s="14">
        <f>data!BO67</f>
        <v>0</v>
      </c>
      <c r="E305" s="14">
        <f>data!BP67</f>
        <v>16302</v>
      </c>
      <c r="F305" s="14">
        <f>data!BQ67</f>
        <v>0</v>
      </c>
      <c r="G305" s="14">
        <f>data!BR67</f>
        <v>6812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1843</v>
      </c>
      <c r="D306" s="14">
        <f>data!BO68</f>
        <v>0</v>
      </c>
      <c r="E306" s="14">
        <f>data!BP68</f>
        <v>736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404876</v>
      </c>
      <c r="D307" s="14">
        <f>data!BO69</f>
        <v>95</v>
      </c>
      <c r="E307" s="14">
        <f>data!BP69</f>
        <v>50122</v>
      </c>
      <c r="F307" s="14">
        <f>data!BQ69</f>
        <v>0</v>
      </c>
      <c r="G307" s="14">
        <f>data!BR69</f>
        <v>188265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917</v>
      </c>
      <c r="C309" s="14">
        <f>data!BN71</f>
        <v>2088710</v>
      </c>
      <c r="D309" s="14">
        <f>data!BO71</f>
        <v>77943</v>
      </c>
      <c r="E309" s="14">
        <f>data!BP71</f>
        <v>1421614</v>
      </c>
      <c r="F309" s="14">
        <f>data!BQ71</f>
        <v>0</v>
      </c>
      <c r="G309" s="14">
        <f>data!BR71</f>
        <v>940446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07"/>
      <c r="D310" s="207"/>
      <c r="E310" s="207"/>
      <c r="F310" s="207"/>
      <c r="G310" s="207"/>
      <c r="H310" s="207"/>
      <c r="I310" s="207"/>
    </row>
    <row r="311" spans="1:9" ht="20.149999999999999" customHeight="1" x14ac:dyDescent="0.35">
      <c r="A311" s="23">
        <v>18</v>
      </c>
      <c r="B311" s="14" t="s">
        <v>918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919</v>
      </c>
      <c r="C312" s="209" t="str">
        <f>IF(data!BN73&gt;0,data!BN73,"")</f>
        <v>x</v>
      </c>
      <c r="D312" s="209" t="str">
        <f>IF(data!BO73&gt;0,data!BO73,"")</f>
        <v>x</v>
      </c>
      <c r="E312" s="209" t="str">
        <f>IF(data!BP73&gt;0,data!BP73,"")</f>
        <v>x</v>
      </c>
      <c r="F312" s="209" t="str">
        <f>IF(data!BQ73&gt;0,data!BQ73,"")</f>
        <v>x</v>
      </c>
      <c r="G312" s="209" t="str">
        <f>IF(data!BR73&gt;0,data!BR73,"")</f>
        <v>x</v>
      </c>
      <c r="H312" s="209" t="str">
        <f>IF(data!BS73&gt;0,data!BS73,"")</f>
        <v>x</v>
      </c>
      <c r="I312" s="209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920</v>
      </c>
      <c r="C313" s="209" t="str">
        <f>IF(data!BN74&gt;0,data!BN74,"")</f>
        <v>x</v>
      </c>
      <c r="D313" s="209" t="str">
        <f>IF(data!BO74&gt;0,data!BO74,"")</f>
        <v>x</v>
      </c>
      <c r="E313" s="209" t="str">
        <f>IF(data!BP74&gt;0,data!BP74,"")</f>
        <v>x</v>
      </c>
      <c r="F313" s="209" t="str">
        <f>IF(data!BQ74&gt;0,data!BQ74,"")</f>
        <v>x</v>
      </c>
      <c r="G313" s="209" t="str">
        <f>IF(data!BR74&gt;0,data!BR74,"")</f>
        <v>x</v>
      </c>
      <c r="H313" s="209" t="str">
        <f>IF(data!BS74&gt;0,data!BS74,"")</f>
        <v>x</v>
      </c>
      <c r="I313" s="209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921</v>
      </c>
      <c r="C314" s="209" t="str">
        <f>IF(data!BN75&gt;0,data!BN75,"")</f>
        <v>x</v>
      </c>
      <c r="D314" s="209" t="str">
        <f>IF(data!BO75&gt;0,data!BO75,"")</f>
        <v>x</v>
      </c>
      <c r="E314" s="209" t="str">
        <f>IF(data!BP75&gt;0,data!BP75,"")</f>
        <v>x</v>
      </c>
      <c r="F314" s="209" t="str">
        <f>IF(data!BQ75&gt;0,data!BQ75,"")</f>
        <v>x</v>
      </c>
      <c r="G314" s="209" t="str">
        <f>IF(data!BR75&gt;0,data!BR75,"")</f>
        <v>x</v>
      </c>
      <c r="H314" s="209" t="str">
        <f>IF(data!BS75&gt;0,data!BS75,"")</f>
        <v>x</v>
      </c>
      <c r="I314" s="209" t="str">
        <f>IF(data!BT75&gt;0,data!BT75,"")</f>
        <v>x</v>
      </c>
    </row>
    <row r="315" spans="1:9" ht="20.149999999999999" customHeight="1" x14ac:dyDescent="0.35">
      <c r="A315" s="23" t="s">
        <v>922</v>
      </c>
      <c r="B315" s="60"/>
      <c r="C315" s="207"/>
      <c r="D315" s="207"/>
      <c r="E315" s="207"/>
      <c r="F315" s="207"/>
      <c r="G315" s="207"/>
      <c r="H315" s="207"/>
      <c r="I315" s="207"/>
    </row>
    <row r="316" spans="1:9" ht="20.149999999999999" customHeight="1" x14ac:dyDescent="0.35">
      <c r="A316" s="23">
        <v>22</v>
      </c>
      <c r="B316" s="14" t="s">
        <v>923</v>
      </c>
      <c r="C316" s="85">
        <f>data!BN76</f>
        <v>17284</v>
      </c>
      <c r="D316" s="85">
        <f>data!BO76</f>
        <v>0</v>
      </c>
      <c r="E316" s="85">
        <f>data!BP76</f>
        <v>615</v>
      </c>
      <c r="F316" s="85">
        <f>data!BQ76</f>
        <v>0</v>
      </c>
      <c r="G316" s="85">
        <f>data!BR76</f>
        <v>257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924</v>
      </c>
      <c r="C317" s="209" t="str">
        <f>IF(data!BN77&gt;0,data!BN77,"")</f>
        <v>x</v>
      </c>
      <c r="D317" s="209" t="str">
        <f>IF(data!BO77&gt;0,data!BO77,"")</f>
        <v>x</v>
      </c>
      <c r="E317" s="209" t="str">
        <f>IF(data!BP77&gt;0,data!BP77,"")</f>
        <v>x</v>
      </c>
      <c r="F317" s="209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925</v>
      </c>
      <c r="C318" s="209" t="str">
        <f>IF(data!BN78&gt;0,data!BN78,"")</f>
        <v>x</v>
      </c>
      <c r="D318" s="209" t="str">
        <f>IF(data!BO78&gt;0,data!BO78,"")</f>
        <v>x</v>
      </c>
      <c r="E318" s="209" t="str">
        <f>IF(data!BP78&gt;0,data!BP78,"")</f>
        <v>x</v>
      </c>
      <c r="F318" s="209" t="str">
        <f>IF(data!BQ78&gt;0,data!BQ78,"")</f>
        <v>x</v>
      </c>
      <c r="G318" s="209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926</v>
      </c>
      <c r="C319" s="209" t="str">
        <f>IF(data!BN79&gt;0,data!BN79,"")</f>
        <v>x</v>
      </c>
      <c r="D319" s="209" t="str">
        <f>IF(data!BO79&gt;0,data!BO79,"")</f>
        <v>x</v>
      </c>
      <c r="E319" s="209" t="str">
        <f>IF(data!BP79&gt;0,data!BP79,"")</f>
        <v>x</v>
      </c>
      <c r="F319" s="209" t="str">
        <f>IF(data!BQ79&gt;0,data!BQ79,"")</f>
        <v>x</v>
      </c>
      <c r="G319" s="209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2" t="str">
        <f>IF(data!BN80&gt;0,data!BN80,"")</f>
        <v>x</v>
      </c>
      <c r="D320" s="212" t="str">
        <f>IF(data!BO80&gt;0,data!BO80,"")</f>
        <v>x</v>
      </c>
      <c r="E320" s="212" t="str">
        <f>IF(data!BP80&gt;0,data!BP80,"")</f>
        <v>x</v>
      </c>
      <c r="F320" s="212" t="str">
        <f>IF(data!BQ80&gt;0,data!BQ80,"")</f>
        <v>x</v>
      </c>
      <c r="G320" s="212" t="str">
        <f>IF(data!BR80&gt;0,data!BR80,"")</f>
        <v>x</v>
      </c>
      <c r="H320" s="212" t="str">
        <f>IF(data!BS80&gt;0,data!BS80,"")</f>
        <v>x</v>
      </c>
      <c r="I320" s="212" t="str">
        <f>IF(data!BT80&gt;0,data!BT80,"")</f>
        <v>x</v>
      </c>
    </row>
    <row r="321" spans="1:9" ht="20.149999999999999" customHeight="1" x14ac:dyDescent="0.35">
      <c r="A321" s="4" t="s">
        <v>910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962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PMH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912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961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916</v>
      </c>
      <c r="C328" s="208"/>
      <c r="D328" s="208"/>
      <c r="E328" s="208"/>
      <c r="F328" s="208"/>
      <c r="G328" s="208"/>
      <c r="H328" s="208"/>
      <c r="I328" s="208"/>
    </row>
    <row r="329" spans="1:9" ht="20.149999999999999" customHeight="1" x14ac:dyDescent="0.35">
      <c r="A329" s="23">
        <v>4</v>
      </c>
      <c r="B329" s="14" t="s">
        <v>233</v>
      </c>
      <c r="C329" s="208"/>
      <c r="D329" s="208"/>
      <c r="E329" s="208"/>
      <c r="F329" s="208"/>
      <c r="G329" s="208"/>
      <c r="H329" s="208"/>
      <c r="I329" s="208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7.46</v>
      </c>
      <c r="E330" s="26">
        <f>data!BW60</f>
        <v>2.08</v>
      </c>
      <c r="F330" s="26">
        <f>data!BX60</f>
        <v>0</v>
      </c>
      <c r="G330" s="26">
        <f>data!BY60</f>
        <v>16.03</v>
      </c>
      <c r="H330" s="26">
        <f>data!BZ60</f>
        <v>0</v>
      </c>
      <c r="I330" s="26">
        <f>data!CA60</f>
        <v>0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384182</v>
      </c>
      <c r="E331" s="86">
        <f>data!BW61</f>
        <v>191105</v>
      </c>
      <c r="F331" s="86">
        <f>data!BX61</f>
        <v>0</v>
      </c>
      <c r="G331" s="86">
        <f>data!BY61</f>
        <v>927940</v>
      </c>
      <c r="H331" s="86">
        <f>data!BZ61</f>
        <v>0</v>
      </c>
      <c r="I331" s="86">
        <f>data!CA61</f>
        <v>0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84712</v>
      </c>
      <c r="E332" s="86">
        <f>data!BW62</f>
        <v>42139</v>
      </c>
      <c r="F332" s="86">
        <f>data!BX62</f>
        <v>0</v>
      </c>
      <c r="G332" s="86">
        <f>data!BY62</f>
        <v>204611</v>
      </c>
      <c r="H332" s="86">
        <f>data!BZ62</f>
        <v>0</v>
      </c>
      <c r="I332" s="86">
        <f>data!CA62</f>
        <v>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91141</v>
      </c>
      <c r="E333" s="86">
        <f>data!BW63</f>
        <v>189259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3803</v>
      </c>
      <c r="E334" s="86">
        <f>data!BW64</f>
        <v>103627</v>
      </c>
      <c r="F334" s="86">
        <f>data!BX64</f>
        <v>2118</v>
      </c>
      <c r="G334" s="86">
        <f>data!BY64</f>
        <v>1072</v>
      </c>
      <c r="H334" s="86">
        <f>data!BZ64</f>
        <v>0</v>
      </c>
      <c r="I334" s="86">
        <f>data!CA64</f>
        <v>0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53484</v>
      </c>
      <c r="E336" s="86">
        <f>data!BW66</f>
        <v>26423</v>
      </c>
      <c r="F336" s="86">
        <f>data!BX66</f>
        <v>9500</v>
      </c>
      <c r="G336" s="86">
        <f>data!BY66</f>
        <v>72634</v>
      </c>
      <c r="H336" s="86">
        <f>data!BZ66</f>
        <v>0</v>
      </c>
      <c r="I336" s="86">
        <f>data!CA66</f>
        <v>0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26454</v>
      </c>
      <c r="E337" s="86">
        <f>data!BW67</f>
        <v>4347</v>
      </c>
      <c r="F337" s="86">
        <f>data!BX67</f>
        <v>9224</v>
      </c>
      <c r="G337" s="86">
        <f>data!BY67</f>
        <v>5646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1822</v>
      </c>
      <c r="E338" s="86">
        <f>data!BW68</f>
        <v>1381</v>
      </c>
      <c r="F338" s="86">
        <f>data!BX68</f>
        <v>0</v>
      </c>
      <c r="G338" s="86">
        <f>data!BY68</f>
        <v>1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11659</v>
      </c>
      <c r="E339" s="86">
        <f>data!BW69</f>
        <v>791</v>
      </c>
      <c r="F339" s="86">
        <f>data!BX69</f>
        <v>1150</v>
      </c>
      <c r="G339" s="86">
        <f>data!BY69</f>
        <v>7603</v>
      </c>
      <c r="H339" s="86">
        <f>data!BZ69</f>
        <v>0</v>
      </c>
      <c r="I339" s="86">
        <f>data!CA69</f>
        <v>0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49999999999999" customHeight="1" x14ac:dyDescent="0.35">
      <c r="A341" s="23">
        <v>16</v>
      </c>
      <c r="B341" s="48" t="s">
        <v>917</v>
      </c>
      <c r="C341" s="14">
        <f>data!BU71</f>
        <v>0</v>
      </c>
      <c r="D341" s="14">
        <f>data!BV71</f>
        <v>657257</v>
      </c>
      <c r="E341" s="14">
        <f>data!BW71</f>
        <v>559072</v>
      </c>
      <c r="F341" s="14">
        <f>data!BX71</f>
        <v>21992</v>
      </c>
      <c r="G341" s="14">
        <f>data!BY71</f>
        <v>1219507</v>
      </c>
      <c r="H341" s="14">
        <f>data!BZ71</f>
        <v>0</v>
      </c>
      <c r="I341" s="14">
        <f>data!CA71</f>
        <v>0</v>
      </c>
    </row>
    <row r="342" spans="1:9" ht="20.149999999999999" customHeight="1" x14ac:dyDescent="0.35">
      <c r="A342" s="23">
        <v>17</v>
      </c>
      <c r="B342" s="14" t="s">
        <v>244</v>
      </c>
      <c r="C342" s="207"/>
      <c r="D342" s="207"/>
      <c r="E342" s="207"/>
      <c r="F342" s="207"/>
      <c r="G342" s="207"/>
      <c r="H342" s="207"/>
      <c r="I342" s="207"/>
    </row>
    <row r="343" spans="1:9" ht="20.149999999999999" customHeight="1" x14ac:dyDescent="0.35">
      <c r="A343" s="23">
        <v>18</v>
      </c>
      <c r="B343" s="14" t="s">
        <v>918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919</v>
      </c>
      <c r="C344" s="209" t="str">
        <f>IF(data!BU73&gt;0,data!BU73,"")</f>
        <v>x</v>
      </c>
      <c r="D344" s="209" t="str">
        <f>IF(data!BV73&gt;0,data!BV73,"")</f>
        <v>x</v>
      </c>
      <c r="E344" s="209" t="str">
        <f>IF(data!BW73&gt;0,data!BW73,"")</f>
        <v>x</v>
      </c>
      <c r="F344" s="209" t="str">
        <f>IF(data!BX73&gt;0,data!BX73,"")</f>
        <v>x</v>
      </c>
      <c r="G344" s="209" t="str">
        <f>IF(data!BY73&gt;0,data!BY73,"")</f>
        <v>x</v>
      </c>
      <c r="H344" s="209" t="str">
        <f>IF(data!BZ73&gt;0,data!BZ73,"")</f>
        <v>x</v>
      </c>
      <c r="I344" s="209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920</v>
      </c>
      <c r="C345" s="209" t="str">
        <f>IF(data!BU74&gt;0,data!BU74,"")</f>
        <v>x</v>
      </c>
      <c r="D345" s="209" t="str">
        <f>IF(data!BV74&gt;0,data!BV74,"")</f>
        <v>x</v>
      </c>
      <c r="E345" s="209" t="str">
        <f>IF(data!BW74&gt;0,data!BW74,"")</f>
        <v>x</v>
      </c>
      <c r="F345" s="209" t="str">
        <f>IF(data!BX74&gt;0,data!BX74,"")</f>
        <v>x</v>
      </c>
      <c r="G345" s="209" t="str">
        <f>IF(data!BY74&gt;0,data!BY74,"")</f>
        <v>x</v>
      </c>
      <c r="H345" s="209" t="str">
        <f>IF(data!BZ74&gt;0,data!BZ74,"")</f>
        <v>x</v>
      </c>
      <c r="I345" s="209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921</v>
      </c>
      <c r="C346" s="209" t="str">
        <f>IF(data!BU75&gt;0,data!BU75,"")</f>
        <v>x</v>
      </c>
      <c r="D346" s="209" t="str">
        <f>IF(data!BV75&gt;0,data!BV75,"")</f>
        <v>x</v>
      </c>
      <c r="E346" s="209" t="str">
        <f>IF(data!BW75&gt;0,data!BW75,"")</f>
        <v>x</v>
      </c>
      <c r="F346" s="209" t="str">
        <f>IF(data!BX75&gt;0,data!BX75,"")</f>
        <v>x</v>
      </c>
      <c r="G346" s="209" t="str">
        <f>IF(data!BY75&gt;0,data!BY75,"")</f>
        <v>x</v>
      </c>
      <c r="H346" s="209" t="str">
        <f>IF(data!BZ75&gt;0,data!BZ75,"")</f>
        <v>x</v>
      </c>
      <c r="I346" s="209" t="str">
        <f>IF(data!CA75&gt;0,data!CA75,"")</f>
        <v>x</v>
      </c>
    </row>
    <row r="347" spans="1:9" ht="20.149999999999999" customHeight="1" x14ac:dyDescent="0.35">
      <c r="A347" s="23" t="s">
        <v>922</v>
      </c>
      <c r="B347" s="60"/>
      <c r="C347" s="207"/>
      <c r="D347" s="207"/>
      <c r="E347" s="207"/>
      <c r="F347" s="207"/>
      <c r="G347" s="207"/>
      <c r="H347" s="207"/>
      <c r="I347" s="207"/>
    </row>
    <row r="348" spans="1:9" ht="20.149999999999999" customHeight="1" x14ac:dyDescent="0.35">
      <c r="A348" s="23">
        <v>22</v>
      </c>
      <c r="B348" s="14" t="s">
        <v>923</v>
      </c>
      <c r="C348" s="85">
        <f>data!BU76</f>
        <v>0</v>
      </c>
      <c r="D348" s="85">
        <f>data!BV76</f>
        <v>998</v>
      </c>
      <c r="E348" s="85">
        <f>data!BW76</f>
        <v>164</v>
      </c>
      <c r="F348" s="85">
        <f>data!BX76</f>
        <v>348</v>
      </c>
      <c r="G348" s="85">
        <f>data!BY76</f>
        <v>213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924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925</v>
      </c>
      <c r="C350" s="85">
        <f>data!BU78</f>
        <v>0</v>
      </c>
      <c r="D350" s="85">
        <f>data!BV78</f>
        <v>255</v>
      </c>
      <c r="E350" s="85">
        <f>data!BW78</f>
        <v>0</v>
      </c>
      <c r="F350" s="85">
        <f>data!BX78</f>
        <v>0</v>
      </c>
      <c r="G350" s="85">
        <f>data!BY78</f>
        <v>54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926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2" t="str">
        <f>IF(data!BU80&gt;0,data!BU80,"")</f>
        <v/>
      </c>
      <c r="D352" s="212" t="str">
        <f>IF(data!BV80&gt;0,data!BV80,"")</f>
        <v/>
      </c>
      <c r="E352" s="212" t="str">
        <f>IF(data!BW80&gt;0,data!BW80,"")</f>
        <v/>
      </c>
      <c r="F352" s="212" t="str">
        <f>IF(data!BX80&gt;0,data!BX80,"")</f>
        <v/>
      </c>
      <c r="G352" s="212" t="str">
        <f>IF(data!BY80&gt;0,data!BY80,"")</f>
        <v/>
      </c>
      <c r="H352" s="212" t="str">
        <f>IF(data!BZ80&gt;0,data!BZ80,"")</f>
        <v/>
      </c>
      <c r="I352" s="212" t="str">
        <f>IF(data!CA80&gt;0,data!CA80,"")</f>
        <v/>
      </c>
    </row>
    <row r="353" spans="1:9" ht="20.149999999999999" customHeight="1" x14ac:dyDescent="0.35">
      <c r="A353" s="4" t="s">
        <v>910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963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PMH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912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964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916</v>
      </c>
      <c r="C360" s="208"/>
      <c r="D360" s="208"/>
      <c r="E360" s="208"/>
      <c r="F360" s="208"/>
      <c r="G360" s="208"/>
      <c r="H360" s="208"/>
      <c r="I360" s="208"/>
    </row>
    <row r="361" spans="1:9" ht="20.149999999999999" customHeight="1" x14ac:dyDescent="0.35">
      <c r="A361" s="23">
        <v>4</v>
      </c>
      <c r="B361" s="14" t="s">
        <v>233</v>
      </c>
      <c r="C361" s="208"/>
      <c r="D361" s="208"/>
      <c r="E361" s="208"/>
      <c r="F361" s="208"/>
      <c r="G361" s="208"/>
      <c r="H361" s="208"/>
      <c r="I361" s="208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</v>
      </c>
      <c r="E362" s="213"/>
      <c r="F362" s="207"/>
      <c r="G362" s="207"/>
      <c r="H362" s="207"/>
      <c r="I362" s="87">
        <f>data!CE60</f>
        <v>454.5999999999998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0</v>
      </c>
      <c r="E363" s="214"/>
      <c r="F363" s="215"/>
      <c r="G363" s="215"/>
      <c r="H363" s="215"/>
      <c r="I363" s="86">
        <f>data!CE61</f>
        <v>29263038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0</v>
      </c>
      <c r="E364" s="214"/>
      <c r="F364" s="215"/>
      <c r="G364" s="215"/>
      <c r="H364" s="215"/>
      <c r="I364" s="86">
        <f>data!CE62</f>
        <v>6452511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4"/>
      <c r="F365" s="215"/>
      <c r="G365" s="215"/>
      <c r="H365" s="215"/>
      <c r="I365" s="86">
        <f>data!CE63</f>
        <v>7462624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4"/>
      <c r="F366" s="215"/>
      <c r="G366" s="215"/>
      <c r="H366" s="215"/>
      <c r="I366" s="86">
        <f>data!CE64</f>
        <v>8221833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4"/>
      <c r="F367" s="215"/>
      <c r="G367" s="215"/>
      <c r="H367" s="215"/>
      <c r="I367" s="86">
        <f>data!CE65</f>
        <v>575775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4"/>
      <c r="F368" s="215"/>
      <c r="G368" s="215"/>
      <c r="H368" s="215"/>
      <c r="I368" s="86">
        <f>data!CE66</f>
        <v>3352762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4"/>
      <c r="F369" s="215"/>
      <c r="G369" s="215"/>
      <c r="H369" s="215"/>
      <c r="I369" s="86">
        <f>data!CE67</f>
        <v>2754872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4"/>
      <c r="F370" s="215"/>
      <c r="G370" s="215"/>
      <c r="H370" s="215"/>
      <c r="I370" s="86">
        <f>data!CE68</f>
        <v>2075213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1279182</v>
      </c>
      <c r="F371" s="215"/>
      <c r="G371" s="215"/>
      <c r="H371" s="215"/>
      <c r="I371" s="86">
        <f>data!CE69</f>
        <v>2762999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5">
        <f>data!CD70</f>
        <v>0</v>
      </c>
      <c r="F372" s="216"/>
      <c r="G372" s="216"/>
      <c r="H372" s="216"/>
      <c r="I372" s="14">
        <f>-data!CE70</f>
        <v>0</v>
      </c>
    </row>
    <row r="373" spans="1:9" ht="20.149999999999999" customHeight="1" x14ac:dyDescent="0.35">
      <c r="A373" s="23">
        <v>16</v>
      </c>
      <c r="B373" s="48" t="s">
        <v>917</v>
      </c>
      <c r="C373" s="86">
        <f>data!CB71</f>
        <v>0</v>
      </c>
      <c r="D373" s="86">
        <f>data!CC71</f>
        <v>0</v>
      </c>
      <c r="E373" s="86">
        <f>data!CD71</f>
        <v>1279182</v>
      </c>
      <c r="F373" s="215"/>
      <c r="G373" s="215"/>
      <c r="H373" s="215"/>
      <c r="I373" s="14">
        <f>data!CE71</f>
        <v>62921627</v>
      </c>
    </row>
    <row r="374" spans="1:9" ht="20.149999999999999" customHeight="1" x14ac:dyDescent="0.35">
      <c r="A374" s="23">
        <v>17</v>
      </c>
      <c r="B374" s="14" t="s">
        <v>244</v>
      </c>
      <c r="C374" s="215"/>
      <c r="D374" s="215"/>
      <c r="E374" s="215"/>
      <c r="F374" s="215"/>
      <c r="G374" s="215"/>
      <c r="H374" s="215"/>
      <c r="I374" s="14">
        <f>-data!CE72</f>
        <v>-856225</v>
      </c>
    </row>
    <row r="375" spans="1:9" ht="20.149999999999999" customHeight="1" x14ac:dyDescent="0.35">
      <c r="A375" s="23">
        <v>18</v>
      </c>
      <c r="B375" s="14" t="s">
        <v>918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919</v>
      </c>
      <c r="C376" s="209" t="str">
        <f>IF(data!CB73&gt;0,data!CB73,"")</f>
        <v>x</v>
      </c>
      <c r="D376" s="209" t="str">
        <f>IF(data!CC73&gt;0,data!CC73,"")</f>
        <v>x</v>
      </c>
      <c r="E376" s="210"/>
      <c r="F376" s="207"/>
      <c r="G376" s="207"/>
      <c r="H376" s="207"/>
      <c r="I376" s="85">
        <f>data!CE73</f>
        <v>34410285</v>
      </c>
    </row>
    <row r="377" spans="1:9" ht="20.149999999999999" customHeight="1" x14ac:dyDescent="0.35">
      <c r="A377" s="23">
        <v>20</v>
      </c>
      <c r="B377" s="48" t="s">
        <v>920</v>
      </c>
      <c r="C377" s="209" t="str">
        <f>IF(data!CB74&gt;0,data!CB74,"")</f>
        <v>x</v>
      </c>
      <c r="D377" s="209" t="str">
        <f>IF(data!CC74&gt;0,data!CC74,"")</f>
        <v>x</v>
      </c>
      <c r="E377" s="210"/>
      <c r="F377" s="207"/>
      <c r="G377" s="207"/>
      <c r="H377" s="207"/>
      <c r="I377" s="85">
        <f>data!CE74</f>
        <v>109714303</v>
      </c>
    </row>
    <row r="378" spans="1:9" ht="20.149999999999999" customHeight="1" x14ac:dyDescent="0.35">
      <c r="A378" s="23">
        <v>21</v>
      </c>
      <c r="B378" s="48" t="s">
        <v>921</v>
      </c>
      <c r="C378" s="209" t="str">
        <f>IF(data!CB75&gt;0,data!CB75,"")</f>
        <v>x</v>
      </c>
      <c r="D378" s="209" t="str">
        <f>IF(data!CC75&gt;0,data!CC75,"")</f>
        <v>x</v>
      </c>
      <c r="E378" s="210"/>
      <c r="F378" s="207"/>
      <c r="G378" s="207"/>
      <c r="H378" s="207"/>
      <c r="I378" s="85">
        <f>data!CE75</f>
        <v>144124588</v>
      </c>
    </row>
    <row r="379" spans="1:9" ht="20.149999999999999" customHeight="1" x14ac:dyDescent="0.35">
      <c r="A379" s="23" t="s">
        <v>922</v>
      </c>
      <c r="B379" s="60"/>
      <c r="C379" s="207"/>
      <c r="D379" s="207"/>
      <c r="E379" s="207"/>
      <c r="F379" s="207"/>
      <c r="G379" s="207"/>
      <c r="H379" s="207"/>
      <c r="I379" s="207"/>
    </row>
    <row r="380" spans="1:9" ht="20.149999999999999" customHeight="1" x14ac:dyDescent="0.35">
      <c r="A380" s="23">
        <v>22</v>
      </c>
      <c r="B380" s="14" t="s">
        <v>923</v>
      </c>
      <c r="C380" s="85">
        <f>data!CB76</f>
        <v>0</v>
      </c>
      <c r="D380" s="85">
        <f>data!CC76</f>
        <v>0</v>
      </c>
      <c r="E380" s="210"/>
      <c r="F380" s="207"/>
      <c r="G380" s="207"/>
      <c r="H380" s="207"/>
      <c r="I380" s="14">
        <f>data!CE76</f>
        <v>103931</v>
      </c>
    </row>
    <row r="381" spans="1:9" ht="20.149999999999999" customHeight="1" x14ac:dyDescent="0.35">
      <c r="A381" s="23">
        <v>23</v>
      </c>
      <c r="B381" s="14" t="s">
        <v>924</v>
      </c>
      <c r="C381" s="14" t="str">
        <f>IF(data!CB77&gt;0,data!CB77,"")</f>
        <v/>
      </c>
      <c r="D381" s="209" t="str">
        <f>IF(data!CC77&gt;0,data!CC77,"")</f>
        <v>x</v>
      </c>
      <c r="E381" s="210"/>
      <c r="F381" s="207"/>
      <c r="G381" s="207"/>
      <c r="H381" s="207"/>
      <c r="I381" s="14">
        <f>data!CE77</f>
        <v>18950</v>
      </c>
    </row>
    <row r="382" spans="1:9" ht="20.149999999999999" customHeight="1" x14ac:dyDescent="0.35">
      <c r="A382" s="23">
        <v>24</v>
      </c>
      <c r="B382" s="14" t="s">
        <v>925</v>
      </c>
      <c r="C382" s="14" t="str">
        <f>IF(data!CB78&gt;0,data!CB78,"")</f>
        <v/>
      </c>
      <c r="D382" s="209" t="str">
        <f>IF(data!CC78&gt;0,data!CC78,"")</f>
        <v>x</v>
      </c>
      <c r="E382" s="210"/>
      <c r="F382" s="207"/>
      <c r="G382" s="207"/>
      <c r="H382" s="207"/>
      <c r="I382" s="14">
        <f>data!CE78</f>
        <v>18521</v>
      </c>
    </row>
    <row r="383" spans="1:9" ht="20.149999999999999" customHeight="1" x14ac:dyDescent="0.35">
      <c r="A383" s="23">
        <v>25</v>
      </c>
      <c r="B383" s="14" t="s">
        <v>926</v>
      </c>
      <c r="C383" s="14" t="str">
        <f>IF(data!CB79&gt;0,data!CB79,"")</f>
        <v/>
      </c>
      <c r="D383" s="209" t="str">
        <f>IF(data!CC79&gt;0,data!CC79,"")</f>
        <v>x</v>
      </c>
      <c r="E383" s="210"/>
      <c r="F383" s="207"/>
      <c r="G383" s="207"/>
      <c r="H383" s="207"/>
      <c r="I383" s="14">
        <f>data!CE79</f>
        <v>181550</v>
      </c>
    </row>
    <row r="384" spans="1:9" ht="20.149999999999999" customHeight="1" x14ac:dyDescent="0.35">
      <c r="A384" s="23">
        <v>26</v>
      </c>
      <c r="B384" s="14" t="s">
        <v>252</v>
      </c>
      <c r="C384" s="209" t="str">
        <f>IF(data!CB80&gt;0,data!CB80,"")</f>
        <v/>
      </c>
      <c r="D384" s="209" t="str">
        <f>IF(data!CC80&gt;0,data!CC80,"")</f>
        <v>x</v>
      </c>
      <c r="E384" s="213"/>
      <c r="F384" s="207"/>
      <c r="G384" s="207"/>
      <c r="H384" s="207"/>
      <c r="I384" s="84">
        <f>data!CE80</f>
        <v>109.62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data!Print_Titles</vt:lpstr>
      <vt:lpstr>'Prior Year'!Print_Titles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PMH Medical Center Year End Report</dc:title>
  <dc:subject>2016 PMH Medical Center Year End Report</dc:subject>
  <dc:creator>Washington State Dept of Health - HSQA - Community Health Systems</dc:creator>
  <cp:keywords>hospital financial reports</cp:keywords>
  <cp:lastModifiedBy>Baranowski, Carrie (DOH)</cp:lastModifiedBy>
  <cp:lastPrinted>2017-07-06T23:05:00Z</cp:lastPrinted>
  <dcterms:created xsi:type="dcterms:W3CDTF">1999-06-02T22:01:56Z</dcterms:created>
  <dcterms:modified xsi:type="dcterms:W3CDTF">2021-06-29T21:39:22Z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0000008LTC20210618161202.xlsx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</Properties>
</file>