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61FF3731-7590-4879-B72F-0ECE6A1DA884}" xr6:coauthVersionLast="45" xr6:coauthVersionMax="45" xr10:uidLastSave="{00000000-0000-0000-0000-000000000000}"/>
  <bookViews>
    <workbookView xWindow="19090" yWindow="-110" windowWidth="19420" windowHeight="10420" tabRatio="710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 2019" sheetId="10" r:id="rId10"/>
  </sheets>
  <definedNames>
    <definedName name="_Fill" localSheetId="9" hidden="1">'Prior Year 2019'!$DR$819:$DR$864</definedName>
    <definedName name="_Fill" hidden="1">data!$DR$921:$DR$966</definedName>
    <definedName name="Costcenter" localSheetId="9">'Prior Year 2019'!#REF!</definedName>
    <definedName name="Costcenter">data!$A$732:$W$813</definedName>
    <definedName name="Edit" localSheetId="9">'Prior Year 2019'!$A$410:$E$477</definedName>
    <definedName name="Edit">data!$A$411:$E$478</definedName>
    <definedName name="Funds" localSheetId="9">'Prior Year 2019'!#REF!</definedName>
    <definedName name="Funds">data!$A$728:$CF$730</definedName>
    <definedName name="Hospital" localSheetId="9">'Prior Year 2019'!#REF!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 2019'!$A$410:$E$477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 2019'!#REF!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4" i="10" l="1"/>
  <c r="C389" i="10"/>
  <c r="C383" i="10"/>
  <c r="C360" i="10"/>
  <c r="C359" i="10"/>
  <c r="C325" i="10"/>
  <c r="C307" i="10"/>
  <c r="D203" i="10"/>
  <c r="B204" i="10"/>
  <c r="C204" i="10"/>
  <c r="D204" i="10"/>
  <c r="C183" i="10"/>
  <c r="C180" i="10"/>
  <c r="C172" i="10"/>
  <c r="C170" i="10"/>
  <c r="C168" i="10"/>
  <c r="D111" i="10"/>
  <c r="AV80" i="10"/>
  <c r="AV79" i="10"/>
  <c r="AE79" i="10"/>
  <c r="I79" i="10"/>
  <c r="AV76" i="10"/>
  <c r="AV74" i="10"/>
  <c r="AB74" i="10"/>
  <c r="N74" i="10"/>
  <c r="AV73" i="10"/>
  <c r="AE73" i="10"/>
  <c r="V73" i="10"/>
  <c r="N73" i="10"/>
  <c r="CC69" i="10"/>
  <c r="BM69" i="10"/>
  <c r="AV69" i="10"/>
  <c r="BM68" i="10"/>
  <c r="AV68" i="10"/>
  <c r="CC66" i="10"/>
  <c r="BM66" i="10"/>
  <c r="BI66" i="10"/>
  <c r="AV66" i="10"/>
  <c r="CC64" i="10"/>
  <c r="BM64" i="10"/>
  <c r="AV64" i="10"/>
  <c r="AB64" i="10"/>
  <c r="N64" i="10"/>
  <c r="CC61" i="10"/>
  <c r="BM61" i="10"/>
  <c r="AV61" i="10"/>
  <c r="AB61" i="10"/>
  <c r="N61" i="10"/>
  <c r="CC60" i="10"/>
  <c r="BM60" i="10"/>
  <c r="BI60" i="10"/>
  <c r="AV60" i="10"/>
  <c r="N60" i="10"/>
  <c r="G60" i="10"/>
  <c r="AE59" i="10"/>
  <c r="AC59" i="10"/>
  <c r="AA59" i="10"/>
  <c r="Y59" i="10"/>
  <c r="X59" i="10"/>
  <c r="W59" i="10"/>
  <c r="V59" i="10"/>
  <c r="U59" i="10"/>
  <c r="R59" i="10"/>
  <c r="P59" i="10"/>
  <c r="N59" i="10"/>
  <c r="G59" i="10"/>
  <c r="B52" i="1"/>
  <c r="CC76" i="1"/>
  <c r="Y76" i="1"/>
  <c r="AZ76" i="1"/>
  <c r="AJ76" i="1"/>
  <c r="E76" i="1"/>
  <c r="C360" i="1" l="1"/>
  <c r="C359" i="1"/>
  <c r="C189" i="1" l="1"/>
  <c r="C183" i="1" l="1"/>
  <c r="C180" i="1"/>
  <c r="C172" i="1"/>
  <c r="D173" i="1"/>
  <c r="C170" i="1"/>
  <c r="C307" i="1" l="1"/>
  <c r="C200" i="1" l="1"/>
  <c r="C203" i="1"/>
  <c r="C197" i="1"/>
  <c r="BN68" i="1" l="1"/>
  <c r="BN66" i="1"/>
  <c r="BE65" i="1"/>
  <c r="BN63" i="1"/>
  <c r="CC69" i="1"/>
  <c r="CC64" i="1"/>
  <c r="N64" i="1"/>
  <c r="BN48" i="1"/>
  <c r="BN62" i="1"/>
  <c r="D367" i="1" l="1"/>
  <c r="AJ64" i="1" l="1"/>
  <c r="W64" i="1"/>
  <c r="R75" i="1" l="1"/>
  <c r="C69" i="1" l="1"/>
  <c r="C65" i="1"/>
  <c r="C59" i="1"/>
  <c r="E77" i="1" l="1"/>
  <c r="C234" i="1" l="1"/>
  <c r="C227" i="1"/>
  <c r="B48" i="1" l="1"/>
  <c r="O817" i="10" l="1"/>
  <c r="M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A813" i="10"/>
  <c r="T812" i="10"/>
  <c r="S812" i="10"/>
  <c r="R812" i="10"/>
  <c r="Q812" i="10"/>
  <c r="P812" i="10"/>
  <c r="M812" i="10"/>
  <c r="F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M779" i="10"/>
  <c r="H779" i="10"/>
  <c r="F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L752" i="10"/>
  <c r="K752" i="10"/>
  <c r="H752" i="10"/>
  <c r="F752" i="10"/>
  <c r="D752" i="10"/>
  <c r="C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H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B748" i="10"/>
  <c r="A748" i="10"/>
  <c r="T747" i="10"/>
  <c r="S747" i="10"/>
  <c r="R747" i="10"/>
  <c r="Q747" i="10"/>
  <c r="P747" i="10"/>
  <c r="O747" i="10"/>
  <c r="M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R740" i="10"/>
  <c r="P740" i="10"/>
  <c r="O740" i="10"/>
  <c r="M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C730" i="10"/>
  <c r="CB730" i="10"/>
  <c r="CA730" i="10"/>
  <c r="BZ730" i="10"/>
  <c r="BX730" i="10"/>
  <c r="BW730" i="10"/>
  <c r="BV730" i="10"/>
  <c r="BU730" i="10"/>
  <c r="BT730" i="10"/>
  <c r="BS730" i="10"/>
  <c r="BR730" i="10"/>
  <c r="BQ730" i="10"/>
  <c r="BP730" i="10"/>
  <c r="BO730" i="10"/>
  <c r="BM730" i="10"/>
  <c r="BL730" i="10"/>
  <c r="BK730" i="10"/>
  <c r="BJ730" i="10"/>
  <c r="BF730" i="10"/>
  <c r="BB730" i="10"/>
  <c r="BA730" i="10"/>
  <c r="AY730" i="10"/>
  <c r="AX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N722" i="10"/>
  <c r="BM722" i="10"/>
  <c r="BL722" i="10"/>
  <c r="BJ722" i="10"/>
  <c r="BG722" i="10"/>
  <c r="BF722" i="10"/>
  <c r="BE722" i="10"/>
  <c r="BD722" i="10"/>
  <c r="BB722" i="10"/>
  <c r="BA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P722" i="10"/>
  <c r="O722" i="10"/>
  <c r="N722" i="10"/>
  <c r="M722" i="10"/>
  <c r="L722" i="10"/>
  <c r="K722" i="10"/>
  <c r="F722" i="10"/>
  <c r="E722" i="10"/>
  <c r="D722" i="10"/>
  <c r="C722" i="10"/>
  <c r="B722" i="10"/>
  <c r="A722" i="10"/>
  <c r="E550" i="10"/>
  <c r="F550" i="10"/>
  <c r="E546" i="10"/>
  <c r="E545" i="10"/>
  <c r="F545" i="10"/>
  <c r="F544" i="10"/>
  <c r="E544" i="10"/>
  <c r="H540" i="10"/>
  <c r="E540" i="10"/>
  <c r="F540" i="10"/>
  <c r="E539" i="10"/>
  <c r="H538" i="10"/>
  <c r="E538" i="10"/>
  <c r="F538" i="10"/>
  <c r="H537" i="10"/>
  <c r="E537" i="10"/>
  <c r="F537" i="10"/>
  <c r="H536" i="10"/>
  <c r="F536" i="10"/>
  <c r="E536" i="10"/>
  <c r="H535" i="10"/>
  <c r="F535" i="10"/>
  <c r="E535" i="10"/>
  <c r="F534" i="10"/>
  <c r="E534" i="10"/>
  <c r="H534" i="10"/>
  <c r="E533" i="10"/>
  <c r="H533" i="10"/>
  <c r="H532" i="10"/>
  <c r="E532" i="10"/>
  <c r="F532" i="10"/>
  <c r="F531" i="10"/>
  <c r="E531" i="10"/>
  <c r="E530" i="10"/>
  <c r="F530" i="10"/>
  <c r="E529" i="10"/>
  <c r="H529" i="10"/>
  <c r="E528" i="10"/>
  <c r="E527" i="10"/>
  <c r="E526" i="10"/>
  <c r="F526" i="10"/>
  <c r="H525" i="10"/>
  <c r="F525" i="10"/>
  <c r="E525" i="10"/>
  <c r="E524" i="10"/>
  <c r="F524" i="10"/>
  <c r="H523" i="10"/>
  <c r="F523" i="10"/>
  <c r="E523" i="10"/>
  <c r="F522" i="10"/>
  <c r="E520" i="10"/>
  <c r="F520" i="10"/>
  <c r="H519" i="10"/>
  <c r="F519" i="10"/>
  <c r="E519" i="10"/>
  <c r="F518" i="10"/>
  <c r="E518" i="10"/>
  <c r="F517" i="10"/>
  <c r="E517" i="10"/>
  <c r="E516" i="10"/>
  <c r="F516" i="10"/>
  <c r="E515" i="10"/>
  <c r="H515" i="10"/>
  <c r="H513" i="10"/>
  <c r="F513" i="10"/>
  <c r="F512" i="10"/>
  <c r="E511" i="10"/>
  <c r="F510" i="10"/>
  <c r="E510" i="10"/>
  <c r="E509" i="10"/>
  <c r="H508" i="10"/>
  <c r="E508" i="10"/>
  <c r="F508" i="10"/>
  <c r="H507" i="10"/>
  <c r="F507" i="10"/>
  <c r="E507" i="10"/>
  <c r="E506" i="10"/>
  <c r="H506" i="10"/>
  <c r="H505" i="10"/>
  <c r="F505" i="10"/>
  <c r="E505" i="10"/>
  <c r="H504" i="10"/>
  <c r="F504" i="10"/>
  <c r="E504" i="10"/>
  <c r="E503" i="10"/>
  <c r="H503" i="10"/>
  <c r="F502" i="10"/>
  <c r="E502" i="10"/>
  <c r="E501" i="10"/>
  <c r="H500" i="10"/>
  <c r="E500" i="10"/>
  <c r="F500" i="10"/>
  <c r="H499" i="10"/>
  <c r="F499" i="10"/>
  <c r="E499" i="10"/>
  <c r="E498" i="10"/>
  <c r="H497" i="10"/>
  <c r="F497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6" i="10"/>
  <c r="C445" i="10"/>
  <c r="C444" i="10"/>
  <c r="B439" i="10"/>
  <c r="B437" i="10"/>
  <c r="B436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4" i="10"/>
  <c r="A412" i="10"/>
  <c r="CD730" i="10"/>
  <c r="B435" i="10"/>
  <c r="D372" i="10"/>
  <c r="BN730" i="10"/>
  <c r="D361" i="10"/>
  <c r="N817" i="10" s="1"/>
  <c r="BE730" i="10"/>
  <c r="D329" i="10"/>
  <c r="AZ730" i="10"/>
  <c r="AW730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D217" i="10"/>
  <c r="E216" i="10"/>
  <c r="BO722" i="10"/>
  <c r="BK722" i="10"/>
  <c r="BI722" i="10"/>
  <c r="E212" i="10"/>
  <c r="BC722" i="10"/>
  <c r="AZ722" i="10"/>
  <c r="AY722" i="10"/>
  <c r="E209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Q722" i="10"/>
  <c r="D186" i="10"/>
  <c r="D436" i="10" s="1"/>
  <c r="D181" i="10"/>
  <c r="D435" i="10" s="1"/>
  <c r="H722" i="10"/>
  <c r="G722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F726" i="10"/>
  <c r="CE80" i="10"/>
  <c r="CF79" i="10"/>
  <c r="S762" i="10"/>
  <c r="S740" i="10"/>
  <c r="CE78" i="10"/>
  <c r="R816" i="10" s="1"/>
  <c r="P779" i="10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O779" i="10"/>
  <c r="CE70" i="10"/>
  <c r="CD69" i="10"/>
  <c r="L812" i="10"/>
  <c r="L797" i="10"/>
  <c r="L779" i="10"/>
  <c r="L747" i="10"/>
  <c r="L740" i="10"/>
  <c r="K812" i="10"/>
  <c r="K779" i="10"/>
  <c r="I812" i="10"/>
  <c r="I797" i="10"/>
  <c r="I779" i="10"/>
  <c r="I752" i="10"/>
  <c r="I750" i="10"/>
  <c r="H812" i="10"/>
  <c r="H797" i="10"/>
  <c r="G812" i="10"/>
  <c r="G797" i="10"/>
  <c r="G779" i="10"/>
  <c r="G752" i="10"/>
  <c r="F797" i="10"/>
  <c r="D812" i="10"/>
  <c r="D797" i="10"/>
  <c r="D779" i="10"/>
  <c r="C812" i="10"/>
  <c r="C797" i="10"/>
  <c r="C779" i="10"/>
  <c r="C748" i="10"/>
  <c r="B760" i="10"/>
  <c r="B53" i="10"/>
  <c r="CE51" i="10"/>
  <c r="B49" i="10"/>
  <c r="CE47" i="10"/>
  <c r="D242" i="10" l="1"/>
  <c r="B448" i="10" s="1"/>
  <c r="C473" i="10"/>
  <c r="D277" i="10"/>
  <c r="D292" i="10" s="1"/>
  <c r="D341" i="10" s="1"/>
  <c r="C481" i="10" s="1"/>
  <c r="D367" i="10"/>
  <c r="C448" i="10" s="1"/>
  <c r="I612" i="10"/>
  <c r="CE65" i="10"/>
  <c r="H816" i="10" s="1"/>
  <c r="AV75" i="10"/>
  <c r="N779" i="10" s="1"/>
  <c r="E210" i="10"/>
  <c r="D328" i="10"/>
  <c r="D330" i="10" s="1"/>
  <c r="D339" i="10" s="1"/>
  <c r="C482" i="10" s="1"/>
  <c r="E215" i="10"/>
  <c r="I815" i="10"/>
  <c r="B217" i="10"/>
  <c r="E214" i="10"/>
  <c r="CE63" i="10"/>
  <c r="C429" i="10" s="1"/>
  <c r="D190" i="10"/>
  <c r="D437" i="10" s="1"/>
  <c r="E211" i="10"/>
  <c r="T815" i="10"/>
  <c r="CE61" i="10"/>
  <c r="BZ48" i="10" s="1"/>
  <c r="BZ62" i="10" s="1"/>
  <c r="D173" i="10"/>
  <c r="D428" i="10" s="1"/>
  <c r="U813" i="10"/>
  <c r="U815" i="10" s="1"/>
  <c r="C438" i="10"/>
  <c r="C615" i="10"/>
  <c r="I722" i="10"/>
  <c r="D801" i="10"/>
  <c r="CE69" i="10"/>
  <c r="CE79" i="10"/>
  <c r="D463" i="10"/>
  <c r="J722" i="10"/>
  <c r="H501" i="10"/>
  <c r="F501" i="10"/>
  <c r="CE68" i="10"/>
  <c r="M816" i="10"/>
  <c r="C458" i="10"/>
  <c r="D464" i="10"/>
  <c r="E204" i="10"/>
  <c r="C476" i="10" s="1"/>
  <c r="BH722" i="10"/>
  <c r="E213" i="10"/>
  <c r="O752" i="10"/>
  <c r="O815" i="10" s="1"/>
  <c r="CE73" i="10"/>
  <c r="E522" i="10"/>
  <c r="T816" i="10"/>
  <c r="L612" i="10"/>
  <c r="CD722" i="10"/>
  <c r="B444" i="10"/>
  <c r="F506" i="10"/>
  <c r="CE74" i="10"/>
  <c r="C464" i="10" s="1"/>
  <c r="CE76" i="10"/>
  <c r="BY730" i="10"/>
  <c r="L817" i="10"/>
  <c r="B438" i="10"/>
  <c r="B440" i="10" s="1"/>
  <c r="D390" i="10"/>
  <c r="B441" i="10" s="1"/>
  <c r="F498" i="10"/>
  <c r="F521" i="10"/>
  <c r="H539" i="10"/>
  <c r="F539" i="10"/>
  <c r="CE60" i="10"/>
  <c r="CE66" i="10"/>
  <c r="Q740" i="10"/>
  <c r="Q815" i="10" s="1"/>
  <c r="CE77" i="10"/>
  <c r="G750" i="10"/>
  <c r="G815" i="10" s="1"/>
  <c r="CE64" i="10"/>
  <c r="F509" i="10"/>
  <c r="F514" i="10"/>
  <c r="F528" i="10"/>
  <c r="B752" i="10"/>
  <c r="E514" i="10"/>
  <c r="D794" i="10"/>
  <c r="CD71" i="10"/>
  <c r="C575" i="10" s="1"/>
  <c r="U75" i="10"/>
  <c r="N752" i="10" s="1"/>
  <c r="H527" i="10"/>
  <c r="F527" i="10"/>
  <c r="K815" i="10"/>
  <c r="F503" i="10"/>
  <c r="F511" i="10"/>
  <c r="F515" i="10"/>
  <c r="F529" i="10"/>
  <c r="S815" i="10"/>
  <c r="C217" i="10"/>
  <c r="D433" i="10" s="1"/>
  <c r="B415" i="10"/>
  <c r="C447" i="10"/>
  <c r="B465" i="10"/>
  <c r="F533" i="10"/>
  <c r="C439" i="10"/>
  <c r="F546" i="10"/>
  <c r="C815" i="10"/>
  <c r="M815" i="10"/>
  <c r="F815" i="10"/>
  <c r="P815" i="10"/>
  <c r="H815" i="10"/>
  <c r="R815" i="10"/>
  <c r="C431" i="10" l="1"/>
  <c r="BL48" i="10"/>
  <c r="BL62" i="10" s="1"/>
  <c r="CC48" i="10"/>
  <c r="CC62" i="10" s="1"/>
  <c r="E812" i="10" s="1"/>
  <c r="N815" i="10"/>
  <c r="O48" i="10"/>
  <c r="O62" i="10" s="1"/>
  <c r="E746" i="10" s="1"/>
  <c r="AU48" i="10"/>
  <c r="AU62" i="10" s="1"/>
  <c r="E778" i="10" s="1"/>
  <c r="E217" i="10"/>
  <c r="C478" i="10" s="1"/>
  <c r="C48" i="10"/>
  <c r="C62" i="10" s="1"/>
  <c r="P48" i="10"/>
  <c r="P62" i="10" s="1"/>
  <c r="E747" i="10" s="1"/>
  <c r="AZ48" i="10"/>
  <c r="AZ62" i="10" s="1"/>
  <c r="E783" i="10" s="1"/>
  <c r="F816" i="10"/>
  <c r="D368" i="10"/>
  <c r="D373" i="10" s="1"/>
  <c r="D391" i="10" s="1"/>
  <c r="D393" i="10" s="1"/>
  <c r="D396" i="10" s="1"/>
  <c r="D438" i="10"/>
  <c r="G48" i="10"/>
  <c r="G62" i="10" s="1"/>
  <c r="E738" i="10" s="1"/>
  <c r="AK48" i="10"/>
  <c r="AK62" i="10" s="1"/>
  <c r="E768" i="10" s="1"/>
  <c r="X48" i="10"/>
  <c r="X62" i="10" s="1"/>
  <c r="E755" i="10" s="1"/>
  <c r="S48" i="10"/>
  <c r="S62" i="10" s="1"/>
  <c r="E750" i="10" s="1"/>
  <c r="F48" i="10"/>
  <c r="F62" i="10" s="1"/>
  <c r="E737" i="10" s="1"/>
  <c r="BB48" i="10"/>
  <c r="BB62" i="10" s="1"/>
  <c r="E785" i="10" s="1"/>
  <c r="AG48" i="10"/>
  <c r="AG62" i="10" s="1"/>
  <c r="E764" i="10" s="1"/>
  <c r="AR48" i="10"/>
  <c r="AR62" i="10" s="1"/>
  <c r="E775" i="10" s="1"/>
  <c r="N48" i="10"/>
  <c r="N62" i="10" s="1"/>
  <c r="E745" i="10" s="1"/>
  <c r="CE75" i="10"/>
  <c r="C465" i="10" s="1"/>
  <c r="CA48" i="10"/>
  <c r="CA62" i="10" s="1"/>
  <c r="E810" i="10" s="1"/>
  <c r="AV48" i="10"/>
  <c r="AV62" i="10" s="1"/>
  <c r="E779" i="10" s="1"/>
  <c r="Q48" i="10"/>
  <c r="Q62" i="10" s="1"/>
  <c r="E748" i="10" s="1"/>
  <c r="BM48" i="10"/>
  <c r="BM62" i="10" s="1"/>
  <c r="E796" i="10" s="1"/>
  <c r="AP48" i="10"/>
  <c r="AP62" i="10" s="1"/>
  <c r="E773" i="10" s="1"/>
  <c r="AX48" i="10"/>
  <c r="AX62" i="10" s="1"/>
  <c r="E781" i="10" s="1"/>
  <c r="BO48" i="10"/>
  <c r="BO62" i="10" s="1"/>
  <c r="E798" i="10" s="1"/>
  <c r="D48" i="10"/>
  <c r="D62" i="10" s="1"/>
  <c r="BK48" i="10"/>
  <c r="BK62" i="10" s="1"/>
  <c r="E794" i="10" s="1"/>
  <c r="T48" i="10"/>
  <c r="T62" i="10" s="1"/>
  <c r="E751" i="10" s="1"/>
  <c r="U48" i="10"/>
  <c r="U62" i="10" s="1"/>
  <c r="E752" i="10" s="1"/>
  <c r="BQ48" i="10"/>
  <c r="BQ62" i="10" s="1"/>
  <c r="E800" i="10" s="1"/>
  <c r="AL48" i="10"/>
  <c r="AL62" i="10" s="1"/>
  <c r="C427" i="10"/>
  <c r="D465" i="10"/>
  <c r="H48" i="10"/>
  <c r="H62" i="10" s="1"/>
  <c r="E739" i="10" s="1"/>
  <c r="BD48" i="10"/>
  <c r="BD62" i="10" s="1"/>
  <c r="E787" i="10" s="1"/>
  <c r="Y48" i="10"/>
  <c r="Y62" i="10" s="1"/>
  <c r="E756" i="10" s="1"/>
  <c r="BU48" i="10"/>
  <c r="BU62" i="10" s="1"/>
  <c r="E804" i="10" s="1"/>
  <c r="BN48" i="10"/>
  <c r="BN62" i="10" s="1"/>
  <c r="E797" i="10" s="1"/>
  <c r="BV48" i="10"/>
  <c r="BV62" i="10" s="1"/>
  <c r="E805" i="10" s="1"/>
  <c r="BW48" i="10"/>
  <c r="BW62" i="10" s="1"/>
  <c r="E806" i="10" s="1"/>
  <c r="AB48" i="10"/>
  <c r="AB62" i="10" s="1"/>
  <c r="E759" i="10" s="1"/>
  <c r="AH48" i="10"/>
  <c r="AH62" i="10" s="1"/>
  <c r="E765" i="10" s="1"/>
  <c r="AJ48" i="10"/>
  <c r="AJ62" i="10" s="1"/>
  <c r="AC48" i="10"/>
  <c r="AC62" i="10" s="1"/>
  <c r="E760" i="10" s="1"/>
  <c r="BY48" i="10"/>
  <c r="BY62" i="10" s="1"/>
  <c r="E808" i="10" s="1"/>
  <c r="AT48" i="10"/>
  <c r="AT62" i="10" s="1"/>
  <c r="E777" i="10" s="1"/>
  <c r="D816" i="10"/>
  <c r="BT48" i="10"/>
  <c r="BT62" i="10" s="1"/>
  <c r="E803" i="10" s="1"/>
  <c r="AO48" i="10"/>
  <c r="AO62" i="10" s="1"/>
  <c r="E772" i="10" s="1"/>
  <c r="AE48" i="10"/>
  <c r="AE62" i="10" s="1"/>
  <c r="AQ48" i="10"/>
  <c r="AQ62" i="10" s="1"/>
  <c r="E774" i="10" s="1"/>
  <c r="R48" i="10"/>
  <c r="R62" i="10" s="1"/>
  <c r="E749" i="10" s="1"/>
  <c r="BH48" i="10"/>
  <c r="BH62" i="10" s="1"/>
  <c r="E791" i="10" s="1"/>
  <c r="AA48" i="10"/>
  <c r="AA62" i="10" s="1"/>
  <c r="E758" i="10" s="1"/>
  <c r="BP48" i="10"/>
  <c r="BP62" i="10" s="1"/>
  <c r="AS48" i="10"/>
  <c r="AS62" i="10" s="1"/>
  <c r="E776" i="10" s="1"/>
  <c r="BJ48" i="10"/>
  <c r="BJ62" i="10" s="1"/>
  <c r="E793" i="10" s="1"/>
  <c r="D815" i="10"/>
  <c r="AF48" i="10"/>
  <c r="AF62" i="10" s="1"/>
  <c r="E763" i="10" s="1"/>
  <c r="CB48" i="10"/>
  <c r="CB62" i="10" s="1"/>
  <c r="E811" i="10" s="1"/>
  <c r="AW48" i="10"/>
  <c r="AW62" i="10" s="1"/>
  <c r="E780" i="10" s="1"/>
  <c r="BC48" i="10"/>
  <c r="BC62" i="10" s="1"/>
  <c r="E786" i="10" s="1"/>
  <c r="BS48" i="10"/>
  <c r="BS62" i="10" s="1"/>
  <c r="E802" i="10" s="1"/>
  <c r="AY48" i="10"/>
  <c r="AY62" i="10" s="1"/>
  <c r="E782" i="10" s="1"/>
  <c r="BF48" i="10"/>
  <c r="BF62" i="10" s="1"/>
  <c r="E789" i="10" s="1"/>
  <c r="BX48" i="10"/>
  <c r="BX62" i="10" s="1"/>
  <c r="E807" i="10" s="1"/>
  <c r="AI48" i="10"/>
  <c r="AI62" i="10" s="1"/>
  <c r="E766" i="10" s="1"/>
  <c r="E48" i="10"/>
  <c r="E62" i="10" s="1"/>
  <c r="E736" i="10" s="1"/>
  <c r="BA48" i="10"/>
  <c r="BA62" i="10" s="1"/>
  <c r="E784" i="10" s="1"/>
  <c r="V48" i="10"/>
  <c r="V62" i="10" s="1"/>
  <c r="E753" i="10" s="1"/>
  <c r="BR48" i="10"/>
  <c r="BR62" i="10" s="1"/>
  <c r="E801" i="10" s="1"/>
  <c r="L815" i="10"/>
  <c r="D177" i="10"/>
  <c r="D434" i="10" s="1"/>
  <c r="AM48" i="10"/>
  <c r="AM62" i="10" s="1"/>
  <c r="E770" i="10" s="1"/>
  <c r="AN48" i="10"/>
  <c r="AN62" i="10" s="1"/>
  <c r="E771" i="10" s="1"/>
  <c r="I48" i="10"/>
  <c r="I62" i="10" s="1"/>
  <c r="E740" i="10" s="1"/>
  <c r="BE48" i="10"/>
  <c r="BE62" i="10" s="1"/>
  <c r="E788" i="10" s="1"/>
  <c r="J48" i="10"/>
  <c r="J62" i="10" s="1"/>
  <c r="E741" i="10" s="1"/>
  <c r="Z48" i="10"/>
  <c r="Z62" i="10" s="1"/>
  <c r="E757" i="10" s="1"/>
  <c r="BG48" i="10"/>
  <c r="BG62" i="10" s="1"/>
  <c r="E790" i="10" s="1"/>
  <c r="K48" i="10"/>
  <c r="K62" i="10" s="1"/>
  <c r="E742" i="10" s="1"/>
  <c r="W48" i="10"/>
  <c r="W62" i="10" s="1"/>
  <c r="E754" i="10" s="1"/>
  <c r="L48" i="10"/>
  <c r="L62" i="10" s="1"/>
  <c r="E743" i="10" s="1"/>
  <c r="M48" i="10"/>
  <c r="M62" i="10" s="1"/>
  <c r="E744" i="10" s="1"/>
  <c r="BI48" i="10"/>
  <c r="BI62" i="10" s="1"/>
  <c r="E792" i="10" s="1"/>
  <c r="AD48" i="10"/>
  <c r="AD62" i="10" s="1"/>
  <c r="E761" i="10" s="1"/>
  <c r="O816" i="10"/>
  <c r="C463" i="10"/>
  <c r="P816" i="10"/>
  <c r="D612" i="10"/>
  <c r="CF76" i="10"/>
  <c r="AZ52" i="10" s="1"/>
  <c r="AZ67" i="10" s="1"/>
  <c r="BI730" i="10"/>
  <c r="C816" i="10"/>
  <c r="H612" i="10"/>
  <c r="I816" i="10"/>
  <c r="C432" i="10"/>
  <c r="G816" i="10"/>
  <c r="C430" i="10"/>
  <c r="F612" i="10"/>
  <c r="S816" i="10"/>
  <c r="J612" i="10"/>
  <c r="E809" i="10"/>
  <c r="L816" i="10"/>
  <c r="C440" i="10"/>
  <c r="E795" i="10"/>
  <c r="Q816" i="10"/>
  <c r="G612" i="10"/>
  <c r="CF77" i="10"/>
  <c r="K816" i="10"/>
  <c r="C434" i="10"/>
  <c r="K612" i="10" l="1"/>
  <c r="N816" i="10"/>
  <c r="BR52" i="10"/>
  <c r="Q52" i="10"/>
  <c r="AU52" i="10"/>
  <c r="H52" i="10"/>
  <c r="J52" i="10"/>
  <c r="BS52" i="10"/>
  <c r="Z52" i="10"/>
  <c r="U52" i="10"/>
  <c r="BC52" i="10"/>
  <c r="AL52" i="10"/>
  <c r="K52" i="10"/>
  <c r="BJ52" i="10"/>
  <c r="AV52" i="10"/>
  <c r="BW52" i="10"/>
  <c r="S52" i="10"/>
  <c r="F52" i="10"/>
  <c r="G52" i="10"/>
  <c r="P52" i="10"/>
  <c r="AW52" i="10"/>
  <c r="BN52" i="10"/>
  <c r="D52" i="10"/>
  <c r="V52" i="10"/>
  <c r="O52" i="10"/>
  <c r="AN52" i="10"/>
  <c r="BE52" i="10"/>
  <c r="CB52" i="10"/>
  <c r="T52" i="10"/>
  <c r="AD52" i="10"/>
  <c r="AD67" i="10" s="1"/>
  <c r="AM52" i="10"/>
  <c r="BL52" i="10"/>
  <c r="BM52" i="10"/>
  <c r="AX52" i="10"/>
  <c r="AX67" i="10" s="1"/>
  <c r="AR52" i="10"/>
  <c r="BT52" i="10"/>
  <c r="BU52" i="10"/>
  <c r="AC52" i="10"/>
  <c r="AI52" i="10"/>
  <c r="AI67" i="10" s="1"/>
  <c r="BH52" i="10"/>
  <c r="I52" i="10"/>
  <c r="BQ52" i="10"/>
  <c r="AF52" i="10"/>
  <c r="AF67" i="10" s="1"/>
  <c r="BG52" i="10"/>
  <c r="BP52" i="10"/>
  <c r="AS52" i="10"/>
  <c r="AT52" i="10"/>
  <c r="W52" i="10"/>
  <c r="CA52" i="10"/>
  <c r="CA67" i="10" s="1"/>
  <c r="BY52" i="10"/>
  <c r="Y52" i="10"/>
  <c r="CC52" i="10"/>
  <c r="AP52" i="10"/>
  <c r="R52" i="10"/>
  <c r="AQ52" i="10"/>
  <c r="AB52" i="10"/>
  <c r="BI52" i="10"/>
  <c r="BB52" i="10"/>
  <c r="AE52" i="10"/>
  <c r="M52" i="10"/>
  <c r="M67" i="10" s="1"/>
  <c r="X52" i="10"/>
  <c r="X67" i="10" s="1"/>
  <c r="AO52" i="10"/>
  <c r="E52" i="10"/>
  <c r="BF52" i="10"/>
  <c r="BF67" i="10" s="1"/>
  <c r="AH52" i="10"/>
  <c r="AY52" i="10"/>
  <c r="AJ52" i="10"/>
  <c r="E769" i="10"/>
  <c r="E767" i="10"/>
  <c r="E762" i="10"/>
  <c r="E735" i="10"/>
  <c r="E799" i="10"/>
  <c r="CE48" i="10"/>
  <c r="J783" i="10"/>
  <c r="AZ71" i="10"/>
  <c r="BD52" i="10"/>
  <c r="BD67" i="10" s="1"/>
  <c r="AA52" i="10"/>
  <c r="AA67" i="10" s="1"/>
  <c r="L52" i="10"/>
  <c r="L67" i="10" s="1"/>
  <c r="BX52" i="10"/>
  <c r="BX67" i="10" s="1"/>
  <c r="E734" i="10"/>
  <c r="CE62" i="10"/>
  <c r="N52" i="10"/>
  <c r="N67" i="10" s="1"/>
  <c r="BZ52" i="10"/>
  <c r="BZ67" i="10" s="1"/>
  <c r="BK52" i="10"/>
  <c r="BK67" i="10" s="1"/>
  <c r="BA52" i="10"/>
  <c r="BA67" i="10" s="1"/>
  <c r="AG52" i="10"/>
  <c r="AG67" i="10" s="1"/>
  <c r="AK52" i="10"/>
  <c r="AK67" i="10" s="1"/>
  <c r="BV52" i="10"/>
  <c r="BV67" i="10" s="1"/>
  <c r="C52" i="10"/>
  <c r="C67" i="10" s="1"/>
  <c r="BO52" i="10"/>
  <c r="BO67" i="10" s="1"/>
  <c r="R67" i="10" l="1"/>
  <c r="J749" i="10" s="1"/>
  <c r="W67" i="10"/>
  <c r="J754" i="10" s="1"/>
  <c r="J800" i="10"/>
  <c r="BQ67" i="10"/>
  <c r="BT67" i="10"/>
  <c r="J803" i="10" s="1"/>
  <c r="V67" i="10"/>
  <c r="J753" i="10" s="1"/>
  <c r="J737" i="10"/>
  <c r="F67" i="10"/>
  <c r="AL67" i="10"/>
  <c r="J769" i="10" s="1"/>
  <c r="H67" i="10"/>
  <c r="J739" i="10" s="1"/>
  <c r="J762" i="10"/>
  <c r="AE67" i="10"/>
  <c r="AT67" i="10"/>
  <c r="J777" i="10" s="1"/>
  <c r="I67" i="10"/>
  <c r="J740" i="10" s="1"/>
  <c r="J775" i="10"/>
  <c r="AR67" i="10"/>
  <c r="T67" i="10"/>
  <c r="J751" i="10" s="1"/>
  <c r="D67" i="10"/>
  <c r="J735" i="10" s="1"/>
  <c r="J750" i="10"/>
  <c r="S67" i="10"/>
  <c r="BC67" i="10"/>
  <c r="J786" i="10" s="1"/>
  <c r="AU67" i="10"/>
  <c r="J778" i="10" s="1"/>
  <c r="J782" i="10"/>
  <c r="AY67" i="10"/>
  <c r="AH67" i="10"/>
  <c r="J765" i="10" s="1"/>
  <c r="BB67" i="10"/>
  <c r="J785" i="10" s="1"/>
  <c r="J776" i="10"/>
  <c r="AS67" i="10"/>
  <c r="CB67" i="10"/>
  <c r="J811" i="10" s="1"/>
  <c r="BN67" i="10"/>
  <c r="J797" i="10" s="1"/>
  <c r="J806" i="10"/>
  <c r="BW67" i="10"/>
  <c r="U67" i="10"/>
  <c r="J752" i="10" s="1"/>
  <c r="Q67" i="10"/>
  <c r="J748" i="10" s="1"/>
  <c r="J812" i="10"/>
  <c r="CC67" i="10"/>
  <c r="E67" i="10"/>
  <c r="J736" i="10" s="1"/>
  <c r="BI67" i="10"/>
  <c r="J792" i="10" s="1"/>
  <c r="J799" i="10"/>
  <c r="BP67" i="10"/>
  <c r="BM67" i="10"/>
  <c r="J796" i="10" s="1"/>
  <c r="BE67" i="10"/>
  <c r="J788" i="10" s="1"/>
  <c r="J780" i="10"/>
  <c r="AW67" i="10"/>
  <c r="AV67" i="10"/>
  <c r="AV71" i="10" s="1"/>
  <c r="Z67" i="10"/>
  <c r="J757" i="10" s="1"/>
  <c r="J801" i="10"/>
  <c r="BR67" i="10"/>
  <c r="J773" i="10"/>
  <c r="AP67" i="10"/>
  <c r="BH67" i="10"/>
  <c r="J791" i="10" s="1"/>
  <c r="J759" i="10"/>
  <c r="AB67" i="10"/>
  <c r="J808" i="10"/>
  <c r="BY67" i="10"/>
  <c r="BG67" i="10"/>
  <c r="J790" i="10" s="1"/>
  <c r="J760" i="10"/>
  <c r="AC67" i="10"/>
  <c r="J795" i="10"/>
  <c r="BL67" i="10"/>
  <c r="AN67" i="10"/>
  <c r="J771" i="10" s="1"/>
  <c r="J747" i="10"/>
  <c r="P67" i="10"/>
  <c r="J793" i="10"/>
  <c r="BJ67" i="10"/>
  <c r="BS67" i="10"/>
  <c r="J802" i="10" s="1"/>
  <c r="J756" i="10"/>
  <c r="Y67" i="10"/>
  <c r="J772" i="10"/>
  <c r="AO67" i="10"/>
  <c r="AJ67" i="10"/>
  <c r="J767" i="10" s="1"/>
  <c r="J774" i="10"/>
  <c r="AQ67" i="10"/>
  <c r="J804" i="10"/>
  <c r="BU67" i="10"/>
  <c r="AM67" i="10"/>
  <c r="J770" i="10" s="1"/>
  <c r="J746" i="10"/>
  <c r="O67" i="10"/>
  <c r="J738" i="10"/>
  <c r="G67" i="10"/>
  <c r="K67" i="10"/>
  <c r="J742" i="10" s="1"/>
  <c r="J741" i="10"/>
  <c r="J67" i="10"/>
  <c r="Q71" i="10"/>
  <c r="AM71" i="10"/>
  <c r="J71" i="10"/>
  <c r="G71" i="10"/>
  <c r="K71" i="10"/>
  <c r="BR71" i="10"/>
  <c r="AB71" i="10"/>
  <c r="BB71" i="10"/>
  <c r="AP71" i="10"/>
  <c r="AT71" i="10"/>
  <c r="I71" i="10"/>
  <c r="BC71" i="10"/>
  <c r="AO71" i="10"/>
  <c r="BL71" i="10"/>
  <c r="BJ71" i="10"/>
  <c r="W71" i="10"/>
  <c r="P71" i="10"/>
  <c r="BS71" i="10"/>
  <c r="AC71" i="10"/>
  <c r="AN71" i="10"/>
  <c r="BE71" i="10"/>
  <c r="BM71" i="10"/>
  <c r="J779" i="10"/>
  <c r="Z71" i="10"/>
  <c r="F71" i="10"/>
  <c r="AW71" i="10"/>
  <c r="H71" i="10"/>
  <c r="V71" i="10"/>
  <c r="AU71" i="10"/>
  <c r="AH71" i="10"/>
  <c r="D71" i="10"/>
  <c r="AR71" i="10"/>
  <c r="S71" i="10"/>
  <c r="T71" i="10"/>
  <c r="R71" i="10"/>
  <c r="BH71" i="10"/>
  <c r="CB71" i="10"/>
  <c r="U71" i="10"/>
  <c r="E71" i="10"/>
  <c r="BN71" i="10"/>
  <c r="BW71" i="10"/>
  <c r="BY71" i="10"/>
  <c r="AL71" i="10"/>
  <c r="J781" i="10"/>
  <c r="AX71" i="10"/>
  <c r="BP71" i="10"/>
  <c r="O71" i="10"/>
  <c r="J761" i="10"/>
  <c r="AD71" i="10"/>
  <c r="BQ71" i="10"/>
  <c r="BI71" i="10"/>
  <c r="BT71" i="10"/>
  <c r="J766" i="10"/>
  <c r="AI71" i="10"/>
  <c r="AQ71" i="10"/>
  <c r="J763" i="10"/>
  <c r="AF71" i="10"/>
  <c r="BU71" i="10"/>
  <c r="AE71" i="10"/>
  <c r="BG71" i="10"/>
  <c r="Y71" i="10"/>
  <c r="AY71" i="10"/>
  <c r="J755" i="10"/>
  <c r="X71" i="10"/>
  <c r="J789" i="10"/>
  <c r="BF71" i="10"/>
  <c r="J810" i="10"/>
  <c r="CA71" i="10"/>
  <c r="AS71" i="10"/>
  <c r="J744" i="10"/>
  <c r="M71" i="10"/>
  <c r="AJ71" i="10"/>
  <c r="CC71" i="10"/>
  <c r="E815" i="10"/>
  <c r="J809" i="10"/>
  <c r="BZ71" i="10"/>
  <c r="CE52" i="10"/>
  <c r="J807" i="10"/>
  <c r="BX71" i="10"/>
  <c r="J745" i="10"/>
  <c r="N71" i="10"/>
  <c r="J805" i="10"/>
  <c r="BV71" i="10"/>
  <c r="J768" i="10"/>
  <c r="AK71" i="10"/>
  <c r="J764" i="10"/>
  <c r="AG71" i="10"/>
  <c r="J784" i="10"/>
  <c r="BA71" i="10"/>
  <c r="J743" i="10"/>
  <c r="L71" i="10"/>
  <c r="C628" i="10"/>
  <c r="C545" i="10"/>
  <c r="J787" i="10"/>
  <c r="BD71" i="10"/>
  <c r="J798" i="10"/>
  <c r="BO71" i="10"/>
  <c r="E816" i="10"/>
  <c r="C428" i="10"/>
  <c r="J794" i="10"/>
  <c r="BK71" i="10"/>
  <c r="J758" i="10"/>
  <c r="AA71" i="10"/>
  <c r="C713" i="10" l="1"/>
  <c r="C541" i="10"/>
  <c r="C641" i="10"/>
  <c r="C640" i="10"/>
  <c r="C685" i="10"/>
  <c r="C687" i="10"/>
  <c r="C638" i="10"/>
  <c r="C516" i="10"/>
  <c r="C711" i="10"/>
  <c r="C500" i="10"/>
  <c r="G500" i="10" s="1"/>
  <c r="C542" i="10"/>
  <c r="C710" i="10"/>
  <c r="C554" i="10"/>
  <c r="C670" i="10"/>
  <c r="C684" i="10"/>
  <c r="C673" i="10"/>
  <c r="C550" i="10"/>
  <c r="C555" i="10"/>
  <c r="C535" i="10"/>
  <c r="G535" i="10" s="1"/>
  <c r="C503" i="10"/>
  <c r="G503" i="10" s="1"/>
  <c r="C544" i="10"/>
  <c r="G544" i="10" s="1"/>
  <c r="H544" i="10" s="1"/>
  <c r="C686" i="10"/>
  <c r="C705" i="10"/>
  <c r="C547" i="10"/>
  <c r="C620" i="10"/>
  <c r="C708" i="10"/>
  <c r="C669" i="10"/>
  <c r="C522" i="10"/>
  <c r="G522" i="10" s="1"/>
  <c r="H522" i="10" s="1"/>
  <c r="C521" i="10"/>
  <c r="C645" i="10"/>
  <c r="C553" i="10"/>
  <c r="C699" i="10"/>
  <c r="C691" i="10"/>
  <c r="C633" i="10"/>
  <c r="C563" i="10"/>
  <c r="C562" i="10"/>
  <c r="C709" i="10"/>
  <c r="C557" i="10"/>
  <c r="C704" i="10"/>
  <c r="C690" i="10"/>
  <c r="C671" i="10"/>
  <c r="C706" i="10"/>
  <c r="C682" i="10"/>
  <c r="C524" i="10"/>
  <c r="G524" i="10" s="1"/>
  <c r="H524" i="10" s="1"/>
  <c r="C643" i="10"/>
  <c r="C683" i="10"/>
  <c r="C712" i="10"/>
  <c r="C681" i="10"/>
  <c r="C502" i="10"/>
  <c r="C504" i="10"/>
  <c r="G504" i="10" s="1"/>
  <c r="C532" i="10"/>
  <c r="G532" i="10" s="1"/>
  <c r="C676" i="10"/>
  <c r="C510" i="10"/>
  <c r="G510" i="10" s="1"/>
  <c r="H510" i="10" s="1"/>
  <c r="C672" i="10"/>
  <c r="C675" i="10"/>
  <c r="C626" i="10"/>
  <c r="C632" i="10"/>
  <c r="C499" i="10"/>
  <c r="G499" i="10" s="1"/>
  <c r="C693" i="10"/>
  <c r="C637" i="10"/>
  <c r="C707" i="10"/>
  <c r="C536" i="10"/>
  <c r="G536" i="10" s="1"/>
  <c r="C533" i="10"/>
  <c r="G533" i="10" s="1"/>
  <c r="C539" i="10"/>
  <c r="G539" i="10" s="1"/>
  <c r="C498" i="10"/>
  <c r="G498" i="10" s="1"/>
  <c r="H498" i="10" s="1"/>
  <c r="C688" i="10"/>
  <c r="C674" i="10"/>
  <c r="C634" i="10"/>
  <c r="C636" i="10"/>
  <c r="C509" i="10"/>
  <c r="G509" i="10" s="1"/>
  <c r="H509" i="10" s="1"/>
  <c r="C568" i="10"/>
  <c r="C548" i="10"/>
  <c r="C515" i="10"/>
  <c r="G515" i="10" s="1"/>
  <c r="C558" i="10"/>
  <c r="C501" i="10"/>
  <c r="G501" i="10" s="1"/>
  <c r="C519" i="10"/>
  <c r="G519" i="10" s="1"/>
  <c r="C540" i="10"/>
  <c r="G540" i="10" s="1"/>
  <c r="C511" i="10"/>
  <c r="G511" i="10" s="1"/>
  <c r="H511" i="10" s="1"/>
  <c r="C534" i="10"/>
  <c r="G534" i="10" s="1"/>
  <c r="C617" i="10"/>
  <c r="C614" i="10"/>
  <c r="D615" i="10" s="1"/>
  <c r="C623" i="10"/>
  <c r="C514" i="10"/>
  <c r="G514" i="10" s="1"/>
  <c r="C537" i="10"/>
  <c r="G537" i="10" s="1"/>
  <c r="C639" i="10"/>
  <c r="C564" i="10"/>
  <c r="C566" i="10"/>
  <c r="C694" i="10"/>
  <c r="C570" i="10"/>
  <c r="C512" i="10"/>
  <c r="G512" i="10" s="1"/>
  <c r="C538" i="10"/>
  <c r="G538" i="10" s="1"/>
  <c r="C631" i="10"/>
  <c r="C497" i="10"/>
  <c r="G497" i="10" s="1"/>
  <c r="C625" i="10"/>
  <c r="C527" i="10"/>
  <c r="G527" i="10" s="1"/>
  <c r="C513" i="10"/>
  <c r="G513" i="10" s="1"/>
  <c r="C696" i="10"/>
  <c r="C559" i="10"/>
  <c r="C619" i="10"/>
  <c r="C531" i="10"/>
  <c r="G531" i="10" s="1"/>
  <c r="H531" i="10" s="1"/>
  <c r="C703" i="10"/>
  <c r="C622" i="10"/>
  <c r="C573" i="10"/>
  <c r="C518" i="10"/>
  <c r="G518" i="10" s="1"/>
  <c r="H518" i="10" s="1"/>
  <c r="C695" i="10"/>
  <c r="C523" i="10"/>
  <c r="G523" i="10" s="1"/>
  <c r="C565" i="10"/>
  <c r="C680" i="10"/>
  <c r="C508" i="10"/>
  <c r="G508" i="10" s="1"/>
  <c r="C561" i="10"/>
  <c r="C621" i="10"/>
  <c r="C543" i="10"/>
  <c r="C616" i="10"/>
  <c r="C552" i="10"/>
  <c r="C618" i="10"/>
  <c r="C528" i="10"/>
  <c r="G528" i="10" s="1"/>
  <c r="H528" i="10" s="1"/>
  <c r="C700" i="10"/>
  <c r="C574" i="10"/>
  <c r="C697" i="10"/>
  <c r="C525" i="10"/>
  <c r="G525" i="10" s="1"/>
  <c r="C517" i="10"/>
  <c r="G517" i="10" s="1"/>
  <c r="H517" i="10" s="1"/>
  <c r="C689" i="10"/>
  <c r="C572" i="10"/>
  <c r="C647" i="10"/>
  <c r="C701" i="10"/>
  <c r="C529" i="10"/>
  <c r="G529" i="10" s="1"/>
  <c r="C506" i="10"/>
  <c r="G506" i="10" s="1"/>
  <c r="C678" i="10"/>
  <c r="C629" i="10"/>
  <c r="C551" i="10"/>
  <c r="G516" i="10"/>
  <c r="H516" i="10" s="1"/>
  <c r="G545" i="10"/>
  <c r="H545" i="10"/>
  <c r="C556" i="10"/>
  <c r="C635" i="10"/>
  <c r="C530" i="10"/>
  <c r="C702" i="10"/>
  <c r="C679" i="10"/>
  <c r="C507" i="10"/>
  <c r="G507" i="10" s="1"/>
  <c r="C567" i="10"/>
  <c r="C642" i="10"/>
  <c r="C571" i="10"/>
  <c r="C646" i="10"/>
  <c r="C698" i="10"/>
  <c r="C526" i="10"/>
  <c r="C692" i="10"/>
  <c r="C520" i="10"/>
  <c r="C569" i="10"/>
  <c r="C644" i="10"/>
  <c r="C627" i="10"/>
  <c r="C560" i="10"/>
  <c r="G521" i="10"/>
  <c r="H521" i="10"/>
  <c r="G502" i="10"/>
  <c r="H502" i="10" s="1"/>
  <c r="C677" i="10"/>
  <c r="C505" i="10"/>
  <c r="G505" i="10" s="1"/>
  <c r="C546" i="10"/>
  <c r="C630" i="10"/>
  <c r="G550" i="10"/>
  <c r="H550" i="10" s="1"/>
  <c r="C549" i="10"/>
  <c r="C624" i="10"/>
  <c r="J734" i="10"/>
  <c r="J815" i="10" s="1"/>
  <c r="CE67" i="10"/>
  <c r="C71" i="10"/>
  <c r="H514" i="10" l="1"/>
  <c r="H512" i="10"/>
  <c r="C648" i="10"/>
  <c r="M716" i="10" s="1"/>
  <c r="Y816" i="10" s="1"/>
  <c r="G520" i="10"/>
  <c r="H520" i="10" s="1"/>
  <c r="G526" i="10"/>
  <c r="H526" i="10" s="1"/>
  <c r="D712" i="10"/>
  <c r="D704" i="10"/>
  <c r="D696" i="10"/>
  <c r="D709" i="10"/>
  <c r="D701" i="10"/>
  <c r="D693" i="10"/>
  <c r="D706" i="10"/>
  <c r="D698" i="10"/>
  <c r="D690" i="10"/>
  <c r="D711" i="10"/>
  <c r="D703" i="10"/>
  <c r="D708" i="10"/>
  <c r="D700" i="10"/>
  <c r="D713" i="10"/>
  <c r="D705" i="10"/>
  <c r="D710" i="10"/>
  <c r="D702" i="10"/>
  <c r="D694" i="10"/>
  <c r="D682" i="10"/>
  <c r="D674" i="10"/>
  <c r="D623" i="10"/>
  <c r="D619" i="10"/>
  <c r="D699" i="10"/>
  <c r="D697" i="10"/>
  <c r="D695" i="10"/>
  <c r="D692" i="10"/>
  <c r="D689" i="10"/>
  <c r="D681" i="10"/>
  <c r="D673" i="10"/>
  <c r="D716" i="10"/>
  <c r="D686" i="10"/>
  <c r="D678" i="10"/>
  <c r="D670" i="10"/>
  <c r="D647" i="10"/>
  <c r="D646" i="10"/>
  <c r="D645" i="10"/>
  <c r="D629" i="10"/>
  <c r="D626" i="10"/>
  <c r="D621" i="10"/>
  <c r="D617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7" i="10"/>
  <c r="D685" i="10"/>
  <c r="D677" i="10"/>
  <c r="D669" i="10"/>
  <c r="D627" i="10"/>
  <c r="D684" i="10"/>
  <c r="D680" i="10"/>
  <c r="D620" i="10"/>
  <c r="D687" i="10"/>
  <c r="D625" i="10"/>
  <c r="D616" i="10"/>
  <c r="D691" i="10"/>
  <c r="D679" i="10"/>
  <c r="D671" i="10"/>
  <c r="D688" i="10"/>
  <c r="D622" i="10"/>
  <c r="D628" i="10"/>
  <c r="D618" i="10"/>
  <c r="D668" i="10"/>
  <c r="D672" i="10"/>
  <c r="D676" i="10"/>
  <c r="C668" i="10"/>
  <c r="C715" i="10" s="1"/>
  <c r="C496" i="10"/>
  <c r="G546" i="10"/>
  <c r="H546" i="10"/>
  <c r="J816" i="10"/>
  <c r="C433" i="10"/>
  <c r="C441" i="10" s="1"/>
  <c r="CE71" i="10"/>
  <c r="C716" i="10" s="1"/>
  <c r="G530" i="10"/>
  <c r="H530" i="10" s="1"/>
  <c r="D715" i="10" l="1"/>
  <c r="E623" i="10"/>
  <c r="E612" i="10"/>
  <c r="G496" i="10"/>
  <c r="H496" i="10" s="1"/>
  <c r="E709" i="10" l="1"/>
  <c r="E701" i="10"/>
  <c r="E693" i="10"/>
  <c r="E706" i="10"/>
  <c r="E698" i="10"/>
  <c r="E711" i="10"/>
  <c r="E703" i="10"/>
  <c r="E695" i="10"/>
  <c r="E708" i="10"/>
  <c r="E700" i="10"/>
  <c r="E713" i="10"/>
  <c r="E705" i="10"/>
  <c r="E697" i="10"/>
  <c r="E710" i="10"/>
  <c r="E702" i="10"/>
  <c r="E716" i="10"/>
  <c r="E707" i="10"/>
  <c r="E699" i="10"/>
  <c r="E691" i="10"/>
  <c r="E712" i="10"/>
  <c r="E694" i="10"/>
  <c r="E690" i="10"/>
  <c r="E687" i="10"/>
  <c r="E679" i="10"/>
  <c r="E671" i="10"/>
  <c r="E625" i="10"/>
  <c r="E704" i="10"/>
  <c r="E686" i="10"/>
  <c r="E678" i="10"/>
  <c r="E670" i="10"/>
  <c r="E647" i="10"/>
  <c r="E646" i="10"/>
  <c r="E645" i="10"/>
  <c r="E629" i="10"/>
  <c r="E626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88" i="10"/>
  <c r="E680" i="10"/>
  <c r="E672" i="10"/>
  <c r="E696" i="10"/>
  <c r="E682" i="10"/>
  <c r="E674" i="10"/>
  <c r="E676" i="10"/>
  <c r="E689" i="10"/>
  <c r="E685" i="10"/>
  <c r="E681" i="10"/>
  <c r="E677" i="10"/>
  <c r="E673" i="10"/>
  <c r="E669" i="10"/>
  <c r="E628" i="10"/>
  <c r="E684" i="10"/>
  <c r="E627" i="10"/>
  <c r="E692" i="10"/>
  <c r="E668" i="10"/>
  <c r="E715" i="10" l="1"/>
  <c r="F624" i="10"/>
  <c r="F706" i="10" l="1"/>
  <c r="F698" i="10"/>
  <c r="F690" i="10"/>
  <c r="F711" i="10"/>
  <c r="F703" i="10"/>
  <c r="F695" i="10"/>
  <c r="F708" i="10"/>
  <c r="F700" i="10"/>
  <c r="F692" i="10"/>
  <c r="F713" i="10"/>
  <c r="F705" i="10"/>
  <c r="F710" i="10"/>
  <c r="F702" i="10"/>
  <c r="F716" i="10"/>
  <c r="F707" i="10"/>
  <c r="F699" i="10"/>
  <c r="F712" i="10"/>
  <c r="F704" i="10"/>
  <c r="F696" i="10"/>
  <c r="F691" i="10"/>
  <c r="F684" i="10"/>
  <c r="F676" i="10"/>
  <c r="F668" i="10"/>
  <c r="F628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9" i="10"/>
  <c r="F688" i="10"/>
  <c r="F680" i="10"/>
  <c r="F672" i="10"/>
  <c r="F693" i="10"/>
  <c r="F685" i="10"/>
  <c r="F677" i="10"/>
  <c r="F669" i="10"/>
  <c r="F627" i="10"/>
  <c r="F701" i="10"/>
  <c r="F694" i="10"/>
  <c r="F687" i="10"/>
  <c r="F679" i="10"/>
  <c r="F671" i="10"/>
  <c r="F625" i="10"/>
  <c r="F678" i="10"/>
  <c r="F674" i="10"/>
  <c r="F646" i="10"/>
  <c r="F681" i="10"/>
  <c r="F645" i="10"/>
  <c r="F629" i="10"/>
  <c r="F673" i="10"/>
  <c r="F647" i="10"/>
  <c r="F686" i="10"/>
  <c r="F682" i="10"/>
  <c r="F670" i="10"/>
  <c r="F689" i="10"/>
  <c r="F626" i="10"/>
  <c r="F697" i="10"/>
  <c r="F715" i="10" l="1"/>
  <c r="G625" i="10"/>
  <c r="G711" i="10" l="1"/>
  <c r="G703" i="10"/>
  <c r="G695" i="10"/>
  <c r="G708" i="10"/>
  <c r="G700" i="10"/>
  <c r="G692" i="10"/>
  <c r="G713" i="10"/>
  <c r="G705" i="10"/>
  <c r="G697" i="10"/>
  <c r="G710" i="10"/>
  <c r="G702" i="10"/>
  <c r="G716" i="10"/>
  <c r="G707" i="10"/>
  <c r="G699" i="10"/>
  <c r="G712" i="10"/>
  <c r="G704" i="10"/>
  <c r="G709" i="10"/>
  <c r="G701" i="10"/>
  <c r="G693" i="10"/>
  <c r="G706" i="10"/>
  <c r="G689" i="10"/>
  <c r="G681" i="10"/>
  <c r="G673" i="10"/>
  <c r="G688" i="10"/>
  <c r="G680" i="10"/>
  <c r="G672" i="10"/>
  <c r="G685" i="10"/>
  <c r="G677" i="10"/>
  <c r="G669" i="10"/>
  <c r="G627" i="10"/>
  <c r="G682" i="10"/>
  <c r="G674" i="10"/>
  <c r="G691" i="10"/>
  <c r="G690" i="10"/>
  <c r="G684" i="10"/>
  <c r="G676" i="10"/>
  <c r="G668" i="10"/>
  <c r="G628" i="10"/>
  <c r="G670" i="10"/>
  <c r="G638" i="10"/>
  <c r="G630" i="10"/>
  <c r="G626" i="10"/>
  <c r="G683" i="10"/>
  <c r="G679" i="10"/>
  <c r="G637" i="10"/>
  <c r="G675" i="10"/>
  <c r="G671" i="10"/>
  <c r="G647" i="10"/>
  <c r="G642" i="10"/>
  <c r="G634" i="10"/>
  <c r="G694" i="10"/>
  <c r="G639" i="10"/>
  <c r="G631" i="10"/>
  <c r="G698" i="10"/>
  <c r="G678" i="10"/>
  <c r="G646" i="10"/>
  <c r="G641" i="10"/>
  <c r="G633" i="10"/>
  <c r="G644" i="10"/>
  <c r="G643" i="10"/>
  <c r="G636" i="10"/>
  <c r="G629" i="10"/>
  <c r="G635" i="10"/>
  <c r="G645" i="10"/>
  <c r="G696" i="10"/>
  <c r="G640" i="10"/>
  <c r="G686" i="10"/>
  <c r="G687" i="10"/>
  <c r="G632" i="10"/>
  <c r="H628" i="10" l="1"/>
  <c r="H708" i="10" s="1"/>
  <c r="G715" i="10"/>
  <c r="H635" i="10" l="1"/>
  <c r="H684" i="10"/>
  <c r="H711" i="10"/>
  <c r="H636" i="10"/>
  <c r="H693" i="10"/>
  <c r="H699" i="10"/>
  <c r="H698" i="10"/>
  <c r="H669" i="10"/>
  <c r="H706" i="10"/>
  <c r="H690" i="10"/>
  <c r="H695" i="10"/>
  <c r="H712" i="10"/>
  <c r="H703" i="10"/>
  <c r="H701" i="10"/>
  <c r="H707" i="10"/>
  <c r="H643" i="10"/>
  <c r="H632" i="10"/>
  <c r="H639" i="10"/>
  <c r="H668" i="10"/>
  <c r="H633" i="10"/>
  <c r="H637" i="10"/>
  <c r="H689" i="10"/>
  <c r="H645" i="10"/>
  <c r="H640" i="10"/>
  <c r="H676" i="10"/>
  <c r="H634" i="10"/>
  <c r="H671" i="10"/>
  <c r="H646" i="10"/>
  <c r="H683" i="10"/>
  <c r="H680" i="10"/>
  <c r="H642" i="10"/>
  <c r="H679" i="10"/>
  <c r="H647" i="10"/>
  <c r="H716" i="10"/>
  <c r="H697" i="10"/>
  <c r="H705" i="10"/>
  <c r="H713" i="10"/>
  <c r="H672" i="10"/>
  <c r="H687" i="10"/>
  <c r="H677" i="10"/>
  <c r="H670" i="10"/>
  <c r="H709" i="10"/>
  <c r="H694" i="10"/>
  <c r="H692" i="10"/>
  <c r="H688" i="10"/>
  <c r="H630" i="10"/>
  <c r="H644" i="10"/>
  <c r="H675" i="10"/>
  <c r="H673" i="10"/>
  <c r="H674" i="10"/>
  <c r="H685" i="10"/>
  <c r="H678" i="10"/>
  <c r="H696" i="10"/>
  <c r="H702" i="10"/>
  <c r="H700" i="10"/>
  <c r="H641" i="10"/>
  <c r="H638" i="10"/>
  <c r="H631" i="10"/>
  <c r="H691" i="10"/>
  <c r="H681" i="10"/>
  <c r="H682" i="10"/>
  <c r="H629" i="10"/>
  <c r="I629" i="10" s="1"/>
  <c r="H686" i="10"/>
  <c r="H704" i="10"/>
  <c r="H710" i="10"/>
  <c r="H715" i="10" l="1"/>
  <c r="I713" i="10"/>
  <c r="I705" i="10"/>
  <c r="I697" i="10"/>
  <c r="I710" i="10"/>
  <c r="I702" i="10"/>
  <c r="I694" i="10"/>
  <c r="I716" i="10"/>
  <c r="I707" i="10"/>
  <c r="I699" i="10"/>
  <c r="I691" i="10"/>
  <c r="I712" i="10"/>
  <c r="I704" i="10"/>
  <c r="I709" i="10"/>
  <c r="I701" i="10"/>
  <c r="I706" i="10"/>
  <c r="I711" i="10"/>
  <c r="I703" i="10"/>
  <c r="I695" i="10"/>
  <c r="I700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3" i="10"/>
  <c r="I682" i="10"/>
  <c r="I674" i="10"/>
  <c r="I687" i="10"/>
  <c r="I679" i="10"/>
  <c r="I671" i="10"/>
  <c r="I708" i="10"/>
  <c r="I698" i="10"/>
  <c r="I696" i="10"/>
  <c r="I690" i="10"/>
  <c r="I684" i="10"/>
  <c r="I676" i="10"/>
  <c r="I668" i="10"/>
  <c r="I686" i="10"/>
  <c r="I678" i="10"/>
  <c r="I670" i="10"/>
  <c r="I647" i="10"/>
  <c r="I646" i="10"/>
  <c r="I645" i="10"/>
  <c r="I677" i="10"/>
  <c r="I673" i="10"/>
  <c r="I669" i="10"/>
  <c r="I688" i="10"/>
  <c r="I672" i="10"/>
  <c r="I680" i="10"/>
  <c r="I685" i="10"/>
  <c r="I692" i="10"/>
  <c r="I689" i="10"/>
  <c r="I681" i="10"/>
  <c r="I715" i="10" l="1"/>
  <c r="J630" i="10"/>
  <c r="J710" i="10" l="1"/>
  <c r="J702" i="10"/>
  <c r="J694" i="10"/>
  <c r="J716" i="10"/>
  <c r="J707" i="10"/>
  <c r="J699" i="10"/>
  <c r="J691" i="10"/>
  <c r="J712" i="10"/>
  <c r="J704" i="10"/>
  <c r="J696" i="10"/>
  <c r="J709" i="10"/>
  <c r="J701" i="10"/>
  <c r="J706" i="10"/>
  <c r="J698" i="10"/>
  <c r="J711" i="10"/>
  <c r="J703" i="10"/>
  <c r="J708" i="10"/>
  <c r="J700" i="10"/>
  <c r="J692" i="10"/>
  <c r="J688" i="10"/>
  <c r="J680" i="10"/>
  <c r="J672" i="10"/>
  <c r="J687" i="10"/>
  <c r="J679" i="10"/>
  <c r="J671" i="10"/>
  <c r="J690" i="10"/>
  <c r="J684" i="10"/>
  <c r="J676" i="10"/>
  <c r="J668" i="10"/>
  <c r="J689" i="10"/>
  <c r="J681" i="10"/>
  <c r="J673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97" i="10"/>
  <c r="J695" i="10"/>
  <c r="J669" i="10"/>
  <c r="J647" i="10"/>
  <c r="J686" i="10"/>
  <c r="J693" i="10"/>
  <c r="J674" i="10"/>
  <c r="J670" i="10"/>
  <c r="J713" i="10"/>
  <c r="J685" i="10"/>
  <c r="J705" i="10"/>
  <c r="J678" i="10"/>
  <c r="J682" i="10"/>
  <c r="J677" i="10"/>
  <c r="J646" i="10"/>
  <c r="J645" i="10"/>
  <c r="J715" i="10" l="1"/>
  <c r="L647" i="10"/>
  <c r="K644" i="10"/>
  <c r="K716" i="10" l="1"/>
  <c r="K707" i="10"/>
  <c r="K699" i="10"/>
  <c r="K691" i="10"/>
  <c r="K712" i="10"/>
  <c r="K704" i="10"/>
  <c r="K696" i="10"/>
  <c r="K709" i="10"/>
  <c r="K701" i="10"/>
  <c r="K693" i="10"/>
  <c r="K706" i="10"/>
  <c r="K711" i="10"/>
  <c r="K703" i="10"/>
  <c r="K695" i="10"/>
  <c r="K708" i="10"/>
  <c r="K700" i="10"/>
  <c r="K713" i="10"/>
  <c r="K705" i="10"/>
  <c r="K697" i="10"/>
  <c r="K692" i="10"/>
  <c r="K685" i="10"/>
  <c r="K677" i="10"/>
  <c r="K669" i="10"/>
  <c r="K690" i="10"/>
  <c r="K684" i="10"/>
  <c r="K676" i="10"/>
  <c r="K668" i="10"/>
  <c r="K698" i="10"/>
  <c r="K689" i="10"/>
  <c r="K681" i="10"/>
  <c r="K673" i="10"/>
  <c r="K702" i="10"/>
  <c r="K694" i="10"/>
  <c r="K686" i="10"/>
  <c r="K678" i="10"/>
  <c r="K670" i="10"/>
  <c r="K688" i="10"/>
  <c r="K680" i="10"/>
  <c r="K672" i="10"/>
  <c r="K710" i="10"/>
  <c r="K671" i="10"/>
  <c r="K682" i="10"/>
  <c r="K675" i="10"/>
  <c r="K674" i="10"/>
  <c r="K679" i="10"/>
  <c r="K683" i="10"/>
  <c r="K687" i="10"/>
  <c r="L712" i="10"/>
  <c r="L704" i="10"/>
  <c r="L696" i="10"/>
  <c r="L709" i="10"/>
  <c r="L701" i="10"/>
  <c r="L693" i="10"/>
  <c r="L706" i="10"/>
  <c r="L698" i="10"/>
  <c r="L690" i="10"/>
  <c r="L711" i="10"/>
  <c r="L703" i="10"/>
  <c r="L708" i="10"/>
  <c r="L700" i="10"/>
  <c r="L713" i="10"/>
  <c r="L705" i="10"/>
  <c r="L710" i="10"/>
  <c r="L702" i="10"/>
  <c r="L694" i="10"/>
  <c r="L697" i="10"/>
  <c r="L695" i="10"/>
  <c r="L682" i="10"/>
  <c r="L674" i="10"/>
  <c r="L716" i="10"/>
  <c r="L689" i="10"/>
  <c r="L681" i="10"/>
  <c r="L673" i="10"/>
  <c r="L686" i="10"/>
  <c r="L678" i="10"/>
  <c r="L670" i="10"/>
  <c r="L691" i="10"/>
  <c r="L683" i="10"/>
  <c r="L675" i="10"/>
  <c r="M675" i="10" s="1"/>
  <c r="Y741" i="10" s="1"/>
  <c r="L692" i="10"/>
  <c r="M692" i="10" s="1"/>
  <c r="Y758" i="10" s="1"/>
  <c r="L685" i="10"/>
  <c r="M685" i="10" s="1"/>
  <c r="Y751" i="10" s="1"/>
  <c r="L677" i="10"/>
  <c r="M677" i="10" s="1"/>
  <c r="Y743" i="10" s="1"/>
  <c r="L669" i="10"/>
  <c r="L687" i="10"/>
  <c r="L688" i="10"/>
  <c r="L699" i="10"/>
  <c r="L684" i="10"/>
  <c r="L680" i="10"/>
  <c r="L668" i="10"/>
  <c r="L707" i="10"/>
  <c r="L679" i="10"/>
  <c r="L672" i="10"/>
  <c r="L676" i="10"/>
  <c r="L671" i="10"/>
  <c r="M688" i="10" l="1"/>
  <c r="Y754" i="10" s="1"/>
  <c r="M681" i="10"/>
  <c r="Y747" i="10" s="1"/>
  <c r="M706" i="10"/>
  <c r="Y772" i="10" s="1"/>
  <c r="M707" i="10"/>
  <c r="Y773" i="10" s="1"/>
  <c r="M680" i="10"/>
  <c r="Y746" i="10" s="1"/>
  <c r="M689" i="10"/>
  <c r="Y755" i="10" s="1"/>
  <c r="M712" i="10"/>
  <c r="Y778" i="10" s="1"/>
  <c r="M676" i="10"/>
  <c r="Y742" i="10" s="1"/>
  <c r="M702" i="10"/>
  <c r="Y768" i="10" s="1"/>
  <c r="M674" i="10"/>
  <c r="Y740" i="10" s="1"/>
  <c r="M713" i="10"/>
  <c r="Y779" i="10" s="1"/>
  <c r="M671" i="10"/>
  <c r="Y737" i="10" s="1"/>
  <c r="M670" i="10"/>
  <c r="Y736" i="10" s="1"/>
  <c r="M703" i="10"/>
  <c r="Y769" i="10" s="1"/>
  <c r="M701" i="10"/>
  <c r="Y767" i="10" s="1"/>
  <c r="M684" i="10"/>
  <c r="Y750" i="10" s="1"/>
  <c r="M678" i="10"/>
  <c r="Y744" i="10" s="1"/>
  <c r="M697" i="10"/>
  <c r="Y763" i="10" s="1"/>
  <c r="M711" i="10"/>
  <c r="Y777" i="10" s="1"/>
  <c r="M682" i="10"/>
  <c r="Y748" i="10" s="1"/>
  <c r="M705" i="10"/>
  <c r="Y771" i="10" s="1"/>
  <c r="M690" i="10"/>
  <c r="Y756" i="10" s="1"/>
  <c r="M683" i="10"/>
  <c r="Y749" i="10" s="1"/>
  <c r="M691" i="10"/>
  <c r="Y757" i="10" s="1"/>
  <c r="M694" i="10"/>
  <c r="Y760" i="10" s="1"/>
  <c r="M693" i="10"/>
  <c r="Y759" i="10" s="1"/>
  <c r="M699" i="10"/>
  <c r="Y765" i="10" s="1"/>
  <c r="M686" i="10"/>
  <c r="Y752" i="10" s="1"/>
  <c r="M679" i="10"/>
  <c r="Y745" i="10" s="1"/>
  <c r="M695" i="10"/>
  <c r="Y761" i="10" s="1"/>
  <c r="M698" i="10"/>
  <c r="Y764" i="10" s="1"/>
  <c r="M687" i="10"/>
  <c r="Y753" i="10" s="1"/>
  <c r="M700" i="10"/>
  <c r="Y766" i="10" s="1"/>
  <c r="M672" i="10"/>
  <c r="Y738" i="10" s="1"/>
  <c r="M669" i="10"/>
  <c r="Y735" i="10" s="1"/>
  <c r="M708" i="10"/>
  <c r="Y774" i="10" s="1"/>
  <c r="M709" i="10"/>
  <c r="Y775" i="10" s="1"/>
  <c r="K715" i="10"/>
  <c r="M710" i="10"/>
  <c r="Y776" i="10" s="1"/>
  <c r="M696" i="10"/>
  <c r="Y762" i="10" s="1"/>
  <c r="L715" i="10"/>
  <c r="M668" i="10"/>
  <c r="M673" i="10"/>
  <c r="Y739" i="10" s="1"/>
  <c r="M704" i="10"/>
  <c r="Y770" i="10" s="1"/>
  <c r="M715" i="10" l="1"/>
  <c r="Y734" i="10"/>
  <c r="Y815" i="10" s="1"/>
  <c r="F493" i="1" l="1"/>
  <c r="D493" i="1"/>
  <c r="B493" i="1"/>
  <c r="B575" i="1" l="1"/>
  <c r="A493" i="1"/>
  <c r="A730" i="1"/>
  <c r="A726" i="1"/>
  <c r="A722" i="1"/>
  <c r="C115" i="8"/>
  <c r="CB730" i="1"/>
  <c r="C444" i="1"/>
  <c r="C448" i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BI730" i="1" s="1"/>
  <c r="CE61" i="1"/>
  <c r="BK48" i="1" s="1"/>
  <c r="BK62" i="1" s="1"/>
  <c r="G268" i="9" s="1"/>
  <c r="CE65" i="1"/>
  <c r="CE63" i="1"/>
  <c r="CE66" i="1"/>
  <c r="CE68" i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AM75" i="1"/>
  <c r="N770" i="1" s="1"/>
  <c r="AI75" i="1"/>
  <c r="G154" i="9" s="1"/>
  <c r="AH75" i="1"/>
  <c r="F154" i="9" s="1"/>
  <c r="AF75" i="1"/>
  <c r="AD75" i="1"/>
  <c r="N761" i="1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N737" i="1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I382" i="9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C22" i="8" s="1"/>
  <c r="D275" i="1"/>
  <c r="B476" i="1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E210" i="1"/>
  <c r="E211" i="1"/>
  <c r="E212" i="1"/>
  <c r="F27" i="6" s="1"/>
  <c r="E213" i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E197" i="1"/>
  <c r="C470" i="1" s="1"/>
  <c r="E198" i="1"/>
  <c r="E199" i="1"/>
  <c r="F11" i="6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C27" i="5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F19" i="4" s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D368" i="9"/>
  <c r="I812" i="1"/>
  <c r="C276" i="9"/>
  <c r="CE70" i="1"/>
  <c r="C458" i="1" s="1"/>
  <c r="CE76" i="1"/>
  <c r="BE59" i="1" s="1"/>
  <c r="B788" i="1" s="1"/>
  <c r="P812" i="1"/>
  <c r="CE77" i="1"/>
  <c r="G612" i="1" s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CD71" i="1"/>
  <c r="E373" i="9" s="1"/>
  <c r="C615" i="1"/>
  <c r="E372" i="9"/>
  <c r="H233" i="9" l="1"/>
  <c r="E550" i="1"/>
  <c r="CF76" i="1"/>
  <c r="B465" i="1"/>
  <c r="D368" i="1"/>
  <c r="F25" i="6"/>
  <c r="C469" i="1"/>
  <c r="E204" i="1"/>
  <c r="F28" i="6"/>
  <c r="F26" i="6"/>
  <c r="F24" i="6"/>
  <c r="I370" i="9"/>
  <c r="I368" i="9"/>
  <c r="C431" i="1"/>
  <c r="I365" i="9"/>
  <c r="I371" i="9"/>
  <c r="F612" i="1"/>
  <c r="C432" i="1"/>
  <c r="N817" i="1"/>
  <c r="N765" i="1"/>
  <c r="I816" i="1"/>
  <c r="N746" i="1"/>
  <c r="F9" i="6"/>
  <c r="N774" i="1"/>
  <c r="N778" i="1"/>
  <c r="K816" i="1"/>
  <c r="C434" i="1"/>
  <c r="C119" i="8"/>
  <c r="L816" i="1"/>
  <c r="C440" i="1"/>
  <c r="N768" i="1"/>
  <c r="N751" i="1"/>
  <c r="R816" i="1"/>
  <c r="D330" i="1"/>
  <c r="C86" i="8" s="1"/>
  <c r="N740" i="1"/>
  <c r="N736" i="1"/>
  <c r="G122" i="9"/>
  <c r="N743" i="1"/>
  <c r="C472" i="1"/>
  <c r="N760" i="1"/>
  <c r="I612" i="1"/>
  <c r="AE48" i="1"/>
  <c r="AE62" i="1" s="1"/>
  <c r="E762" i="1" s="1"/>
  <c r="N775" i="1"/>
  <c r="J612" i="1"/>
  <c r="C34" i="5"/>
  <c r="N739" i="1"/>
  <c r="D13" i="7"/>
  <c r="N777" i="1"/>
  <c r="N747" i="1"/>
  <c r="C417" i="1"/>
  <c r="N769" i="1"/>
  <c r="N745" i="1"/>
  <c r="D435" i="1"/>
  <c r="G19" i="4"/>
  <c r="I122" i="9"/>
  <c r="C816" i="1"/>
  <c r="N753" i="1"/>
  <c r="N752" i="1"/>
  <c r="C575" i="1"/>
  <c r="N766" i="1"/>
  <c r="F15" i="6"/>
  <c r="N764" i="1"/>
  <c r="N758" i="1"/>
  <c r="N773" i="1"/>
  <c r="C112" i="8"/>
  <c r="N757" i="1"/>
  <c r="C120" i="8"/>
  <c r="G10" i="4"/>
  <c r="B10" i="4"/>
  <c r="Q816" i="1"/>
  <c r="BW48" i="1"/>
  <c r="BW62" i="1" s="1"/>
  <c r="E332" i="9" s="1"/>
  <c r="Z48" i="1"/>
  <c r="Z62" i="1" s="1"/>
  <c r="E757" i="1" s="1"/>
  <c r="U48" i="1"/>
  <c r="U62" i="1" s="1"/>
  <c r="G76" i="9" s="1"/>
  <c r="BX48" i="1"/>
  <c r="BX62" i="1" s="1"/>
  <c r="F332" i="9" s="1"/>
  <c r="E794" i="1"/>
  <c r="AO48" i="1"/>
  <c r="AO62" i="1" s="1"/>
  <c r="E772" i="1" s="1"/>
  <c r="BZ48" i="1"/>
  <c r="BZ62" i="1" s="1"/>
  <c r="H332" i="9" s="1"/>
  <c r="AN48" i="1"/>
  <c r="AN62" i="1" s="1"/>
  <c r="E172" i="9" s="1"/>
  <c r="AZ48" i="1"/>
  <c r="AZ62" i="1" s="1"/>
  <c r="E783" i="1" s="1"/>
  <c r="P48" i="1"/>
  <c r="P62" i="1" s="1"/>
  <c r="E747" i="1" s="1"/>
  <c r="BL48" i="1"/>
  <c r="BL62" i="1" s="1"/>
  <c r="E795" i="1" s="1"/>
  <c r="AA48" i="1"/>
  <c r="AA62" i="1" s="1"/>
  <c r="F108" i="9" s="1"/>
  <c r="I372" i="9"/>
  <c r="N762" i="1"/>
  <c r="D815" i="1"/>
  <c r="R48" i="1"/>
  <c r="R62" i="1" s="1"/>
  <c r="D76" i="9" s="1"/>
  <c r="AJ48" i="1"/>
  <c r="AJ62" i="1" s="1"/>
  <c r="H140" i="9" s="1"/>
  <c r="BH48" i="1"/>
  <c r="BH62" i="1" s="1"/>
  <c r="D268" i="9" s="1"/>
  <c r="BT48" i="1"/>
  <c r="BT62" i="1" s="1"/>
  <c r="I300" i="9" s="1"/>
  <c r="C48" i="1"/>
  <c r="C62" i="1" s="1"/>
  <c r="K48" i="1"/>
  <c r="K62" i="1" s="1"/>
  <c r="E742" i="1" s="1"/>
  <c r="BG48" i="1"/>
  <c r="BG62" i="1" s="1"/>
  <c r="E790" i="1" s="1"/>
  <c r="Y48" i="1"/>
  <c r="Y62" i="1" s="1"/>
  <c r="D108" i="9" s="1"/>
  <c r="BU48" i="1"/>
  <c r="BU62" i="1" s="1"/>
  <c r="C332" i="9" s="1"/>
  <c r="O48" i="1"/>
  <c r="O62" i="1" s="1"/>
  <c r="H44" i="9" s="1"/>
  <c r="AC48" i="1"/>
  <c r="AC62" i="1" s="1"/>
  <c r="H108" i="9" s="1"/>
  <c r="H48" i="1"/>
  <c r="H62" i="1" s="1"/>
  <c r="E739" i="1" s="1"/>
  <c r="I363" i="9"/>
  <c r="D816" i="1"/>
  <c r="AV48" i="1"/>
  <c r="AV62" i="1" s="1"/>
  <c r="F204" i="9" s="1"/>
  <c r="V48" i="1"/>
  <c r="V62" i="1" s="1"/>
  <c r="E753" i="1" s="1"/>
  <c r="AL48" i="1"/>
  <c r="AL62" i="1" s="1"/>
  <c r="C172" i="9" s="1"/>
  <c r="AX48" i="1"/>
  <c r="AX62" i="1" s="1"/>
  <c r="E781" i="1" s="1"/>
  <c r="BJ48" i="1"/>
  <c r="BJ62" i="1" s="1"/>
  <c r="F268" i="9" s="1"/>
  <c r="BV48" i="1"/>
  <c r="BV62" i="1" s="1"/>
  <c r="E805" i="1" s="1"/>
  <c r="S48" i="1"/>
  <c r="S62" i="1" s="1"/>
  <c r="E76" i="9" s="1"/>
  <c r="BO48" i="1"/>
  <c r="BO62" i="1" s="1"/>
  <c r="D300" i="9" s="1"/>
  <c r="AG48" i="1"/>
  <c r="AG62" i="1" s="1"/>
  <c r="E48" i="1"/>
  <c r="E62" i="1" s="1"/>
  <c r="E12" i="9" s="1"/>
  <c r="BC48" i="1"/>
  <c r="BC62" i="1" s="1"/>
  <c r="F236" i="9" s="1"/>
  <c r="G48" i="1"/>
  <c r="G62" i="1" s="1"/>
  <c r="G12" i="9" s="1"/>
  <c r="L48" i="1"/>
  <c r="L62" i="1" s="1"/>
  <c r="E44" i="9" s="1"/>
  <c r="AD48" i="1"/>
  <c r="AD62" i="1" s="1"/>
  <c r="E761" i="1" s="1"/>
  <c r="AP48" i="1"/>
  <c r="AP62" i="1" s="1"/>
  <c r="G172" i="9" s="1"/>
  <c r="BB48" i="1"/>
  <c r="BB62" i="1" s="1"/>
  <c r="E785" i="1" s="1"/>
  <c r="BY48" i="1"/>
  <c r="BY62" i="1" s="1"/>
  <c r="G332" i="9" s="1"/>
  <c r="AI48" i="1"/>
  <c r="AI62" i="1" s="1"/>
  <c r="E766" i="1" s="1"/>
  <c r="CC48" i="1"/>
  <c r="CC62" i="1" s="1"/>
  <c r="E812" i="1" s="1"/>
  <c r="AW48" i="1"/>
  <c r="AW62" i="1" s="1"/>
  <c r="E780" i="1" s="1"/>
  <c r="AK48" i="1"/>
  <c r="AK62" i="1" s="1"/>
  <c r="E768" i="1" s="1"/>
  <c r="C427" i="1"/>
  <c r="M48" i="1"/>
  <c r="M62" i="1" s="1"/>
  <c r="F44" i="9" s="1"/>
  <c r="T48" i="1"/>
  <c r="T62" i="1" s="1"/>
  <c r="F76" i="9" s="1"/>
  <c r="F48" i="1"/>
  <c r="F62" i="1" s="1"/>
  <c r="E737" i="1" s="1"/>
  <c r="J48" i="1"/>
  <c r="J62" i="1" s="1"/>
  <c r="C44" i="9" s="1"/>
  <c r="AF48" i="1"/>
  <c r="AF62" i="1" s="1"/>
  <c r="D140" i="9" s="1"/>
  <c r="AR48" i="1"/>
  <c r="AR62" i="1" s="1"/>
  <c r="E775" i="1" s="1"/>
  <c r="BD48" i="1"/>
  <c r="BD62" i="1" s="1"/>
  <c r="E787" i="1" s="1"/>
  <c r="BP48" i="1"/>
  <c r="BP62" i="1" s="1"/>
  <c r="E300" i="9" s="1"/>
  <c r="CA48" i="1"/>
  <c r="CA62" i="1" s="1"/>
  <c r="I332" i="9" s="1"/>
  <c r="AQ48" i="1"/>
  <c r="AQ62" i="1" s="1"/>
  <c r="E774" i="1" s="1"/>
  <c r="I48" i="1"/>
  <c r="I62" i="1" s="1"/>
  <c r="E740" i="1" s="1"/>
  <c r="BE48" i="1"/>
  <c r="BE62" i="1" s="1"/>
  <c r="E788" i="1" s="1"/>
  <c r="BA48" i="1"/>
  <c r="BA62" i="1" s="1"/>
  <c r="E784" i="1" s="1"/>
  <c r="BI48" i="1"/>
  <c r="BI62" i="1" s="1"/>
  <c r="E792" i="1" s="1"/>
  <c r="BS48" i="1"/>
  <c r="BS62" i="1" s="1"/>
  <c r="E802" i="1" s="1"/>
  <c r="X48" i="1"/>
  <c r="X62" i="1" s="1"/>
  <c r="C108" i="9" s="1"/>
  <c r="AS48" i="1"/>
  <c r="AS62" i="1" s="1"/>
  <c r="E776" i="1" s="1"/>
  <c r="N48" i="1"/>
  <c r="N62" i="1" s="1"/>
  <c r="E745" i="1" s="1"/>
  <c r="AH48" i="1"/>
  <c r="AH62" i="1" s="1"/>
  <c r="E765" i="1" s="1"/>
  <c r="AT48" i="1"/>
  <c r="AT62" i="1" s="1"/>
  <c r="E777" i="1" s="1"/>
  <c r="BF48" i="1"/>
  <c r="BF62" i="1" s="1"/>
  <c r="E789" i="1" s="1"/>
  <c r="BR48" i="1"/>
  <c r="BR62" i="1" s="1"/>
  <c r="E801" i="1" s="1"/>
  <c r="CB48" i="1"/>
  <c r="CB62" i="1" s="1"/>
  <c r="C364" i="9" s="1"/>
  <c r="AY48" i="1"/>
  <c r="AY62" i="1" s="1"/>
  <c r="E782" i="1" s="1"/>
  <c r="Q48" i="1"/>
  <c r="Q62" i="1" s="1"/>
  <c r="E748" i="1" s="1"/>
  <c r="BM48" i="1"/>
  <c r="BM62" i="1" s="1"/>
  <c r="I268" i="9" s="1"/>
  <c r="BQ48" i="1"/>
  <c r="BQ62" i="1" s="1"/>
  <c r="AM48" i="1"/>
  <c r="AM62" i="1" s="1"/>
  <c r="D172" i="9" s="1"/>
  <c r="AU48" i="1"/>
  <c r="AU62" i="1" s="1"/>
  <c r="E204" i="9" s="1"/>
  <c r="D48" i="1"/>
  <c r="D62" i="1" s="1"/>
  <c r="D12" i="9" s="1"/>
  <c r="AB48" i="1"/>
  <c r="AB62" i="1" s="1"/>
  <c r="G108" i="9" s="1"/>
  <c r="W48" i="1"/>
  <c r="W62" i="1" s="1"/>
  <c r="I76" i="9" s="1"/>
  <c r="N748" i="1"/>
  <c r="C430" i="1"/>
  <c r="I366" i="9"/>
  <c r="C464" i="1"/>
  <c r="G816" i="1"/>
  <c r="C429" i="1"/>
  <c r="F816" i="1"/>
  <c r="F8" i="6"/>
  <c r="F815" i="1"/>
  <c r="F26" i="9"/>
  <c r="B440" i="1"/>
  <c r="C815" i="1"/>
  <c r="D186" i="9"/>
  <c r="C473" i="1"/>
  <c r="C141" i="8"/>
  <c r="D277" i="1"/>
  <c r="C35" i="8" s="1"/>
  <c r="B444" i="1"/>
  <c r="D5" i="7"/>
  <c r="CD722" i="1"/>
  <c r="D428" i="1"/>
  <c r="C14" i="5"/>
  <c r="P816" i="1"/>
  <c r="Z52" i="1"/>
  <c r="Z67" i="1" s="1"/>
  <c r="W52" i="1"/>
  <c r="W67" i="1" s="1"/>
  <c r="D612" i="1"/>
  <c r="BL52" i="1"/>
  <c r="BL67" i="1" s="1"/>
  <c r="J795" i="1" s="1"/>
  <c r="I52" i="1"/>
  <c r="I67" i="1" s="1"/>
  <c r="J740" i="1" s="1"/>
  <c r="BO52" i="1"/>
  <c r="BO67" i="1" s="1"/>
  <c r="AP52" i="1"/>
  <c r="AP67" i="1" s="1"/>
  <c r="J773" i="1" s="1"/>
  <c r="AU52" i="1"/>
  <c r="AU67" i="1" s="1"/>
  <c r="S52" i="1"/>
  <c r="S67" i="1" s="1"/>
  <c r="I380" i="9"/>
  <c r="BS52" i="1"/>
  <c r="BS67" i="1" s="1"/>
  <c r="AE52" i="1"/>
  <c r="AE67" i="1" s="1"/>
  <c r="C145" i="9" s="1"/>
  <c r="C52" i="1"/>
  <c r="BW52" i="1"/>
  <c r="BW67" i="1" s="1"/>
  <c r="J806" i="1" s="1"/>
  <c r="AG52" i="1"/>
  <c r="AG67" i="1" s="1"/>
  <c r="J764" i="1" s="1"/>
  <c r="BX52" i="1"/>
  <c r="BX67" i="1" s="1"/>
  <c r="BP52" i="1"/>
  <c r="BP67" i="1" s="1"/>
  <c r="E305" i="9" s="1"/>
  <c r="AR52" i="1"/>
  <c r="AR67" i="1" s="1"/>
  <c r="J775" i="1" s="1"/>
  <c r="BG52" i="1"/>
  <c r="BG67" i="1" s="1"/>
  <c r="O52" i="1"/>
  <c r="O67" i="1" s="1"/>
  <c r="BI52" i="1"/>
  <c r="BI67" i="1" s="1"/>
  <c r="Y52" i="1"/>
  <c r="Y67" i="1" s="1"/>
  <c r="AF52" i="1"/>
  <c r="AF67" i="1" s="1"/>
  <c r="BU52" i="1"/>
  <c r="BU67" i="1" s="1"/>
  <c r="I381" i="9"/>
  <c r="CF77" i="1"/>
  <c r="C415" i="1"/>
  <c r="C10" i="4"/>
  <c r="M816" i="1"/>
  <c r="H815" i="1"/>
  <c r="D463" i="1"/>
  <c r="H612" i="1"/>
  <c r="I362" i="9"/>
  <c r="C26" i="9"/>
  <c r="N734" i="1"/>
  <c r="N776" i="1"/>
  <c r="C218" i="9"/>
  <c r="N754" i="1"/>
  <c r="I90" i="9"/>
  <c r="D154" i="9"/>
  <c r="N763" i="1"/>
  <c r="E186" i="9"/>
  <c r="N771" i="1"/>
  <c r="C33" i="8"/>
  <c r="C421" i="1"/>
  <c r="D433" i="1"/>
  <c r="G815" i="1"/>
  <c r="P815" i="1"/>
  <c r="Q815" i="1"/>
  <c r="R815" i="1"/>
  <c r="G28" i="4"/>
  <c r="F10" i="4"/>
  <c r="N755" i="1"/>
  <c r="I815" i="1"/>
  <c r="S815" i="1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B446" i="1"/>
  <c r="D242" i="1"/>
  <c r="C418" i="1"/>
  <c r="D438" i="1"/>
  <c r="F14" i="6"/>
  <c r="O815" i="1"/>
  <c r="T815" i="1"/>
  <c r="C471" i="1"/>
  <c r="F10" i="6"/>
  <c r="D26" i="9"/>
  <c r="N735" i="1"/>
  <c r="CE75" i="1"/>
  <c r="F7" i="6"/>
  <c r="C468" i="1"/>
  <c r="I383" i="9"/>
  <c r="S816" i="1"/>
  <c r="D22" i="7"/>
  <c r="C40" i="5"/>
  <c r="C420" i="1"/>
  <c r="B28" i="4"/>
  <c r="N772" i="1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C58" i="9"/>
  <c r="N741" i="1"/>
  <c r="N744" i="1"/>
  <c r="N756" i="1"/>
  <c r="N750" i="1"/>
  <c r="C67" i="1" l="1"/>
  <c r="C300" i="9"/>
  <c r="H273" i="9"/>
  <c r="D339" i="1"/>
  <c r="C482" i="1" s="1"/>
  <c r="C140" i="9"/>
  <c r="E337" i="9"/>
  <c r="E806" i="1"/>
  <c r="E809" i="1"/>
  <c r="E108" i="9"/>
  <c r="Z71" i="1"/>
  <c r="C691" i="1" s="1"/>
  <c r="G177" i="9"/>
  <c r="D373" i="1"/>
  <c r="C126" i="8" s="1"/>
  <c r="D465" i="1"/>
  <c r="AX71" i="1"/>
  <c r="H213" i="9" s="1"/>
  <c r="E752" i="1"/>
  <c r="BW71" i="1"/>
  <c r="E341" i="9" s="1"/>
  <c r="C236" i="9"/>
  <c r="D292" i="1"/>
  <c r="D341" i="1" s="1"/>
  <c r="C481" i="1" s="1"/>
  <c r="E767" i="1"/>
  <c r="H204" i="9"/>
  <c r="H268" i="9"/>
  <c r="D332" i="9"/>
  <c r="F172" i="9"/>
  <c r="E758" i="1"/>
  <c r="AA71" i="1"/>
  <c r="C520" i="1" s="1"/>
  <c r="G520" i="1" s="1"/>
  <c r="BX71" i="1"/>
  <c r="C569" i="1" s="1"/>
  <c r="E807" i="1"/>
  <c r="I44" i="9"/>
  <c r="D71" i="1"/>
  <c r="C669" i="1" s="1"/>
  <c r="G44" i="9"/>
  <c r="E793" i="1"/>
  <c r="E771" i="1"/>
  <c r="E749" i="1"/>
  <c r="E735" i="1"/>
  <c r="H236" i="9"/>
  <c r="C268" i="9"/>
  <c r="AY71" i="1"/>
  <c r="I213" i="9" s="1"/>
  <c r="AR71" i="1"/>
  <c r="C709" i="1" s="1"/>
  <c r="BE71" i="1"/>
  <c r="C614" i="1" s="1"/>
  <c r="I204" i="9"/>
  <c r="E786" i="1"/>
  <c r="H12" i="9"/>
  <c r="E750" i="1"/>
  <c r="C204" i="9"/>
  <c r="E268" i="9"/>
  <c r="E791" i="1"/>
  <c r="BI71" i="1"/>
  <c r="C634" i="1" s="1"/>
  <c r="E779" i="1"/>
  <c r="D204" i="9"/>
  <c r="S71" i="1"/>
  <c r="E85" i="9" s="1"/>
  <c r="BU71" i="1"/>
  <c r="C641" i="1" s="1"/>
  <c r="G71" i="1"/>
  <c r="C672" i="1" s="1"/>
  <c r="E738" i="1"/>
  <c r="E744" i="1"/>
  <c r="M71" i="1"/>
  <c r="C506" i="1" s="1"/>
  <c r="G506" i="1" s="1"/>
  <c r="BD71" i="1"/>
  <c r="C549" i="1" s="1"/>
  <c r="E759" i="1"/>
  <c r="G236" i="9"/>
  <c r="E756" i="1"/>
  <c r="E808" i="1"/>
  <c r="I108" i="9"/>
  <c r="CB71" i="1"/>
  <c r="C573" i="1" s="1"/>
  <c r="E236" i="9"/>
  <c r="E778" i="1"/>
  <c r="E736" i="1"/>
  <c r="E811" i="1"/>
  <c r="D44" i="9"/>
  <c r="BO71" i="1"/>
  <c r="C627" i="1" s="1"/>
  <c r="F140" i="9"/>
  <c r="C76" i="9"/>
  <c r="E796" i="1"/>
  <c r="E769" i="1"/>
  <c r="E741" i="1"/>
  <c r="E755" i="1"/>
  <c r="BR71" i="1"/>
  <c r="C626" i="1" s="1"/>
  <c r="BV71" i="1"/>
  <c r="C642" i="1" s="1"/>
  <c r="BF71" i="1"/>
  <c r="C629" i="1" s="1"/>
  <c r="F12" i="9"/>
  <c r="AP71" i="1"/>
  <c r="C535" i="1" s="1"/>
  <c r="G535" i="1" s="1"/>
  <c r="H300" i="9"/>
  <c r="BG71" i="1"/>
  <c r="C552" i="1" s="1"/>
  <c r="E810" i="1"/>
  <c r="I172" i="9"/>
  <c r="E773" i="1"/>
  <c r="E770" i="1"/>
  <c r="AW71" i="1"/>
  <c r="G213" i="9" s="1"/>
  <c r="AM71" i="1"/>
  <c r="C532" i="1" s="1"/>
  <c r="G532" i="1" s="1"/>
  <c r="G204" i="9"/>
  <c r="E803" i="1"/>
  <c r="E760" i="1"/>
  <c r="G300" i="9"/>
  <c r="BY71" i="1"/>
  <c r="C570" i="1" s="1"/>
  <c r="H172" i="9"/>
  <c r="D236" i="9"/>
  <c r="Y71" i="1"/>
  <c r="C690" i="1" s="1"/>
  <c r="AK71" i="1"/>
  <c r="C530" i="1" s="1"/>
  <c r="G530" i="1" s="1"/>
  <c r="BM71" i="1"/>
  <c r="C638" i="1" s="1"/>
  <c r="E743" i="1"/>
  <c r="AF71" i="1"/>
  <c r="C525" i="1" s="1"/>
  <c r="G525" i="1" s="1"/>
  <c r="BS71" i="1"/>
  <c r="C639" i="1" s="1"/>
  <c r="I12" i="9"/>
  <c r="E799" i="1"/>
  <c r="E764" i="1"/>
  <c r="E140" i="9"/>
  <c r="F300" i="9"/>
  <c r="E800" i="1"/>
  <c r="E763" i="1"/>
  <c r="H76" i="9"/>
  <c r="T71" i="1"/>
  <c r="C513" i="1" s="1"/>
  <c r="G513" i="1" s="1"/>
  <c r="F71" i="1"/>
  <c r="F21" i="9" s="1"/>
  <c r="E754" i="1"/>
  <c r="G140" i="9"/>
  <c r="O71" i="1"/>
  <c r="H53" i="9" s="1"/>
  <c r="I236" i="9"/>
  <c r="E751" i="1"/>
  <c r="AU71" i="1"/>
  <c r="E213" i="9" s="1"/>
  <c r="W71" i="1"/>
  <c r="C688" i="1" s="1"/>
  <c r="E798" i="1"/>
  <c r="D364" i="9"/>
  <c r="I140" i="9"/>
  <c r="BQ71" i="1"/>
  <c r="F309" i="9" s="1"/>
  <c r="E746" i="1"/>
  <c r="CE48" i="1"/>
  <c r="E804" i="1"/>
  <c r="CC52" i="1"/>
  <c r="CC67" i="1" s="1"/>
  <c r="J734" i="1"/>
  <c r="J802" i="1"/>
  <c r="BH52" i="1"/>
  <c r="BH67" i="1" s="1"/>
  <c r="BH71" i="1" s="1"/>
  <c r="C636" i="1" s="1"/>
  <c r="BT52" i="1"/>
  <c r="BT67" i="1" s="1"/>
  <c r="J803" i="1" s="1"/>
  <c r="AN52" i="1"/>
  <c r="AN67" i="1" s="1"/>
  <c r="J771" i="1" s="1"/>
  <c r="H305" i="9"/>
  <c r="E145" i="9"/>
  <c r="BK52" i="1"/>
  <c r="BK67" i="1" s="1"/>
  <c r="BK71" i="1" s="1"/>
  <c r="C556" i="1" s="1"/>
  <c r="V52" i="1"/>
  <c r="V67" i="1" s="1"/>
  <c r="K52" i="1"/>
  <c r="K67" i="1" s="1"/>
  <c r="K71" i="1" s="1"/>
  <c r="L52" i="1"/>
  <c r="L67" i="1" s="1"/>
  <c r="BA52" i="1"/>
  <c r="BA67" i="1" s="1"/>
  <c r="AQ52" i="1"/>
  <c r="AQ67" i="1" s="1"/>
  <c r="AQ71" i="1" s="1"/>
  <c r="C536" i="1" s="1"/>
  <c r="G536" i="1" s="1"/>
  <c r="I177" i="9"/>
  <c r="J804" i="1"/>
  <c r="BZ52" i="1"/>
  <c r="BZ67" i="1" s="1"/>
  <c r="BZ71" i="1" s="1"/>
  <c r="H52" i="1"/>
  <c r="H67" i="1" s="1"/>
  <c r="H71" i="1" s="1"/>
  <c r="H21" i="9" s="1"/>
  <c r="BB52" i="1"/>
  <c r="BB67" i="1" s="1"/>
  <c r="BB71" i="1" s="1"/>
  <c r="C632" i="1" s="1"/>
  <c r="AD52" i="1"/>
  <c r="AD67" i="1" s="1"/>
  <c r="AD71" i="1" s="1"/>
  <c r="C695" i="1" s="1"/>
  <c r="AZ52" i="1"/>
  <c r="AZ67" i="1" s="1"/>
  <c r="AZ71" i="1" s="1"/>
  <c r="C245" i="9" s="1"/>
  <c r="E273" i="9"/>
  <c r="C337" i="9"/>
  <c r="J762" i="1"/>
  <c r="J792" i="1"/>
  <c r="AE71" i="1"/>
  <c r="AG71" i="1"/>
  <c r="C17" i="9"/>
  <c r="J799" i="1"/>
  <c r="BP71" i="1"/>
  <c r="BL71" i="1"/>
  <c r="C557" i="1" s="1"/>
  <c r="I71" i="1"/>
  <c r="AJ52" i="1"/>
  <c r="AJ67" i="1" s="1"/>
  <c r="AJ71" i="1" s="1"/>
  <c r="C529" i="1" s="1"/>
  <c r="G529" i="1" s="1"/>
  <c r="X52" i="1"/>
  <c r="X67" i="1" s="1"/>
  <c r="J755" i="1" s="1"/>
  <c r="AO52" i="1"/>
  <c r="AO67" i="1" s="1"/>
  <c r="AO71" i="1" s="1"/>
  <c r="F181" i="9" s="1"/>
  <c r="AI52" i="1"/>
  <c r="AI67" i="1" s="1"/>
  <c r="CA52" i="1"/>
  <c r="CA67" i="1" s="1"/>
  <c r="CA71" i="1" s="1"/>
  <c r="I341" i="9" s="1"/>
  <c r="BC52" i="1"/>
  <c r="BC67" i="1" s="1"/>
  <c r="BC71" i="1" s="1"/>
  <c r="U52" i="1"/>
  <c r="U67" i="1" s="1"/>
  <c r="U71" i="1" s="1"/>
  <c r="G85" i="9" s="1"/>
  <c r="E52" i="1"/>
  <c r="E67" i="1" s="1"/>
  <c r="E71" i="1" s="1"/>
  <c r="C670" i="1" s="1"/>
  <c r="J746" i="1"/>
  <c r="H49" i="9"/>
  <c r="J790" i="1"/>
  <c r="C273" i="9"/>
  <c r="J750" i="1"/>
  <c r="E81" i="9"/>
  <c r="E209" i="9"/>
  <c r="J778" i="1"/>
  <c r="J754" i="1"/>
  <c r="I81" i="9"/>
  <c r="D145" i="9"/>
  <c r="J763" i="1"/>
  <c r="E734" i="1"/>
  <c r="C71" i="1"/>
  <c r="CE62" i="1"/>
  <c r="C12" i="9"/>
  <c r="D113" i="9"/>
  <c r="J756" i="1"/>
  <c r="J807" i="1"/>
  <c r="F337" i="9"/>
  <c r="J798" i="1"/>
  <c r="D305" i="9"/>
  <c r="J757" i="1"/>
  <c r="E113" i="9"/>
  <c r="N815" i="1"/>
  <c r="I17" i="9"/>
  <c r="R52" i="1"/>
  <c r="R67" i="1" s="1"/>
  <c r="R71" i="1" s="1"/>
  <c r="AS52" i="1"/>
  <c r="AS67" i="1" s="1"/>
  <c r="AS71" i="1" s="1"/>
  <c r="N52" i="1"/>
  <c r="N67" i="1" s="1"/>
  <c r="N71" i="1" s="1"/>
  <c r="C507" i="1" s="1"/>
  <c r="G507" i="1" s="1"/>
  <c r="J52" i="1"/>
  <c r="J67" i="1" s="1"/>
  <c r="J71" i="1" s="1"/>
  <c r="AC52" i="1"/>
  <c r="AC67" i="1" s="1"/>
  <c r="AC71" i="1" s="1"/>
  <c r="C522" i="1" s="1"/>
  <c r="G522" i="1" s="1"/>
  <c r="AB52" i="1"/>
  <c r="AB67" i="1" s="1"/>
  <c r="AB71" i="1" s="1"/>
  <c r="C521" i="1" s="1"/>
  <c r="G521" i="1" s="1"/>
  <c r="BJ52" i="1"/>
  <c r="BJ67" i="1" s="1"/>
  <c r="BJ71" i="1" s="1"/>
  <c r="C617" i="1" s="1"/>
  <c r="AL52" i="1"/>
  <c r="AL67" i="1" s="1"/>
  <c r="AL71" i="1" s="1"/>
  <c r="C703" i="1" s="1"/>
  <c r="AH52" i="1"/>
  <c r="AH67" i="1" s="1"/>
  <c r="AH71" i="1" s="1"/>
  <c r="C699" i="1" s="1"/>
  <c r="P52" i="1"/>
  <c r="P67" i="1" s="1"/>
  <c r="P71" i="1" s="1"/>
  <c r="C509" i="1" s="1"/>
  <c r="G509" i="1" s="1"/>
  <c r="AT52" i="1"/>
  <c r="AT67" i="1" s="1"/>
  <c r="AT71" i="1" s="1"/>
  <c r="C711" i="1" s="1"/>
  <c r="Q52" i="1"/>
  <c r="Q67" i="1" s="1"/>
  <c r="Q71" i="1" s="1"/>
  <c r="C682" i="1" s="1"/>
  <c r="AV52" i="1"/>
  <c r="AV67" i="1" s="1"/>
  <c r="AV71" i="1" s="1"/>
  <c r="C713" i="1" s="1"/>
  <c r="B511" i="1"/>
  <c r="B573" i="1"/>
  <c r="H501" i="1"/>
  <c r="F501" i="1"/>
  <c r="F517" i="1"/>
  <c r="F499" i="1"/>
  <c r="H499" i="1"/>
  <c r="H505" i="1"/>
  <c r="F505" i="1"/>
  <c r="H497" i="1"/>
  <c r="F497" i="1"/>
  <c r="F515" i="1"/>
  <c r="H515" i="1"/>
  <c r="J738" i="1"/>
  <c r="G17" i="9"/>
  <c r="I273" i="9"/>
  <c r="J796" i="1"/>
  <c r="D27" i="7"/>
  <c r="B448" i="1"/>
  <c r="F544" i="1"/>
  <c r="H536" i="1"/>
  <c r="F536" i="1"/>
  <c r="F528" i="1"/>
  <c r="F520" i="1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F32" i="6"/>
  <c r="C478" i="1"/>
  <c r="C305" i="9"/>
  <c r="J797" i="1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F516" i="1"/>
  <c r="J735" i="1"/>
  <c r="D17" i="9"/>
  <c r="J800" i="1"/>
  <c r="F305" i="9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E52" i="1" l="1"/>
  <c r="BN71" i="1"/>
  <c r="C309" i="9" s="1"/>
  <c r="E797" i="1"/>
  <c r="C102" i="8"/>
  <c r="D391" i="1"/>
  <c r="D393" i="1" s="1"/>
  <c r="E117" i="9"/>
  <c r="H17" i="9"/>
  <c r="AN71" i="1"/>
  <c r="C705" i="1" s="1"/>
  <c r="C50" i="8"/>
  <c r="J739" i="1"/>
  <c r="E177" i="9"/>
  <c r="C497" i="1"/>
  <c r="G497" i="1" s="1"/>
  <c r="E241" i="9"/>
  <c r="C519" i="1"/>
  <c r="G519" i="1" s="1"/>
  <c r="C543" i="1"/>
  <c r="C616" i="1"/>
  <c r="J785" i="1"/>
  <c r="C643" i="1"/>
  <c r="C568" i="1"/>
  <c r="J767" i="1"/>
  <c r="J761" i="1"/>
  <c r="H145" i="9"/>
  <c r="D49" i="9"/>
  <c r="J752" i="1"/>
  <c r="G81" i="9"/>
  <c r="F117" i="9"/>
  <c r="C692" i="1"/>
  <c r="D21" i="9"/>
  <c r="C544" i="1"/>
  <c r="G544" i="1" s="1"/>
  <c r="C625" i="1"/>
  <c r="F341" i="9"/>
  <c r="C644" i="1"/>
  <c r="C373" i="9"/>
  <c r="C622" i="1"/>
  <c r="G341" i="9"/>
  <c r="C684" i="1"/>
  <c r="H245" i="9"/>
  <c r="D309" i="9"/>
  <c r="C550" i="1"/>
  <c r="G550" i="1" s="1"/>
  <c r="C560" i="1"/>
  <c r="C512" i="1"/>
  <c r="G512" i="1" s="1"/>
  <c r="C537" i="1"/>
  <c r="G537" i="1" s="1"/>
  <c r="C619" i="1"/>
  <c r="I181" i="9"/>
  <c r="C341" i="9"/>
  <c r="C678" i="1"/>
  <c r="C566" i="1"/>
  <c r="G245" i="9"/>
  <c r="C624" i="1"/>
  <c r="C554" i="1"/>
  <c r="E277" i="9"/>
  <c r="C501" i="1"/>
  <c r="G501" i="1" s="1"/>
  <c r="F53" i="9"/>
  <c r="C558" i="1"/>
  <c r="C562" i="1"/>
  <c r="I277" i="9"/>
  <c r="C685" i="1"/>
  <c r="C623" i="1"/>
  <c r="F85" i="9"/>
  <c r="G181" i="9"/>
  <c r="C707" i="1"/>
  <c r="G21" i="9"/>
  <c r="C500" i="1"/>
  <c r="G500" i="1" s="1"/>
  <c r="C618" i="1"/>
  <c r="D149" i="9"/>
  <c r="C542" i="1"/>
  <c r="G309" i="9"/>
  <c r="I85" i="9"/>
  <c r="C704" i="1"/>
  <c r="C697" i="1"/>
  <c r="C516" i="1"/>
  <c r="G516" i="1" s="1"/>
  <c r="D181" i="9"/>
  <c r="C277" i="9"/>
  <c r="C563" i="1"/>
  <c r="C181" i="9"/>
  <c r="I149" i="9"/>
  <c r="E245" i="9"/>
  <c r="C702" i="1"/>
  <c r="H149" i="9"/>
  <c r="C523" i="1"/>
  <c r="G523" i="1" s="1"/>
  <c r="I245" i="9"/>
  <c r="C567" i="1"/>
  <c r="D341" i="9"/>
  <c r="H309" i="9"/>
  <c r="C527" i="1"/>
  <c r="G527" i="1" s="1"/>
  <c r="C551" i="1"/>
  <c r="D117" i="9"/>
  <c r="C564" i="1"/>
  <c r="C645" i="1"/>
  <c r="C518" i="1"/>
  <c r="G518" i="1" s="1"/>
  <c r="C701" i="1"/>
  <c r="C671" i="1"/>
  <c r="C547" i="1"/>
  <c r="C680" i="1"/>
  <c r="C712" i="1"/>
  <c r="C631" i="1"/>
  <c r="C540" i="1"/>
  <c r="G540" i="1" s="1"/>
  <c r="F149" i="9"/>
  <c r="C508" i="1"/>
  <c r="G508" i="1" s="1"/>
  <c r="C499" i="1"/>
  <c r="G499" i="1" s="1"/>
  <c r="C679" i="1"/>
  <c r="E815" i="1"/>
  <c r="C531" i="1"/>
  <c r="G531" i="1" s="1"/>
  <c r="C673" i="1"/>
  <c r="E21" i="9"/>
  <c r="G53" i="9"/>
  <c r="D213" i="9"/>
  <c r="C694" i="1"/>
  <c r="C539" i="1"/>
  <c r="G539" i="1" s="1"/>
  <c r="H117" i="9"/>
  <c r="C708" i="1"/>
  <c r="C646" i="1"/>
  <c r="C571" i="1"/>
  <c r="H341" i="9"/>
  <c r="H181" i="9"/>
  <c r="J742" i="1"/>
  <c r="J791" i="1"/>
  <c r="I117" i="9"/>
  <c r="C637" i="1"/>
  <c r="D273" i="9"/>
  <c r="C572" i="1"/>
  <c r="H277" i="9"/>
  <c r="H177" i="9"/>
  <c r="J786" i="1"/>
  <c r="J774" i="1"/>
  <c r="F241" i="9"/>
  <c r="I113" i="9"/>
  <c r="C553" i="1"/>
  <c r="CE67" i="1"/>
  <c r="CE71" i="1" s="1"/>
  <c r="C628" i="1"/>
  <c r="J794" i="1"/>
  <c r="BT71" i="1"/>
  <c r="C635" i="1"/>
  <c r="J784" i="1"/>
  <c r="D241" i="9"/>
  <c r="BA71" i="1"/>
  <c r="G273" i="9"/>
  <c r="C706" i="1"/>
  <c r="C545" i="1"/>
  <c r="G545" i="1" s="1"/>
  <c r="E49" i="9"/>
  <c r="L71" i="1"/>
  <c r="J743" i="1"/>
  <c r="G277" i="9"/>
  <c r="C241" i="9"/>
  <c r="D277" i="9"/>
  <c r="H337" i="9"/>
  <c r="J809" i="1"/>
  <c r="D53" i="9"/>
  <c r="C504" i="1"/>
  <c r="G504" i="1" s="1"/>
  <c r="C676" i="1"/>
  <c r="CC71" i="1"/>
  <c r="J812" i="1"/>
  <c r="D369" i="9"/>
  <c r="J783" i="1"/>
  <c r="C686" i="1"/>
  <c r="I305" i="9"/>
  <c r="J753" i="1"/>
  <c r="V71" i="1"/>
  <c r="H81" i="9"/>
  <c r="C498" i="1"/>
  <c r="G498" i="1" s="1"/>
  <c r="H498" i="1" s="1"/>
  <c r="C510" i="1"/>
  <c r="I337" i="9"/>
  <c r="C647" i="1"/>
  <c r="J810" i="1"/>
  <c r="C524" i="1"/>
  <c r="C696" i="1"/>
  <c r="C149" i="9"/>
  <c r="C683" i="1"/>
  <c r="D85" i="9"/>
  <c r="C511" i="1"/>
  <c r="G511" i="1" s="1"/>
  <c r="J766" i="1"/>
  <c r="AI71" i="1"/>
  <c r="C681" i="1"/>
  <c r="C693" i="1"/>
  <c r="C674" i="1"/>
  <c r="C502" i="1"/>
  <c r="G502" i="1" s="1"/>
  <c r="I21" i="9"/>
  <c r="C698" i="1"/>
  <c r="C526" i="1"/>
  <c r="G526" i="1" s="1"/>
  <c r="E149" i="9"/>
  <c r="F277" i="9"/>
  <c r="I53" i="9"/>
  <c r="G117" i="9"/>
  <c r="C113" i="9"/>
  <c r="X71" i="1"/>
  <c r="C541" i="1"/>
  <c r="C555" i="1"/>
  <c r="C675" i="1"/>
  <c r="C53" i="9"/>
  <c r="C503" i="1"/>
  <c r="G503" i="1" s="1"/>
  <c r="D615" i="1"/>
  <c r="C85" i="9"/>
  <c r="F213" i="9"/>
  <c r="C514" i="1"/>
  <c r="G514" i="1" s="1"/>
  <c r="G145" i="9"/>
  <c r="C633" i="1"/>
  <c r="F245" i="9"/>
  <c r="C548" i="1"/>
  <c r="C561" i="1"/>
  <c r="C621" i="1"/>
  <c r="E309" i="9"/>
  <c r="C710" i="1"/>
  <c r="C538" i="1"/>
  <c r="G538" i="1" s="1"/>
  <c r="C213" i="9"/>
  <c r="C534" i="1"/>
  <c r="G534" i="1" s="1"/>
  <c r="H520" i="1"/>
  <c r="F177" i="9"/>
  <c r="J772" i="1"/>
  <c r="J736" i="1"/>
  <c r="E17" i="9"/>
  <c r="F145" i="9"/>
  <c r="J765" i="1"/>
  <c r="J745" i="1"/>
  <c r="G49" i="9"/>
  <c r="C177" i="9"/>
  <c r="J769" i="1"/>
  <c r="C209" i="9"/>
  <c r="J776" i="1"/>
  <c r="J779" i="1"/>
  <c r="F209" i="9"/>
  <c r="D81" i="9"/>
  <c r="J749" i="1"/>
  <c r="J748" i="1"/>
  <c r="C81" i="9"/>
  <c r="G113" i="9"/>
  <c r="J759" i="1"/>
  <c r="J793" i="1"/>
  <c r="F273" i="9"/>
  <c r="D209" i="9"/>
  <c r="J777" i="1"/>
  <c r="H113" i="9"/>
  <c r="J760" i="1"/>
  <c r="I364" i="9"/>
  <c r="C428" i="1"/>
  <c r="E816" i="1"/>
  <c r="I49" i="9"/>
  <c r="J747" i="1"/>
  <c r="J741" i="1"/>
  <c r="C49" i="9"/>
  <c r="C496" i="1"/>
  <c r="G496" i="1" s="1"/>
  <c r="C668" i="1"/>
  <c r="C21" i="9"/>
  <c r="F511" i="1"/>
  <c r="B496" i="1"/>
  <c r="F522" i="1"/>
  <c r="H522" i="1" s="1"/>
  <c r="F510" i="1"/>
  <c r="F513" i="1"/>
  <c r="H513" i="1"/>
  <c r="F538" i="1"/>
  <c r="H538" i="1"/>
  <c r="F534" i="1"/>
  <c r="H534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F500" i="1"/>
  <c r="H500" i="1" s="1"/>
  <c r="F509" i="1"/>
  <c r="H509" i="1" s="1"/>
  <c r="C142" i="8" l="1"/>
  <c r="C559" i="1"/>
  <c r="C533" i="1"/>
  <c r="G533" i="1" s="1"/>
  <c r="E181" i="9"/>
  <c r="H544" i="1"/>
  <c r="H550" i="1"/>
  <c r="H512" i="1"/>
  <c r="H516" i="1"/>
  <c r="H518" i="1"/>
  <c r="H502" i="1"/>
  <c r="H511" i="1"/>
  <c r="J815" i="1"/>
  <c r="G510" i="1"/>
  <c r="H510" i="1" s="1"/>
  <c r="C433" i="1"/>
  <c r="C441" i="1" s="1"/>
  <c r="J816" i="1"/>
  <c r="I369" i="9"/>
  <c r="C687" i="1"/>
  <c r="C515" i="1"/>
  <c r="G515" i="1" s="1"/>
  <c r="H85" i="9"/>
  <c r="C574" i="1"/>
  <c r="D373" i="9"/>
  <c r="C620" i="1"/>
  <c r="C505" i="1"/>
  <c r="G505" i="1" s="1"/>
  <c r="C677" i="1"/>
  <c r="E53" i="9"/>
  <c r="I309" i="9"/>
  <c r="C565" i="1"/>
  <c r="C640" i="1"/>
  <c r="C546" i="1"/>
  <c r="D245" i="9"/>
  <c r="C630" i="1"/>
  <c r="G524" i="1"/>
  <c r="H524" i="1" s="1"/>
  <c r="H514" i="1"/>
  <c r="G149" i="9"/>
  <c r="C528" i="1"/>
  <c r="C700" i="1"/>
  <c r="C117" i="9"/>
  <c r="C517" i="1"/>
  <c r="C689" i="1"/>
  <c r="H526" i="1"/>
  <c r="D629" i="1"/>
  <c r="D692" i="1"/>
  <c r="D634" i="1"/>
  <c r="D704" i="1"/>
  <c r="D691" i="1"/>
  <c r="D623" i="1"/>
  <c r="D670" i="1"/>
  <c r="D705" i="1"/>
  <c r="D640" i="1"/>
  <c r="D675" i="1"/>
  <c r="D712" i="1"/>
  <c r="D706" i="1"/>
  <c r="D696" i="1"/>
  <c r="D626" i="1"/>
  <c r="D690" i="1"/>
  <c r="D625" i="1"/>
  <c r="D710" i="1"/>
  <c r="D642" i="1"/>
  <c r="D641" i="1"/>
  <c r="D697" i="1"/>
  <c r="D643" i="1"/>
  <c r="D709" i="1"/>
  <c r="D708" i="1"/>
  <c r="D707" i="1"/>
  <c r="D683" i="1"/>
  <c r="D713" i="1"/>
  <c r="D693" i="1"/>
  <c r="D647" i="1"/>
  <c r="D681" i="1"/>
  <c r="D680" i="1"/>
  <c r="D679" i="1"/>
  <c r="D644" i="1"/>
  <c r="D620" i="1"/>
  <c r="D622" i="1"/>
  <c r="D638" i="1"/>
  <c r="D639" i="1"/>
  <c r="D673" i="1"/>
  <c r="D686" i="1"/>
  <c r="D627" i="1"/>
  <c r="D711" i="1"/>
  <c r="D689" i="1"/>
  <c r="D630" i="1"/>
  <c r="D678" i="1"/>
  <c r="D676" i="1"/>
  <c r="D702" i="1"/>
  <c r="D672" i="1"/>
  <c r="D632" i="1"/>
  <c r="D668" i="1"/>
  <c r="D674" i="1"/>
  <c r="D633" i="1"/>
  <c r="D685" i="1"/>
  <c r="D619" i="1"/>
  <c r="D636" i="1"/>
  <c r="D688" i="1"/>
  <c r="D637" i="1"/>
  <c r="D624" i="1"/>
  <c r="D698" i="1"/>
  <c r="D618" i="1"/>
  <c r="D635" i="1"/>
  <c r="D684" i="1"/>
  <c r="D617" i="1"/>
  <c r="D716" i="1"/>
  <c r="D695" i="1"/>
  <c r="D694" i="1"/>
  <c r="D616" i="1"/>
  <c r="D687" i="1"/>
  <c r="D671" i="1"/>
  <c r="D645" i="1"/>
  <c r="D669" i="1"/>
  <c r="D700" i="1"/>
  <c r="D703" i="1"/>
  <c r="D628" i="1"/>
  <c r="D677" i="1"/>
  <c r="D699" i="1"/>
  <c r="D621" i="1"/>
  <c r="D631" i="1"/>
  <c r="D701" i="1"/>
  <c r="D682" i="1"/>
  <c r="D646" i="1"/>
  <c r="C716" i="1"/>
  <c r="I373" i="9"/>
  <c r="F496" i="1"/>
  <c r="H496" i="1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12" i="1" l="1"/>
  <c r="D715" i="1"/>
  <c r="E623" i="1"/>
  <c r="E716" i="1" s="1"/>
  <c r="C648" i="1"/>
  <c r="M716" i="1" s="1"/>
  <c r="Y816" i="1" s="1"/>
  <c r="C715" i="1"/>
  <c r="G546" i="1"/>
  <c r="H546" i="1"/>
  <c r="G517" i="1"/>
  <c r="H517" i="1" s="1"/>
  <c r="G528" i="1"/>
  <c r="H528" i="1" s="1"/>
  <c r="E709" i="1" l="1"/>
  <c r="E697" i="1"/>
  <c r="E676" i="1"/>
  <c r="E678" i="1"/>
  <c r="E682" i="1"/>
  <c r="E686" i="1"/>
  <c r="E704" i="1"/>
  <c r="E689" i="1"/>
  <c r="E711" i="1"/>
  <c r="E625" i="1"/>
  <c r="E708" i="1"/>
  <c r="E675" i="1"/>
  <c r="E710" i="1"/>
  <c r="E680" i="1"/>
  <c r="E698" i="1"/>
  <c r="E700" i="1"/>
  <c r="E672" i="1"/>
  <c r="E638" i="1"/>
  <c r="E671" i="1"/>
  <c r="E646" i="1"/>
  <c r="E644" i="1"/>
  <c r="E641" i="1"/>
  <c r="E668" i="1"/>
  <c r="E705" i="1"/>
  <c r="E640" i="1"/>
  <c r="E696" i="1"/>
  <c r="E670" i="1"/>
  <c r="E712" i="1"/>
  <c r="E630" i="1"/>
  <c r="E677" i="1"/>
  <c r="E669" i="1"/>
  <c r="E633" i="1"/>
  <c r="E628" i="1"/>
  <c r="E691" i="1"/>
  <c r="E637" i="1"/>
  <c r="E673" i="1"/>
  <c r="E688" i="1"/>
  <c r="E702" i="1"/>
  <c r="E684" i="1"/>
  <c r="E701" i="1"/>
  <c r="E647" i="1"/>
  <c r="E642" i="1"/>
  <c r="E626" i="1"/>
  <c r="E703" i="1"/>
  <c r="E699" i="1"/>
  <c r="E681" i="1"/>
  <c r="E690" i="1"/>
  <c r="E706" i="1"/>
  <c r="E632" i="1"/>
  <c r="E636" i="1"/>
  <c r="E624" i="1"/>
  <c r="F624" i="1" s="1"/>
  <c r="F632" i="1" s="1"/>
  <c r="E683" i="1"/>
  <c r="E674" i="1"/>
  <c r="E629" i="1"/>
  <c r="E634" i="1"/>
  <c r="E713" i="1"/>
  <c r="E707" i="1"/>
  <c r="E645" i="1"/>
  <c r="E639" i="1"/>
  <c r="E685" i="1"/>
  <c r="E627" i="1"/>
  <c r="E631" i="1"/>
  <c r="E687" i="1"/>
  <c r="E693" i="1"/>
  <c r="E643" i="1"/>
  <c r="E692" i="1"/>
  <c r="E695" i="1"/>
  <c r="E635" i="1"/>
  <c r="E679" i="1"/>
  <c r="E694" i="1"/>
  <c r="F626" i="1" l="1"/>
  <c r="F671" i="1"/>
  <c r="F677" i="1"/>
  <c r="F687" i="1"/>
  <c r="F693" i="1"/>
  <c r="F674" i="1"/>
  <c r="F637" i="1"/>
  <c r="F683" i="1"/>
  <c r="F708" i="1"/>
  <c r="F699" i="1"/>
  <c r="F711" i="1"/>
  <c r="F640" i="1"/>
  <c r="F629" i="1"/>
  <c r="F680" i="1"/>
  <c r="F706" i="1"/>
  <c r="F670" i="1"/>
  <c r="F698" i="1"/>
  <c r="F712" i="1"/>
  <c r="F673" i="1"/>
  <c r="F631" i="1"/>
  <c r="F702" i="1"/>
  <c r="F709" i="1"/>
  <c r="F668" i="1"/>
  <c r="F633" i="1"/>
  <c r="F625" i="1"/>
  <c r="G625" i="1" s="1"/>
  <c r="G628" i="1" s="1"/>
  <c r="F639" i="1"/>
  <c r="F636" i="1"/>
  <c r="F684" i="1"/>
  <c r="F679" i="1"/>
  <c r="F704" i="1"/>
  <c r="F688" i="1"/>
  <c r="F691" i="1"/>
  <c r="F689" i="1"/>
  <c r="F695" i="1"/>
  <c r="F701" i="1"/>
  <c r="F628" i="1"/>
  <c r="F710" i="1"/>
  <c r="F643" i="1"/>
  <c r="F686" i="1"/>
  <c r="F669" i="1"/>
  <c r="F678" i="1"/>
  <c r="F642" i="1"/>
  <c r="F646" i="1"/>
  <c r="F716" i="1"/>
  <c r="F713" i="1"/>
  <c r="F685" i="1"/>
  <c r="F705" i="1"/>
  <c r="F645" i="1"/>
  <c r="F672" i="1"/>
  <c r="F676" i="1"/>
  <c r="F638" i="1"/>
  <c r="F635" i="1"/>
  <c r="F682" i="1"/>
  <c r="F697" i="1"/>
  <c r="F641" i="1"/>
  <c r="F690" i="1"/>
  <c r="F675" i="1"/>
  <c r="F694" i="1"/>
  <c r="F647" i="1"/>
  <c r="F634" i="1"/>
  <c r="F681" i="1"/>
  <c r="F707" i="1"/>
  <c r="F644" i="1"/>
  <c r="F630" i="1"/>
  <c r="F696" i="1"/>
  <c r="F703" i="1"/>
  <c r="F627" i="1"/>
  <c r="F700" i="1"/>
  <c r="F692" i="1"/>
  <c r="E715" i="1"/>
  <c r="G669" i="1" l="1"/>
  <c r="G694" i="1"/>
  <c r="G637" i="1"/>
  <c r="G697" i="1"/>
  <c r="G704" i="1"/>
  <c r="G645" i="1"/>
  <c r="G688" i="1"/>
  <c r="G713" i="1"/>
  <c r="G711" i="1"/>
  <c r="G634" i="1"/>
  <c r="G647" i="1"/>
  <c r="G696" i="1"/>
  <c r="G705" i="1"/>
  <c r="G630" i="1"/>
  <c r="G676" i="1"/>
  <c r="G683" i="1"/>
  <c r="G695" i="1"/>
  <c r="G678" i="1"/>
  <c r="G627" i="1"/>
  <c r="G690" i="1"/>
  <c r="G671" i="1"/>
  <c r="G668" i="1"/>
  <c r="G679" i="1"/>
  <c r="G672" i="1"/>
  <c r="G643" i="1"/>
  <c r="G686" i="1"/>
  <c r="G716" i="1"/>
  <c r="G702" i="1"/>
  <c r="G691" i="1"/>
  <c r="G641" i="1"/>
  <c r="G693" i="1"/>
  <c r="G670" i="1"/>
  <c r="G709" i="1"/>
  <c r="G626" i="1"/>
  <c r="G707" i="1"/>
  <c r="G633" i="1"/>
  <c r="G635" i="1"/>
  <c r="G682" i="1"/>
  <c r="G706" i="1"/>
  <c r="G701" i="1"/>
  <c r="G689" i="1"/>
  <c r="G708" i="1"/>
  <c r="G698" i="1"/>
  <c r="G677" i="1"/>
  <c r="G629" i="1"/>
  <c r="G680" i="1"/>
  <c r="G673" i="1"/>
  <c r="G640" i="1"/>
  <c r="G685" i="1"/>
  <c r="G636" i="1"/>
  <c r="G638" i="1"/>
  <c r="G675" i="1"/>
  <c r="G692" i="1"/>
  <c r="G644" i="1"/>
  <c r="G684" i="1"/>
  <c r="G710" i="1"/>
  <c r="G681" i="1"/>
  <c r="G639" i="1"/>
  <c r="G703" i="1"/>
  <c r="G642" i="1"/>
  <c r="G700" i="1"/>
  <c r="G674" i="1"/>
  <c r="G646" i="1"/>
  <c r="G699" i="1"/>
  <c r="G632" i="1"/>
  <c r="F715" i="1"/>
  <c r="G631" i="1"/>
  <c r="G712" i="1"/>
  <c r="G687" i="1"/>
  <c r="H628" i="1" l="1"/>
  <c r="H670" i="1" s="1"/>
  <c r="G715" i="1"/>
  <c r="H676" i="1" l="1"/>
  <c r="H672" i="1"/>
  <c r="H691" i="1"/>
  <c r="H645" i="1"/>
  <c r="H692" i="1"/>
  <c r="H631" i="1"/>
  <c r="H701" i="1"/>
  <c r="H697" i="1"/>
  <c r="H690" i="1"/>
  <c r="H703" i="1"/>
  <c r="H693" i="1"/>
  <c r="H686" i="1"/>
  <c r="H680" i="1"/>
  <c r="H687" i="1"/>
  <c r="H689" i="1"/>
  <c r="H642" i="1"/>
  <c r="H708" i="1"/>
  <c r="H713" i="1"/>
  <c r="H668" i="1"/>
  <c r="H685" i="1"/>
  <c r="H636" i="1"/>
  <c r="H681" i="1"/>
  <c r="H677" i="1"/>
  <c r="H674" i="1"/>
  <c r="H641" i="1"/>
  <c r="H712" i="1"/>
  <c r="H671" i="1"/>
  <c r="H673" i="1"/>
  <c r="H711" i="1"/>
  <c r="H716" i="1"/>
  <c r="H694" i="1"/>
  <c r="H647" i="1"/>
  <c r="H629" i="1"/>
  <c r="I629" i="1" s="1"/>
  <c r="I645" i="1" s="1"/>
  <c r="H646" i="1"/>
  <c r="H639" i="1"/>
  <c r="H669" i="1"/>
  <c r="H696" i="1"/>
  <c r="H684" i="1"/>
  <c r="H640" i="1"/>
  <c r="H637" i="1"/>
  <c r="H632" i="1"/>
  <c r="H679" i="1"/>
  <c r="H699" i="1"/>
  <c r="H634" i="1"/>
  <c r="H633" i="1"/>
  <c r="H682" i="1"/>
  <c r="H705" i="1"/>
  <c r="H702" i="1"/>
  <c r="H698" i="1"/>
  <c r="H700" i="1"/>
  <c r="H675" i="1"/>
  <c r="H709" i="1"/>
  <c r="H643" i="1"/>
  <c r="H635" i="1"/>
  <c r="H644" i="1"/>
  <c r="H706" i="1"/>
  <c r="H678" i="1"/>
  <c r="H704" i="1"/>
  <c r="H695" i="1"/>
  <c r="H630" i="1"/>
  <c r="H683" i="1"/>
  <c r="H688" i="1"/>
  <c r="H710" i="1"/>
  <c r="H638" i="1"/>
  <c r="H707" i="1"/>
  <c r="I642" i="1" l="1"/>
  <c r="I698" i="1"/>
  <c r="I689" i="1"/>
  <c r="I693" i="1"/>
  <c r="I669" i="1"/>
  <c r="I702" i="1"/>
  <c r="I679" i="1"/>
  <c r="I686" i="1"/>
  <c r="I635" i="1"/>
  <c r="I641" i="1"/>
  <c r="I691" i="1"/>
  <c r="I695" i="1"/>
  <c r="I636" i="1"/>
  <c r="I692" i="1"/>
  <c r="I633" i="1"/>
  <c r="I677" i="1"/>
  <c r="I673" i="1"/>
  <c r="I647" i="1"/>
  <c r="I646" i="1"/>
  <c r="I687" i="1"/>
  <c r="I709" i="1"/>
  <c r="I683" i="1"/>
  <c r="I639" i="1"/>
  <c r="I685" i="1"/>
  <c r="I710" i="1"/>
  <c r="I694" i="1"/>
  <c r="I674" i="1"/>
  <c r="I688" i="1"/>
  <c r="I632" i="1"/>
  <c r="I680" i="1"/>
  <c r="I701" i="1"/>
  <c r="I630" i="1"/>
  <c r="J630" i="1" s="1"/>
  <c r="I668" i="1"/>
  <c r="I672" i="1"/>
  <c r="I676" i="1"/>
  <c r="I631" i="1"/>
  <c r="I644" i="1"/>
  <c r="I671" i="1"/>
  <c r="I711" i="1"/>
  <c r="I707" i="1"/>
  <c r="I712" i="1"/>
  <c r="H715" i="1"/>
  <c r="I700" i="1"/>
  <c r="I704" i="1"/>
  <c r="I703" i="1"/>
  <c r="I699" i="1"/>
  <c r="I697" i="1"/>
  <c r="I634" i="1"/>
  <c r="I713" i="1"/>
  <c r="I678" i="1"/>
  <c r="I696" i="1"/>
  <c r="I638" i="1"/>
  <c r="I682" i="1"/>
  <c r="I684" i="1"/>
  <c r="I637" i="1"/>
  <c r="I640" i="1"/>
  <c r="I670" i="1"/>
  <c r="I705" i="1"/>
  <c r="I708" i="1"/>
  <c r="I706" i="1"/>
  <c r="I690" i="1"/>
  <c r="I681" i="1"/>
  <c r="I675" i="1"/>
  <c r="I716" i="1"/>
  <c r="I643" i="1"/>
  <c r="I715" i="1" l="1"/>
  <c r="J668" i="1"/>
  <c r="J695" i="1"/>
  <c r="J690" i="1"/>
  <c r="J693" i="1"/>
  <c r="J669" i="1"/>
  <c r="J639" i="1"/>
  <c r="J707" i="1"/>
  <c r="J697" i="1"/>
  <c r="J676" i="1"/>
  <c r="J674" i="1"/>
  <c r="J703" i="1"/>
  <c r="J634" i="1"/>
  <c r="J647" i="1"/>
  <c r="J710" i="1"/>
  <c r="J640" i="1"/>
  <c r="J644" i="1"/>
  <c r="J680" i="1"/>
  <c r="J679" i="1"/>
  <c r="J670" i="1"/>
  <c r="J692" i="1"/>
  <c r="J691" i="1"/>
  <c r="J705" i="1"/>
  <c r="J684" i="1"/>
  <c r="J709" i="1"/>
  <c r="J678" i="1"/>
  <c r="J706" i="1"/>
  <c r="J643" i="1"/>
  <c r="J699" i="1"/>
  <c r="J704" i="1"/>
  <c r="J646" i="1"/>
  <c r="J682" i="1"/>
  <c r="J708" i="1"/>
  <c r="J637" i="1"/>
  <c r="J686" i="1"/>
  <c r="J681" i="1"/>
  <c r="J675" i="1"/>
  <c r="J632" i="1"/>
  <c r="J700" i="1"/>
  <c r="J712" i="1"/>
  <c r="J683" i="1"/>
  <c r="J631" i="1"/>
  <c r="J642" i="1"/>
  <c r="J645" i="1"/>
  <c r="J672" i="1"/>
  <c r="J702" i="1"/>
  <c r="J633" i="1"/>
  <c r="J635" i="1"/>
  <c r="J671" i="1"/>
  <c r="J673" i="1"/>
  <c r="J716" i="1"/>
  <c r="J689" i="1"/>
  <c r="J701" i="1"/>
  <c r="J687" i="1"/>
  <c r="J636" i="1"/>
  <c r="J685" i="1"/>
  <c r="J711" i="1"/>
  <c r="J638" i="1"/>
  <c r="J713" i="1"/>
  <c r="J641" i="1"/>
  <c r="J688" i="1"/>
  <c r="J698" i="1"/>
  <c r="J696" i="1"/>
  <c r="J694" i="1"/>
  <c r="J677" i="1"/>
  <c r="K644" i="1" l="1"/>
  <c r="J715" i="1"/>
  <c r="L647" i="1"/>
  <c r="K692" i="1" l="1"/>
  <c r="K684" i="1"/>
  <c r="K701" i="1"/>
  <c r="K690" i="1"/>
  <c r="K691" i="1"/>
  <c r="K702" i="1"/>
  <c r="K693" i="1"/>
  <c r="K713" i="1"/>
  <c r="K680" i="1"/>
  <c r="K708" i="1"/>
  <c r="K682" i="1"/>
  <c r="K678" i="1"/>
  <c r="K686" i="1"/>
  <c r="K669" i="1"/>
  <c r="K683" i="1"/>
  <c r="K695" i="1"/>
  <c r="K698" i="1"/>
  <c r="K676" i="1"/>
  <c r="K681" i="1"/>
  <c r="K677" i="1"/>
  <c r="K688" i="1"/>
  <c r="K712" i="1"/>
  <c r="K672" i="1"/>
  <c r="K671" i="1"/>
  <c r="K706" i="1"/>
  <c r="K704" i="1"/>
  <c r="K679" i="1"/>
  <c r="K705" i="1"/>
  <c r="K689" i="1"/>
  <c r="K711" i="1"/>
  <c r="K670" i="1"/>
  <c r="K696" i="1"/>
  <c r="K697" i="1"/>
  <c r="K699" i="1"/>
  <c r="K707" i="1"/>
  <c r="K685" i="1"/>
  <c r="K716" i="1"/>
  <c r="K703" i="1"/>
  <c r="K675" i="1"/>
  <c r="K709" i="1"/>
  <c r="K710" i="1"/>
  <c r="K694" i="1"/>
  <c r="K700" i="1"/>
  <c r="K673" i="1"/>
  <c r="K674" i="1"/>
  <c r="K687" i="1"/>
  <c r="K668" i="1"/>
  <c r="L697" i="1"/>
  <c r="L698" i="1"/>
  <c r="L675" i="1"/>
  <c r="L683" i="1"/>
  <c r="L674" i="1"/>
  <c r="L706" i="1"/>
  <c r="L703" i="1"/>
  <c r="L690" i="1"/>
  <c r="L700" i="1"/>
  <c r="L679" i="1"/>
  <c r="L681" i="1"/>
  <c r="L696" i="1"/>
  <c r="L670" i="1"/>
  <c r="L685" i="1"/>
  <c r="L692" i="1"/>
  <c r="L688" i="1"/>
  <c r="L669" i="1"/>
  <c r="L711" i="1"/>
  <c r="L686" i="1"/>
  <c r="L708" i="1"/>
  <c r="L707" i="1"/>
  <c r="L691" i="1"/>
  <c r="L673" i="1"/>
  <c r="L671" i="1"/>
  <c r="L689" i="1"/>
  <c r="L705" i="1"/>
  <c r="L684" i="1"/>
  <c r="M684" i="1" s="1"/>
  <c r="L676" i="1"/>
  <c r="L694" i="1"/>
  <c r="L716" i="1"/>
  <c r="L712" i="1"/>
  <c r="L672" i="1"/>
  <c r="L678" i="1"/>
  <c r="L702" i="1"/>
  <c r="L680" i="1"/>
  <c r="L710" i="1"/>
  <c r="L695" i="1"/>
  <c r="L709" i="1"/>
  <c r="L699" i="1"/>
  <c r="L693" i="1"/>
  <c r="L687" i="1"/>
  <c r="L701" i="1"/>
  <c r="L704" i="1"/>
  <c r="L682" i="1"/>
  <c r="L713" i="1"/>
  <c r="L677" i="1"/>
  <c r="L668" i="1"/>
  <c r="M710" i="1" l="1"/>
  <c r="Y776" i="1" s="1"/>
  <c r="M688" i="1"/>
  <c r="I87" i="9" s="1"/>
  <c r="M712" i="1"/>
  <c r="E215" i="9" s="1"/>
  <c r="M703" i="1"/>
  <c r="C183" i="9" s="1"/>
  <c r="M707" i="1"/>
  <c r="Y773" i="1" s="1"/>
  <c r="M704" i="1"/>
  <c r="D183" i="9" s="1"/>
  <c r="M670" i="1"/>
  <c r="E23" i="9" s="1"/>
  <c r="M673" i="1"/>
  <c r="Y739" i="1" s="1"/>
  <c r="M677" i="1"/>
  <c r="Y743" i="1" s="1"/>
  <c r="M693" i="1"/>
  <c r="G119" i="9" s="1"/>
  <c r="M675" i="1"/>
  <c r="C55" i="9" s="1"/>
  <c r="M674" i="1"/>
  <c r="Y740" i="1" s="1"/>
  <c r="M672" i="1"/>
  <c r="G23" i="9" s="1"/>
  <c r="M698" i="1"/>
  <c r="Y764" i="1" s="1"/>
  <c r="M709" i="1"/>
  <c r="Y775" i="1" s="1"/>
  <c r="M692" i="1"/>
  <c r="Y758" i="1" s="1"/>
  <c r="M700" i="1"/>
  <c r="Y766" i="1" s="1"/>
  <c r="M711" i="1"/>
  <c r="D215" i="9" s="1"/>
  <c r="M702" i="1"/>
  <c r="I151" i="9" s="1"/>
  <c r="M708" i="1"/>
  <c r="Y774" i="1" s="1"/>
  <c r="M694" i="1"/>
  <c r="M671" i="1"/>
  <c r="M676" i="1"/>
  <c r="M678" i="1"/>
  <c r="K715" i="1"/>
  <c r="M668" i="1"/>
  <c r="M689" i="1"/>
  <c r="M682" i="1"/>
  <c r="M691" i="1"/>
  <c r="M687" i="1"/>
  <c r="M699" i="1"/>
  <c r="M705" i="1"/>
  <c r="M695" i="1"/>
  <c r="M690" i="1"/>
  <c r="M697" i="1"/>
  <c r="M679" i="1"/>
  <c r="M683" i="1"/>
  <c r="M680" i="1"/>
  <c r="M701" i="1"/>
  <c r="L715" i="1"/>
  <c r="M696" i="1"/>
  <c r="M669" i="1"/>
  <c r="M713" i="1"/>
  <c r="M685" i="1"/>
  <c r="F87" i="9" s="1"/>
  <c r="M706" i="1"/>
  <c r="M681" i="1"/>
  <c r="M686" i="1"/>
  <c r="E87" i="9"/>
  <c r="Y750" i="1"/>
  <c r="C215" i="9" l="1"/>
  <c r="Y754" i="1"/>
  <c r="Y759" i="1"/>
  <c r="Y778" i="1"/>
  <c r="Y736" i="1"/>
  <c r="H23" i="9"/>
  <c r="G183" i="9"/>
  <c r="I23" i="9"/>
  <c r="Y741" i="1"/>
  <c r="Y770" i="1"/>
  <c r="E151" i="9"/>
  <c r="Y738" i="1"/>
  <c r="H183" i="9"/>
  <c r="E55" i="9"/>
  <c r="F119" i="9"/>
  <c r="Y768" i="1"/>
  <c r="Y769" i="1"/>
  <c r="I183" i="9"/>
  <c r="Y751" i="1"/>
  <c r="G151" i="9"/>
  <c r="Y777" i="1"/>
  <c r="I55" i="9"/>
  <c r="Y747" i="1"/>
  <c r="Y734" i="1"/>
  <c r="C23" i="9"/>
  <c r="M715" i="1"/>
  <c r="Y767" i="1"/>
  <c r="H151" i="9"/>
  <c r="H55" i="9"/>
  <c r="Y746" i="1"/>
  <c r="D119" i="9"/>
  <c r="Y756" i="1"/>
  <c r="Y753" i="1"/>
  <c r="H87" i="9"/>
  <c r="Y744" i="1"/>
  <c r="F55" i="9"/>
  <c r="Y772" i="1"/>
  <c r="F183" i="9"/>
  <c r="F215" i="9"/>
  <c r="Y779" i="1"/>
  <c r="Y749" i="1"/>
  <c r="D87" i="9"/>
  <c r="I119" i="9"/>
  <c r="Y761" i="1"/>
  <c r="E119" i="9"/>
  <c r="Y757" i="1"/>
  <c r="Y755" i="1"/>
  <c r="C119" i="9"/>
  <c r="Y742" i="1"/>
  <c r="D55" i="9"/>
  <c r="D23" i="9"/>
  <c r="Y735" i="1"/>
  <c r="Y745" i="1"/>
  <c r="G55" i="9"/>
  <c r="E183" i="9"/>
  <c r="Y771" i="1"/>
  <c r="C87" i="9"/>
  <c r="Y748" i="1"/>
  <c r="F23" i="9"/>
  <c r="Y737" i="1"/>
  <c r="G87" i="9"/>
  <c r="Y752" i="1"/>
  <c r="Y762" i="1"/>
  <c r="C151" i="9"/>
  <c r="Y763" i="1"/>
  <c r="D151" i="9"/>
  <c r="Y765" i="1"/>
  <c r="F151" i="9"/>
  <c r="H119" i="9"/>
  <c r="Y760" i="1"/>
  <c r="Y815" i="1" l="1"/>
</calcChain>
</file>

<file path=xl/sharedStrings.xml><?xml version="1.0" encoding="utf-8"?>
<sst xmlns="http://schemas.openxmlformats.org/spreadsheetml/2006/main" count="4945" uniqueCount="1278">
  <si>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</si>
  <si>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</si>
  <si>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</si>
  <si>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</si>
  <si>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</si>
  <si>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</si>
  <si>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</si>
  <si>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</si>
  <si>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</si>
  <si>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</si>
  <si>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</si>
  <si>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</si>
  <si>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</si>
  <si>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</si>
  <si>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</si>
  <si>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</si>
  <si>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</si>
  <si>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</si>
  <si>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</si>
  <si>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</si>
  <si>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</si>
  <si>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</si>
  <si>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</si>
  <si>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</si>
  <si>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</si>
  <si>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</si>
  <si>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</si>
  <si>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</si>
  <si>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</si>
  <si>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</si>
  <si>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</si>
  <si>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</si>
  <si>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</si>
  <si>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</si>
  <si>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</si>
  <si>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</si>
  <si>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</si>
  <si>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</si>
  <si>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</si>
  <si>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</si>
  <si>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</si>
  <si>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</si>
  <si>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</si>
  <si>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</si>
  <si>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</si>
  <si>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</si>
  <si>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</si>
  <si>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</si>
  <si>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</si>
  <si>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</si>
  <si>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</si>
  <si>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</si>
  <si>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</si>
  <si>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</si>
  <si>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</si>
  <si>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</si>
  <si>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</si>
  <si>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</si>
  <si>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</si>
  <si>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</si>
  <si>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</si>
  <si>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</si>
  <si>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</si>
  <si>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</si>
  <si>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</si>
  <si>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</si>
  <si>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</si>
  <si>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</si>
  <si>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</si>
  <si>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</si>
  <si>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</si>
  <si>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</si>
  <si>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</si>
  <si>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</si>
  <si>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</si>
  <si>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</si>
  <si>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</si>
  <si>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</si>
  <si>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</si>
  <si>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</si>
  <si>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</si>
  <si>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</si>
  <si>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</si>
  <si>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</si>
  <si>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</si>
  <si>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</si>
  <si>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</si>
  <si>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</si>
  <si>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</si>
  <si>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</si>
  <si>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</si>
  <si>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</si>
  <si>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</si>
  <si>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</si>
  <si>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</si>
  <si>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</si>
  <si>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</si>
  <si>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</si>
  <si>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</si>
  <si>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</si>
  <si>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</si>
  <si>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</si>
  <si>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</si>
  <si>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</si>
  <si>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</si>
  <si>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</si>
  <si>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</si>
  <si>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</si>
  <si>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</si>
  <si>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</si>
  <si>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</si>
  <si>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</si>
  <si>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</si>
  <si>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</si>
  <si>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</si>
  <si>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</si>
  <si>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</si>
  <si>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</si>
  <si>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</si>
  <si>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</si>
  <si>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</si>
  <si>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</si>
  <si>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</si>
  <si>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</si>
  <si>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</si>
  <si>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</si>
  <si>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</si>
  <si>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</si>
  <si>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</si>
  <si>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</si>
  <si>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</si>
  <si>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</si>
  <si>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</si>
  <si>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</si>
  <si>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</si>
  <si>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</si>
  <si>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</si>
  <si>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</si>
  <si>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</si>
  <si>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</si>
  <si>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</si>
  <si>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</si>
  <si>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</si>
  <si>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</si>
  <si>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</si>
  <si>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</si>
  <si>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</si>
  <si>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</si>
  <si>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</si>
  <si>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</si>
  <si>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</si>
  <si>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</si>
  <si>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</si>
  <si>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</si>
  <si>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</si>
  <si>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</si>
  <si>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</si>
  <si>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</si>
  <si>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</si>
  <si>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</si>
  <si>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</si>
  <si>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</si>
  <si>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</si>
  <si>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</si>
  <si>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</si>
  <si>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</si>
  <si>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</si>
  <si>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</si>
  <si>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</si>
  <si>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</si>
  <si>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</si>
  <si>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</si>
  <si>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</si>
  <si>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</si>
  <si>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</si>
  <si>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</si>
  <si>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</si>
  <si>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</si>
  <si>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</si>
  <si>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</si>
  <si>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</si>
  <si>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</si>
  <si>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</si>
  <si>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</si>
  <si>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</si>
  <si>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</si>
  <si>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</si>
  <si>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</si>
  <si>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</si>
  <si>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</si>
  <si>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</si>
  <si>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</si>
  <si>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</si>
  <si>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</si>
  <si>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</si>
  <si>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</si>
  <si>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</si>
  <si>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</si>
  <si>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</si>
  <si>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</si>
  <si>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</si>
  <si>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</si>
  <si>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</si>
  <si>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</si>
  <si>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</si>
  <si>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</si>
  <si>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</si>
  <si>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</si>
  <si>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</si>
  <si>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</si>
  <si>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</si>
  <si>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</si>
  <si>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</si>
  <si>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</si>
  <si>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</si>
  <si>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</si>
  <si>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</si>
  <si>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</si>
  <si>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</si>
  <si>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</si>
  <si>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</si>
  <si>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</si>
  <si>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</si>
  <si>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</si>
  <si>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</si>
  <si>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</si>
  <si>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</si>
  <si>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</si>
  <si>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</si>
  <si>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</si>
  <si>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</si>
  <si>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</si>
  <si>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</si>
  <si>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</si>
  <si>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</si>
  <si>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</si>
  <si>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</si>
  <si>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</si>
  <si>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</si>
  <si>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</si>
  <si>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</si>
  <si>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</si>
  <si>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</si>
  <si>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</si>
  <si>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</si>
  <si>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</si>
  <si>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</si>
  <si>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</si>
  <si>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</si>
  <si>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</si>
  <si>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</si>
  <si>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</si>
  <si>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</si>
  <si>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</si>
  <si>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</si>
  <si>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</si>
  <si>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</si>
  <si>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</si>
  <si>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</si>
  <si>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</si>
  <si>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</si>
  <si>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</si>
  <si>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</si>
  <si>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</si>
  <si>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</si>
  <si>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</si>
  <si>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</si>
  <si>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</si>
  <si>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</si>
  <si>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</si>
  <si>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</si>
  <si>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</si>
  <si>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</si>
  <si>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</si>
  <si>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</si>
  <si>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</si>
  <si>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</si>
  <si>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</si>
  <si>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</si>
  <si>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</si>
  <si>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</si>
  <si>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</si>
  <si>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</si>
  <si>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</si>
  <si>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</si>
  <si>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</si>
  <si>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</si>
  <si>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</si>
  <si>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</si>
  <si>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</si>
  <si>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</si>
  <si>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</si>
  <si>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</si>
  <si>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</si>
  <si>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</si>
  <si>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</si>
  <si>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</si>
  <si>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</si>
  <si>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</si>
  <si>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</si>
  <si>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</si>
  <si>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</si>
  <si>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</si>
  <si>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</si>
  <si>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</si>
  <si>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</si>
  <si>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</si>
  <si>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</si>
  <si>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</si>
  <si>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</si>
  <si>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</si>
  <si>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</si>
  <si>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</si>
  <si>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</si>
  <si>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</si>
  <si>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</si>
  <si>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</si>
  <si>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</si>
  <si>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</si>
  <si>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</si>
  <si>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</si>
  <si>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</si>
  <si>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</si>
  <si>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</si>
  <si>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</si>
  <si>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</si>
  <si>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</si>
  <si>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</si>
  <si>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</si>
  <si>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</si>
  <si>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</si>
  <si>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</si>
  <si>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</si>
  <si>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</si>
  <si>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</si>
  <si>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</si>
  <si>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</si>
  <si>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</si>
  <si>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</si>
  <si>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</si>
  <si>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</si>
  <si>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</si>
  <si>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</si>
  <si>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</si>
  <si>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</si>
  <si>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</si>
  <si>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</si>
  <si>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</si>
  <si>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</si>
  <si>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</si>
  <si>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</si>
  <si>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</si>
  <si>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</si>
  <si>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</si>
  <si>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</si>
  <si>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</si>
  <si>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</si>
  <si>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</si>
  <si>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</si>
  <si>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</si>
  <si>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</si>
  <si>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</si>
  <si>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</si>
  <si>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</si>
  <si>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</si>
  <si>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</si>
  <si>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</si>
  <si>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</si>
  <si>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</si>
  <si>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</si>
  <si>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</si>
  <si>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</si>
  <si>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</si>
  <si>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</si>
  <si>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</si>
  <si>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</si>
  <si>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</si>
  <si>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</si>
  <si>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</si>
  <si>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</si>
  <si>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</si>
  <si>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</si>
  <si>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</si>
  <si>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</si>
  <si>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</si>
  <si>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</si>
  <si>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</si>
  <si>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</si>
  <si>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</si>
  <si>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</si>
  <si>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</si>
  <si>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</si>
  <si>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</si>
  <si>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</si>
  <si>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</si>
  <si>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</si>
  <si>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</si>
  <si>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</si>
  <si>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</si>
  <si>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</si>
  <si>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</si>
  <si>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</si>
  <si>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</si>
  <si>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</si>
  <si>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</si>
  <si>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</si>
  <si>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</si>
  <si>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</si>
  <si>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</si>
  <si>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</si>
  <si>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</si>
  <si>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</si>
  <si>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</si>
  <si>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</si>
  <si>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</si>
  <si>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</si>
  <si>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</si>
  <si>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</si>
  <si>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</si>
  <si>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</si>
  <si>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</si>
  <si>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</si>
  <si>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</si>
  <si>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</si>
  <si>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</si>
  <si>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</si>
  <si>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</si>
  <si>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</si>
  <si>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</si>
  <si>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</si>
  <si>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</si>
  <si>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</si>
  <si>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</si>
  <si>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</si>
  <si>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</si>
  <si>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</si>
  <si>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</si>
  <si>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</si>
  <si>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</si>
  <si>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</si>
  <si>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</si>
  <si>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</si>
  <si>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</si>
  <si>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</si>
  <si>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</si>
  <si>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</si>
  <si>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</si>
  <si>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</si>
  <si>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</si>
  <si>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</si>
  <si>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</si>
  <si>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</si>
  <si>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</si>
  <si>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</si>
  <si>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</si>
  <si>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</si>
  <si>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</si>
  <si>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</si>
  <si>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</si>
  <si>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</si>
  <si>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</si>
  <si>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</si>
  <si>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</si>
  <si>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</si>
  <si>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</si>
  <si>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</si>
  <si>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</si>
  <si>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</si>
  <si>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</si>
  <si>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</si>
  <si>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</si>
  <si>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</si>
  <si>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</si>
  <si>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</si>
  <si>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</si>
  <si>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</si>
  <si>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</si>
  <si>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</si>
  <si>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</si>
  <si>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</si>
  <si>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</si>
  <si>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</si>
  <si>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</si>
  <si>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</si>
  <si>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</si>
  <si>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</si>
  <si>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</si>
  <si>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</si>
  <si>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</si>
  <si>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</si>
  <si>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</si>
  <si>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</si>
  <si>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</si>
  <si>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</si>
  <si>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</si>
  <si>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</si>
  <si>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</si>
  <si>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</si>
  <si>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</si>
  <si>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</si>
  <si>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</si>
  <si>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</si>
  <si>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</si>
  <si>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</si>
  <si>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</si>
  <si>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</si>
  <si>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</si>
  <si>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</si>
  <si>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</si>
  <si>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</si>
  <si>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</si>
  <si>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</si>
  <si>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</si>
  <si>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</si>
  <si>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</si>
  <si>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</si>
  <si>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</si>
  <si>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</si>
  <si>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</si>
  <si>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</si>
  <si>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</si>
  <si>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</si>
  <si>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</si>
  <si>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</si>
  <si>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</si>
  <si>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</si>
  <si>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</si>
  <si>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</si>
  <si>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</si>
  <si>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</si>
  <si>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</si>
  <si>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</si>
  <si>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</si>
  <si>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</si>
  <si>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</si>
  <si>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</si>
  <si>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</si>
  <si>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</si>
  <si>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</si>
  <si>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</si>
  <si>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</si>
  <si>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</si>
  <si>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</si>
  <si>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</si>
  <si>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</si>
  <si>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</si>
  <si>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</si>
  <si>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</si>
  <si>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</si>
  <si>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</si>
  <si>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</si>
  <si>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</si>
  <si>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</si>
  <si>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</si>
  <si>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</si>
  <si>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</si>
  <si>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</si>
  <si>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</si>
  <si>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</si>
  <si>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</si>
  <si>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</si>
  <si>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</si>
  <si>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</si>
  <si>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</si>
  <si>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</si>
  <si>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</si>
  <si>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</si>
  <si>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</si>
  <si>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</si>
  <si>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</si>
  <si>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</si>
  <si>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</si>
  <si>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</si>
  <si>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</si>
  <si>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</si>
  <si>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</si>
  <si>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</si>
  <si>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</si>
  <si>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</si>
  <si>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</si>
  <si>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</si>
  <si>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</si>
  <si>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</si>
  <si>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</si>
  <si>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</si>
  <si>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</si>
  <si>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</si>
  <si>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</si>
  <si>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</si>
  <si>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</si>
  <si>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</si>
  <si>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</si>
  <si>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</si>
  <si>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</si>
  <si>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</si>
  <si>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</si>
  <si>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</si>
  <si>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</si>
  <si>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</si>
  <si>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</si>
  <si>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</si>
  <si>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</si>
  <si>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</si>
  <si>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</si>
  <si>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</si>
  <si>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</si>
  <si>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</si>
  <si>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</si>
  <si>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</si>
  <si>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</si>
  <si>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</si>
  <si>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</si>
  <si>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</si>
  <si>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</si>
  <si>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</si>
  <si>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</si>
  <si>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</si>
  <si>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</si>
  <si>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</si>
  <si>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</si>
  <si>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</si>
  <si>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</si>
  <si>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</si>
  <si>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</si>
  <si>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</si>
  <si>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</si>
  <si>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</si>
  <si>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</si>
  <si>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</si>
  <si>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</si>
  <si>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</si>
  <si>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</si>
  <si>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</si>
  <si>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</si>
  <si>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</si>
  <si>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</si>
  <si>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</si>
  <si>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</si>
  <si>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</si>
  <si>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</si>
  <si>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</si>
  <si>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</si>
  <si>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</si>
  <si>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</si>
  <si>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</si>
  <si>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</si>
  <si>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</si>
  <si>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</si>
  <si>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</si>
  <si>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</si>
  <si>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</si>
  <si>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</si>
  <si>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</si>
  <si>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</si>
  <si>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</si>
  <si>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</si>
  <si>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</si>
  <si>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</si>
  <si>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</si>
  <si>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</si>
  <si>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</si>
  <si>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</si>
  <si>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</si>
  <si>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</si>
  <si>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</si>
  <si>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</si>
  <si>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</si>
  <si>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</si>
  <si>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</si>
  <si>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</si>
  <si>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</si>
  <si>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</si>
  <si>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</si>
  <si>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</si>
  <si>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</si>
  <si>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</si>
  <si>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</si>
  <si>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</si>
  <si>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</si>
  <si>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</si>
  <si>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</si>
  <si>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</si>
  <si>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</si>
  <si>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</si>
  <si>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</si>
  <si>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</si>
  <si>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</si>
  <si>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</si>
  <si>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</si>
  <si>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</si>
  <si>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</si>
  <si>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</si>
  <si>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</si>
  <si>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</si>
  <si>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</si>
  <si>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</si>
  <si>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</si>
  <si>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</si>
  <si>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</si>
  <si>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</si>
  <si>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</si>
  <si>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</si>
  <si>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</si>
  <si>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</si>
  <si>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</si>
  <si>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</si>
  <si>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</si>
  <si>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</si>
  <si>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</si>
  <si>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</si>
  <si>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</si>
  <si>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</si>
  <si>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</si>
  <si>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</si>
  <si>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</si>
  <si>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</si>
  <si>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</si>
  <si>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</si>
  <si>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</si>
  <si>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</si>
  <si>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</si>
  <si>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</si>
  <si>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</si>
  <si>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</si>
  <si>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</si>
  <si>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</si>
  <si>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</si>
  <si>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</si>
  <si>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</si>
  <si>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</si>
  <si>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</si>
  <si>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</si>
  <si>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</si>
  <si>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</si>
  <si>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</si>
  <si>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</si>
  <si>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</si>
  <si>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</si>
  <si>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</si>
  <si>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</si>
  <si>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</si>
  <si>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</si>
  <si>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</si>
  <si>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</si>
  <si>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</si>
  <si>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</si>
  <si>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</si>
  <si>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</si>
  <si>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</si>
  <si>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</si>
  <si>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</si>
  <si>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</si>
  <si>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</si>
  <si>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</si>
  <si>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</si>
  <si>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</si>
  <si>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</si>
  <si>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</si>
  <si>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</si>
  <si>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</si>
  <si>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</si>
  <si>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</si>
  <si>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</si>
  <si>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</si>
  <si>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</si>
  <si>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</si>
  <si>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</si>
  <si>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</si>
  <si>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</si>
  <si>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</si>
  <si>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</si>
  <si>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</si>
  <si>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</si>
  <si>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</si>
  <si>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</si>
  <si>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</si>
  <si>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</si>
  <si>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</si>
  <si>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</si>
  <si>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</si>
  <si>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</si>
  <si>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</si>
  <si>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</si>
  <si>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</si>
  <si>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</si>
  <si>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</si>
  <si>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</si>
  <si>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</si>
  <si>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</si>
  <si>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</si>
  <si>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</si>
  <si>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</si>
  <si>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</si>
  <si>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</si>
  <si>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</si>
  <si>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</si>
  <si>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</si>
  <si>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</si>
  <si>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</si>
  <si>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</si>
  <si>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</si>
  <si>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</si>
  <si>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</si>
  <si>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</si>
  <si>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</si>
  <si>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</si>
  <si>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</si>
  <si>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</si>
  <si>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</si>
  <si>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</si>
  <si>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</si>
  <si>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</si>
  <si>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</si>
  <si>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</si>
  <si>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</si>
  <si>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</si>
  <si>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</si>
  <si>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</si>
  <si>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</si>
  <si>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</si>
  <si>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</si>
  <si>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</si>
  <si>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</si>
  <si>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</si>
  <si>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</si>
  <si>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</si>
  <si>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</si>
  <si>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</si>
  <si>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</si>
  <si>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</si>
  <si>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</si>
  <si>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</si>
  <si>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</si>
  <si>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</si>
  <si>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</si>
  <si>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</si>
  <si>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</si>
  <si>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</si>
  <si>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</si>
  <si>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</si>
  <si>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</si>
  <si>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</si>
  <si>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</si>
  <si>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</si>
  <si>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</si>
  <si>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</si>
  <si>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</si>
  <si>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</si>
  <si>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</si>
  <si>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</si>
  <si>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</si>
  <si>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</si>
  <si>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</si>
  <si>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</si>
  <si>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</si>
  <si>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</si>
  <si>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</si>
  <si>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</si>
  <si>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</si>
  <si>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</si>
  <si>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</si>
  <si>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</si>
  <si>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</si>
  <si>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</si>
  <si>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</si>
  <si>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</si>
  <si>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</si>
  <si>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</si>
  <si>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</si>
  <si>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</si>
  <si>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</si>
  <si>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</si>
  <si>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</si>
  <si>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</si>
  <si>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</si>
  <si>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</si>
  <si>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</si>
  <si>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</si>
  <si>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</si>
  <si>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</si>
  <si>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</si>
  <si>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</si>
  <si>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</si>
  <si>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</si>
  <si>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</si>
  <si>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</si>
  <si>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</si>
  <si>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</si>
  <si>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</si>
  <si>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</si>
  <si>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</si>
  <si>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</si>
  <si>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</si>
  <si>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</si>
  <si>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</si>
  <si>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</si>
  <si>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</si>
  <si>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</si>
  <si>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</si>
  <si>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</si>
  <si>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</si>
  <si>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</si>
  <si>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</si>
  <si>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</si>
  <si>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</si>
  <si>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</si>
  <si>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</si>
  <si>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</si>
  <si>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</si>
  <si>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</si>
  <si>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</si>
  <si>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</si>
  <si>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</si>
  <si>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</si>
  <si>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</si>
  <si>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</si>
  <si>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</si>
  <si>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</si>
  <si>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</si>
  <si>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</si>
  <si>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</si>
  <si>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</si>
  <si>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</si>
  <si>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</si>
  <si>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</si>
  <si>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</si>
  <si>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</si>
  <si>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</si>
  <si>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</si>
  <si>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</si>
  <si>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</si>
  <si>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</si>
  <si>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</si>
  <si>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</si>
  <si>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</si>
  <si>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</si>
  <si>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</si>
  <si>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</si>
  <si>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</si>
  <si>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</si>
  <si>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</si>
  <si>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</si>
  <si>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</si>
  <si>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</si>
  <si>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</si>
  <si>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</si>
  <si>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</si>
  <si>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</si>
  <si>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</si>
  <si>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</si>
  <si>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</si>
  <si>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</si>
  <si>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</si>
  <si>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</si>
  <si>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</si>
  <si>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</si>
  <si>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</si>
  <si>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</si>
  <si>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</si>
  <si>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</si>
  <si>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</si>
  <si>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</si>
  <si>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</si>
  <si>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</si>
  <si>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</si>
  <si>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</si>
  <si>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</si>
  <si>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</si>
  <si>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</si>
  <si>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</si>
  <si>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</si>
  <si>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</si>
  <si>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</si>
  <si>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</si>
  <si>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</si>
  <si>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</si>
  <si>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</si>
  <si>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</si>
  <si>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</si>
  <si>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</si>
  <si>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</si>
  <si>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</si>
  <si>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</si>
  <si>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</si>
  <si>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</si>
  <si>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</si>
  <si>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</si>
  <si>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</si>
  <si>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</si>
  <si>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</si>
  <si>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</si>
  <si>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</si>
  <si>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</si>
  <si>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</si>
  <si>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</si>
  <si>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</si>
  <si>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</si>
  <si>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</si>
  <si>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</si>
  <si>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</si>
  <si>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</si>
  <si>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</si>
  <si>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</si>
  <si>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</si>
  <si>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</si>
  <si>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</si>
  <si>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</si>
  <si>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</si>
  <si>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</si>
  <si>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</si>
  <si>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</si>
  <si>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</si>
  <si>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</si>
  <si>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</si>
  <si>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</si>
  <si>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</si>
  <si>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</si>
  <si>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</si>
  <si>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</si>
  <si>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</si>
  <si>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</si>
  <si>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</si>
  <si>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</si>
  <si>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</si>
  <si>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</si>
  <si>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</si>
  <si>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</si>
  <si>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</si>
  <si>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</si>
  <si>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</si>
  <si>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</si>
  <si>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</si>
  <si>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</si>
  <si>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</si>
  <si>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</si>
  <si>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</si>
  <si>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</si>
  <si>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</si>
  <si>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</si>
  <si>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</si>
  <si>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</si>
  <si>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</si>
  <si>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</si>
  <si>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</si>
  <si>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</si>
  <si>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</si>
  <si>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</si>
  <si>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</si>
  <si>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</si>
  <si>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</si>
  <si>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</si>
  <si>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</si>
  <si>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</si>
  <si>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</si>
  <si>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</si>
  <si>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</si>
  <si>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</si>
  <si>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</si>
  <si>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</si>
  <si>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</si>
  <si>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</si>
  <si>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</si>
  <si>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</si>
  <si>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</si>
  <si>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</si>
  <si>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</si>
  <si>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</si>
  <si>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</si>
  <si>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</si>
  <si>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</si>
  <si>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</si>
  <si>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</si>
  <si>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</si>
  <si>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</si>
  <si>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</si>
  <si>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</si>
  <si>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</si>
  <si>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</si>
  <si>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</si>
  <si>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</si>
  <si>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</si>
  <si>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</si>
  <si>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</si>
  <si>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</si>
  <si>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</si>
  <si>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</si>
  <si>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</si>
  <si>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</si>
  <si>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</si>
  <si>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</si>
  <si>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</si>
  <si>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</si>
  <si>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</si>
  <si>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</si>
  <si>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</si>
  <si>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</si>
  <si>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</si>
  <si>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</si>
  <si>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</si>
  <si>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</si>
  <si>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</si>
  <si>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</si>
  <si>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</si>
  <si>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</si>
  <si>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</si>
  <si>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</si>
  <si>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</si>
  <si>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</si>
  <si>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</si>
  <si>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</si>
  <si>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</si>
  <si>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</si>
  <si>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</si>
  <si>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</si>
  <si>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</si>
  <si>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</si>
  <si>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</si>
  <si>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</si>
  <si>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</si>
  <si>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</si>
  <si>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</si>
  <si>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</si>
  <si>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</si>
  <si>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</si>
  <si>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</si>
  <si>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</si>
  <si>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</si>
  <si>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</si>
  <si>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</si>
  <si>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</si>
  <si>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</si>
  <si>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</si>
  <si>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</si>
  <si>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</si>
  <si>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</si>
  <si>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</si>
  <si>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</si>
  <si>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</si>
  <si>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</si>
  <si>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</si>
  <si>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</si>
  <si>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</si>
  <si>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</si>
  <si>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</si>
  <si>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</si>
  <si>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</si>
  <si>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</si>
  <si>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</si>
  <si>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</si>
  <si>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</si>
  <si>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</si>
  <si>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</si>
  <si>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</si>
  <si>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</si>
  <si>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</si>
  <si>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</si>
  <si>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</si>
  <si>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</si>
  <si>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</si>
  <si>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</si>
  <si>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</si>
  <si>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</si>
  <si>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</si>
  <si>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</si>
  <si>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</si>
  <si>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</si>
  <si>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</si>
  <si>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</si>
  <si>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</si>
  <si>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</si>
  <si>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</si>
  <si>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</si>
  <si>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</si>
  <si>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</si>
  <si>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</si>
  <si>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</si>
  <si>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</si>
  <si>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</si>
  <si>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</si>
  <si>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</si>
  <si>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</si>
  <si>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</si>
  <si>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</si>
  <si>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</si>
  <si>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</si>
  <si>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</si>
  <si>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</si>
  <si>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</si>
  <si>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</si>
  <si>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</si>
  <si>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</si>
  <si>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</si>
  <si>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</si>
  <si>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</si>
  <si>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</si>
  <si>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</si>
  <si>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</si>
  <si>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</si>
  <si>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</si>
  <si>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</si>
  <si>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</si>
  <si>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</si>
  <si>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</si>
  <si>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</si>
  <si>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</si>
  <si>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</si>
  <si>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</si>
  <si>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</si>
  <si>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</si>
  <si>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</si>
  <si>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</si>
  <si>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</si>
  <si>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</si>
  <si>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</si>
  <si>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</si>
  <si>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</si>
  <si>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</si>
  <si>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</si>
  <si>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</si>
  <si>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</si>
  <si>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</si>
  <si>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</si>
  <si>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</si>
  <si>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</si>
  <si>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</si>
  <si>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</si>
  <si>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</si>
  <si>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</si>
  <si>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</si>
  <si>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</si>
  <si>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</si>
  <si>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</si>
  <si>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</si>
  <si>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</si>
  <si>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</si>
  <si>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</si>
  <si>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</si>
  <si>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</si>
  <si>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</si>
  <si>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</si>
  <si>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</si>
  <si>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</si>
  <si>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</si>
  <si>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</si>
  <si>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</si>
  <si>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</si>
  <si>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</si>
  <si>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</si>
  <si>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</si>
  <si>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</si>
  <si>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</si>
  <si>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</si>
  <si>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</si>
  <si>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</si>
  <si>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</si>
  <si>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</si>
  <si>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</si>
  <si>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</si>
  <si>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</si>
  <si>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</si>
  <si>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</si>
  <si>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</si>
  <si>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</si>
  <si>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</si>
  <si>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</si>
  <si>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</si>
  <si>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2017</t>
  </si>
  <si>
    <t>104</t>
  </si>
  <si>
    <t>EvergreenHealth Monroe</t>
  </si>
  <si>
    <t>14701 179th Ave SE</t>
  </si>
  <si>
    <t>Monroe, Wa, 98272</t>
  </si>
  <si>
    <t>Snohomish</t>
  </si>
  <si>
    <t xml:space="preserve">John Green </t>
  </si>
  <si>
    <t xml:space="preserve">Alice Cabe </t>
  </si>
  <si>
    <t>360-794-7497</t>
  </si>
  <si>
    <t>360-863-4672</t>
  </si>
  <si>
    <t xml:space="preserve">Lisa LaPlante 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</si>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</sst>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94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43" fontId="5" fillId="0" borderId="0" xfId="1" applyFont="1" applyProtection="1"/>
    <xf numFmtId="37" fontId="11" fillId="0" borderId="1" xfId="0" quotePrefix="1" applyNumberFormat="1" applyFont="1" applyFill="1" applyBorder="1" applyProtection="1">
      <protection locked="0"/>
    </xf>
    <xf numFmtId="39" fontId="11" fillId="0" borderId="1" xfId="0" quotePrefix="1" applyNumberFormat="1" applyFont="1" applyFill="1" applyBorder="1" applyProtection="1">
      <protection locked="0"/>
    </xf>
    <xf numFmtId="37" fontId="11" fillId="0" borderId="1" xfId="1" quotePrefix="1" applyNumberFormat="1" applyFont="1" applyFill="1" applyBorder="1" applyProtection="1">
      <protection locked="0"/>
    </xf>
    <xf numFmtId="39" fontId="11" fillId="0" borderId="1" xfId="3" quotePrefix="1" applyNumberFormat="1" applyFont="1" applyFill="1" applyBorder="1" applyProtection="1">
      <protection locked="0"/>
    </xf>
    <xf numFmtId="39" fontId="11" fillId="0" borderId="1" xfId="1" quotePrefix="1" applyNumberFormat="1" applyFont="1" applyFill="1" applyBorder="1" applyProtection="1">
      <protection locked="0"/>
    </xf>
    <xf numFmtId="37" fontId="11" fillId="0" borderId="1" xfId="0" applyFont="1" applyFill="1" applyBorder="1" applyProtection="1">
      <protection locked="0"/>
    </xf>
    <xf numFmtId="38" fontId="11" fillId="0" borderId="1" xfId="0" applyNumberFormat="1" applyFont="1" applyFill="1" applyBorder="1" applyProtection="1">
      <protection locked="0"/>
    </xf>
    <xf numFmtId="165" fontId="11" fillId="0" borderId="1" xfId="1" quotePrefix="1" applyNumberFormat="1" applyFont="1" applyFill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</cellXfs>
  <cellStyles count="43">
    <cellStyle name="Comma" xfId="1" builtinId="3"/>
    <cellStyle name="Comma 10 10" xfId="9" xr:uid="{00000000-0005-0000-0000-000001000000}"/>
    <cellStyle name="Comma 2" xfId="14" xr:uid="{00000000-0005-0000-0000-000002000000}"/>
    <cellStyle name="Comma 96" xfId="40" xr:uid="{00000000-0005-0000-0000-000003000000}"/>
    <cellStyle name="Comma 97" xfId="41" xr:uid="{00000000-0005-0000-0000-000004000000}"/>
    <cellStyle name="Hyperlink" xfId="2" builtinId="8"/>
    <cellStyle name="Normal" xfId="0" builtinId="0"/>
    <cellStyle name="Normal 10 2 3" xfId="34" xr:uid="{00000000-0005-0000-0000-000007000000}"/>
    <cellStyle name="Normal 101" xfId="33" xr:uid="{00000000-0005-0000-0000-000008000000}"/>
    <cellStyle name="Normal 11" xfId="4" xr:uid="{00000000-0005-0000-0000-000009000000}"/>
    <cellStyle name="Normal 143" xfId="35" xr:uid="{00000000-0005-0000-0000-00000A000000}"/>
    <cellStyle name="Normal 144" xfId="36" xr:uid="{00000000-0005-0000-0000-00000B000000}"/>
    <cellStyle name="Normal 145" xfId="37" xr:uid="{00000000-0005-0000-0000-00000C000000}"/>
    <cellStyle name="Normal 146" xfId="38" xr:uid="{00000000-0005-0000-0000-00000D000000}"/>
    <cellStyle name="Normal 147" xfId="39" xr:uid="{00000000-0005-0000-0000-00000E000000}"/>
    <cellStyle name="Normal 557" xfId="6" xr:uid="{00000000-0005-0000-0000-00000F000000}"/>
    <cellStyle name="Normal 561" xfId="7" xr:uid="{00000000-0005-0000-0000-000010000000}"/>
    <cellStyle name="Normal 568" xfId="8" xr:uid="{00000000-0005-0000-0000-000011000000}"/>
    <cellStyle name="Normal 576" xfId="10" xr:uid="{00000000-0005-0000-0000-000012000000}"/>
    <cellStyle name="Normal 6_Balance Sheet Puget Sound" xfId="42" xr:uid="{00000000-0005-0000-0000-000013000000}"/>
    <cellStyle name="Normal 69" xfId="11" xr:uid="{00000000-0005-0000-0000-000014000000}"/>
    <cellStyle name="Normal 70" xfId="12" xr:uid="{00000000-0005-0000-0000-000015000000}"/>
    <cellStyle name="Normal 71" xfId="13" xr:uid="{00000000-0005-0000-0000-000016000000}"/>
    <cellStyle name="Normal 72" xfId="16" xr:uid="{00000000-0005-0000-0000-000017000000}"/>
    <cellStyle name="Normal 73" xfId="17" xr:uid="{00000000-0005-0000-0000-000018000000}"/>
    <cellStyle name="Normal 74" xfId="18" xr:uid="{00000000-0005-0000-0000-000019000000}"/>
    <cellStyle name="Normal 75" xfId="15" xr:uid="{00000000-0005-0000-0000-00001A000000}"/>
    <cellStyle name="Normal 76" xfId="19" xr:uid="{00000000-0005-0000-0000-00001B000000}"/>
    <cellStyle name="Normal 77" xfId="20" xr:uid="{00000000-0005-0000-0000-00001C000000}"/>
    <cellStyle name="Normal 78" xfId="21" xr:uid="{00000000-0005-0000-0000-00001D000000}"/>
    <cellStyle name="Normal 79" xfId="22" xr:uid="{00000000-0005-0000-0000-00001E000000}"/>
    <cellStyle name="Normal 80" xfId="23" xr:uid="{00000000-0005-0000-0000-00001F000000}"/>
    <cellStyle name="Normal 82" xfId="24" xr:uid="{00000000-0005-0000-0000-000020000000}"/>
    <cellStyle name="Normal 84" xfId="25" xr:uid="{00000000-0005-0000-0000-000021000000}"/>
    <cellStyle name="Normal 85" xfId="26" xr:uid="{00000000-0005-0000-0000-000022000000}"/>
    <cellStyle name="Normal 87" xfId="27" xr:uid="{00000000-0005-0000-0000-000023000000}"/>
    <cellStyle name="Normal 88" xfId="28" xr:uid="{00000000-0005-0000-0000-000024000000}"/>
    <cellStyle name="Normal 89" xfId="29" xr:uid="{00000000-0005-0000-0000-000025000000}"/>
    <cellStyle name="Normal 90" xfId="30" xr:uid="{00000000-0005-0000-0000-000026000000}"/>
    <cellStyle name="Normal 92" xfId="32" xr:uid="{00000000-0005-0000-0000-000027000000}"/>
    <cellStyle name="Normal 94" xfId="31" xr:uid="{00000000-0005-0000-0000-000028000000}"/>
    <cellStyle name="Percent" xfId="3" builtinId="5"/>
    <cellStyle name="Percent 460" xfId="5" xr:uid="{00000000-0005-0000-0000-00002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73" transitionEvaluation="1" transitionEntry="1" codeName="Sheet1">
    <pageSetUpPr autoPageBreaks="0" fitToPage="1"/>
  </sheetPr>
  <dimension ref="A1:CF817"/>
  <sheetViews>
    <sheetView showGridLines="0" tabSelected="1" topLeftCell="A73" zoomScale="85" zoomScaleNormal="85" workbookViewId="0">
      <pane xSplit="2" topLeftCell="C1" activePane="topRight" state="frozen"/>
      <selection activeCell="A44" sqref="A44"/>
      <selection pane="topRight" activeCell="C82" sqref="C8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80" width="11.75" style="180" customWidth="1"/>
    <col min="81" max="16384" width="11.75" style="180"/>
  </cols>
  <sheetData>
    <row r="1" spans="1:6" ht="12.75" customHeight="1" x14ac:dyDescent="0.3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3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35">
      <c r="A3" s="198"/>
      <c r="C3" s="234"/>
    </row>
    <row r="4" spans="1:6" ht="12.75" customHeight="1" x14ac:dyDescent="0.35">
      <c r="C4" s="234"/>
    </row>
    <row r="5" spans="1:6" ht="12.75" customHeight="1" x14ac:dyDescent="0.35">
      <c r="A5" s="198" t="s">
        <v>1258</v>
      </c>
      <c r="C5" s="234"/>
    </row>
    <row r="6" spans="1:6" ht="12.75" customHeight="1" x14ac:dyDescent="0.35">
      <c r="A6" s="198" t="s">
        <v>0</v>
      </c>
      <c r="C6" s="234"/>
    </row>
    <row r="7" spans="1:6" ht="12.75" customHeight="1" x14ac:dyDescent="0.35">
      <c r="A7" s="198" t="s">
        <v>1</v>
      </c>
      <c r="C7" s="234"/>
    </row>
    <row r="8" spans="1:6" ht="12.75" customHeight="1" x14ac:dyDescent="0.35">
      <c r="C8" s="234"/>
    </row>
    <row r="9" spans="1:6" ht="12.75" customHeight="1" x14ac:dyDescent="0.35">
      <c r="C9" s="234"/>
    </row>
    <row r="10" spans="1:6" ht="12.75" customHeight="1" x14ac:dyDescent="0.35">
      <c r="A10" s="197" t="s">
        <v>1228</v>
      </c>
      <c r="C10" s="234"/>
    </row>
    <row r="11" spans="1:6" ht="12.75" customHeight="1" x14ac:dyDescent="0.35">
      <c r="A11" s="197" t="s">
        <v>1231</v>
      </c>
      <c r="C11" s="234"/>
    </row>
    <row r="12" spans="1:6" ht="12.75" customHeight="1" x14ac:dyDescent="0.35">
      <c r="C12" s="234"/>
    </row>
    <row r="13" spans="1:6" ht="12.75" customHeight="1" x14ac:dyDescent="0.35">
      <c r="C13" s="234"/>
    </row>
    <row r="14" spans="1:6" ht="12.75" customHeight="1" x14ac:dyDescent="0.35">
      <c r="A14" s="198" t="s">
        <v>2</v>
      </c>
      <c r="C14" s="234"/>
    </row>
    <row r="15" spans="1:6" ht="12.75" customHeight="1" x14ac:dyDescent="0.35">
      <c r="A15" s="198"/>
      <c r="C15" s="234"/>
    </row>
    <row r="16" spans="1:6" ht="12.75" customHeight="1" x14ac:dyDescent="0.35">
      <c r="A16" s="180" t="s">
        <v>1260</v>
      </c>
      <c r="C16" s="234"/>
      <c r="F16" s="280" t="s">
        <v>1259</v>
      </c>
    </row>
    <row r="17" spans="1:6" ht="12.75" customHeight="1" x14ac:dyDescent="0.35">
      <c r="A17" s="180" t="s">
        <v>1230</v>
      </c>
      <c r="C17" s="280" t="s">
        <v>1259</v>
      </c>
    </row>
    <row r="18" spans="1:6" ht="12.75" customHeight="1" x14ac:dyDescent="0.35">
      <c r="A18" s="227"/>
      <c r="C18" s="234"/>
    </row>
    <row r="19" spans="1:6" ht="12.75" customHeight="1" x14ac:dyDescent="0.35">
      <c r="C19" s="234"/>
    </row>
    <row r="20" spans="1:6" ht="12.75" customHeight="1" x14ac:dyDescent="0.35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35">
      <c r="A21" s="198"/>
      <c r="C21" s="234"/>
    </row>
    <row r="22" spans="1:6" ht="12.65" customHeight="1" x14ac:dyDescent="0.35">
      <c r="A22" s="235" t="s">
        <v>1254</v>
      </c>
      <c r="B22" s="236"/>
      <c r="C22" s="237"/>
      <c r="D22" s="235"/>
      <c r="E22" s="235"/>
    </row>
    <row r="23" spans="1:6" ht="12.65" customHeight="1" x14ac:dyDescent="0.35">
      <c r="B23" s="198"/>
      <c r="C23" s="234"/>
    </row>
    <row r="24" spans="1:6" ht="12.65" customHeight="1" x14ac:dyDescent="0.35">
      <c r="A24" s="238" t="s">
        <v>3</v>
      </c>
      <c r="C24" s="234"/>
    </row>
    <row r="25" spans="1:6" ht="12.65" customHeight="1" x14ac:dyDescent="0.35">
      <c r="A25" s="197" t="s">
        <v>1235</v>
      </c>
      <c r="C25" s="234"/>
    </row>
    <row r="26" spans="1:6" ht="12.65" customHeight="1" x14ac:dyDescent="0.35">
      <c r="A26" s="198" t="s">
        <v>4</v>
      </c>
      <c r="C26" s="234"/>
    </row>
    <row r="27" spans="1:6" ht="12.65" customHeight="1" x14ac:dyDescent="0.35">
      <c r="A27" s="197" t="s">
        <v>1236</v>
      </c>
      <c r="C27" s="234"/>
    </row>
    <row r="28" spans="1:6" ht="12.65" customHeight="1" x14ac:dyDescent="0.35">
      <c r="A28" s="198" t="s">
        <v>5</v>
      </c>
      <c r="C28" s="234"/>
    </row>
    <row r="29" spans="1:6" ht="12.65" customHeight="1" x14ac:dyDescent="0.35">
      <c r="A29" s="197"/>
      <c r="C29" s="234"/>
    </row>
    <row r="30" spans="1:6" ht="12.65" customHeight="1" x14ac:dyDescent="0.35">
      <c r="A30" s="180" t="s">
        <v>6</v>
      </c>
      <c r="C30" s="234"/>
    </row>
    <row r="31" spans="1:6" ht="12.65" customHeight="1" x14ac:dyDescent="0.35">
      <c r="A31" s="198" t="s">
        <v>7</v>
      </c>
      <c r="C31" s="234"/>
    </row>
    <row r="32" spans="1:6" ht="12.65" customHeight="1" x14ac:dyDescent="0.35">
      <c r="A32" s="198" t="s">
        <v>8</v>
      </c>
      <c r="C32" s="234"/>
    </row>
    <row r="33" spans="1:83" ht="12.65" customHeight="1" x14ac:dyDescent="0.35">
      <c r="A33" s="197" t="s">
        <v>1237</v>
      </c>
      <c r="C33" s="234"/>
    </row>
    <row r="34" spans="1:83" ht="12.65" customHeight="1" x14ac:dyDescent="0.35">
      <c r="A34" s="198" t="s">
        <v>9</v>
      </c>
      <c r="C34" s="234"/>
    </row>
    <row r="35" spans="1:83" ht="12.65" customHeight="1" x14ac:dyDescent="0.35">
      <c r="A35" s="198"/>
      <c r="C35" s="234"/>
    </row>
    <row r="36" spans="1:83" ht="12.65" customHeight="1" x14ac:dyDescent="0.35">
      <c r="A36" s="197" t="s">
        <v>1238</v>
      </c>
      <c r="C36" s="234"/>
    </row>
    <row r="37" spans="1:83" ht="12.65" customHeight="1" x14ac:dyDescent="0.35">
      <c r="A37" s="198" t="s">
        <v>1229</v>
      </c>
      <c r="C37" s="234"/>
    </row>
    <row r="38" spans="1:83" ht="12" customHeight="1" x14ac:dyDescent="0.35">
      <c r="A38" s="197"/>
      <c r="C38" s="234"/>
    </row>
    <row r="39" spans="1:83" ht="12.65" customHeight="1" x14ac:dyDescent="0.35">
      <c r="A39" s="198"/>
      <c r="C39" s="234"/>
    </row>
    <row r="40" spans="1:83" ht="12" customHeight="1" x14ac:dyDescent="0.35">
      <c r="A40" s="198"/>
      <c r="C40" s="234"/>
    </row>
    <row r="41" spans="1:83" ht="12" customHeight="1" x14ac:dyDescent="0.35">
      <c r="A41" s="198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35">
      <c r="A42" s="198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35">
      <c r="A43" s="198"/>
      <c r="C43" s="234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4"/>
      <c r="CE47" s="194">
        <f>SUM(C47:CC47)</f>
        <v>0</v>
      </c>
    </row>
    <row r="48" spans="1:83" ht="12.65" customHeight="1" x14ac:dyDescent="0.35">
      <c r="A48" s="175" t="s">
        <v>205</v>
      </c>
      <c r="B48" s="183">
        <f>2458005+4434316</f>
        <v>6892321</v>
      </c>
      <c r="C48" s="243">
        <f>ROUND(((B48/CE61)*C61),0)</f>
        <v>263169</v>
      </c>
      <c r="D48" s="243">
        <f>ROUND(((B48/CE61)*D61),0)</f>
        <v>0</v>
      </c>
      <c r="E48" s="194">
        <f>ROUND(((B48/CE61)*E61),0)</f>
        <v>618148</v>
      </c>
      <c r="F48" s="194">
        <f>ROUND(((B48/CE61)*F61),0)</f>
        <v>0</v>
      </c>
      <c r="G48" s="194">
        <f>ROUND(((B48/CE61)*G61),0)</f>
        <v>52831</v>
      </c>
      <c r="H48" s="194">
        <f>ROUND(((B48/CE61)*H61),0)</f>
        <v>0</v>
      </c>
      <c r="I48" s="194">
        <f>ROUND(((B48/CE61)*I61),0)</f>
        <v>656657</v>
      </c>
      <c r="J48" s="194">
        <f>ROUND(((B48/CE61)*J61),0)</f>
        <v>0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0</v>
      </c>
      <c r="N48" s="194">
        <f>ROUND(((B48/CE61)*N61),0)</f>
        <v>434957</v>
      </c>
      <c r="O48" s="194">
        <f>ROUND(((B48/CE61)*O61),0)</f>
        <v>0</v>
      </c>
      <c r="P48" s="194">
        <f>ROUND(((B48/CE61)*P61),0)</f>
        <v>305112</v>
      </c>
      <c r="Q48" s="194">
        <f>ROUND(((B48/CE61)*Q61),0)</f>
        <v>95320</v>
      </c>
      <c r="R48" s="194">
        <f>ROUND(((B48/CE61)*R61),0)</f>
        <v>0</v>
      </c>
      <c r="S48" s="194">
        <f>ROUND(((B48/CE61)*S61),0)</f>
        <v>29976</v>
      </c>
      <c r="T48" s="194">
        <f>ROUND(((B48/CE61)*T61),0)</f>
        <v>0</v>
      </c>
      <c r="U48" s="194">
        <f>ROUND(((B48/CE61)*U61),0)</f>
        <v>302185</v>
      </c>
      <c r="V48" s="194">
        <f>ROUND(((B48/CE61)*V61),0)</f>
        <v>0</v>
      </c>
      <c r="W48" s="194">
        <f>ROUND(((B48/CE61)*W61),0)</f>
        <v>69825</v>
      </c>
      <c r="X48" s="194">
        <f>ROUND(((B48/CE61)*X61),0)</f>
        <v>181706</v>
      </c>
      <c r="Y48" s="194">
        <f>ROUND(((B48/CE61)*Y61),0)</f>
        <v>177919</v>
      </c>
      <c r="Z48" s="194">
        <f>ROUND(((B48/CE61)*Z61),0)</f>
        <v>0</v>
      </c>
      <c r="AA48" s="194">
        <f>ROUND(((B48/CE61)*AA61),0)</f>
        <v>0</v>
      </c>
      <c r="AB48" s="194">
        <f>ROUND(((B48/CE61)*AB61),0)</f>
        <v>220416</v>
      </c>
      <c r="AC48" s="194">
        <f>ROUND(((B48/CE61)*AC61),0)</f>
        <v>94999</v>
      </c>
      <c r="AD48" s="194">
        <f>ROUND(((B48/CE61)*AD61),0)</f>
        <v>0</v>
      </c>
      <c r="AE48" s="194">
        <f>ROUND(((B48/CE61)*AE61),0)</f>
        <v>129134</v>
      </c>
      <c r="AF48" s="194">
        <f>ROUND(((B48/CE61)*AF61),0)</f>
        <v>0</v>
      </c>
      <c r="AG48" s="194">
        <f>ROUND(((B48/CE61)*AG61),0)</f>
        <v>617285</v>
      </c>
      <c r="AH48" s="194">
        <f>ROUND(((B48/CE61)*AH61),0)</f>
        <v>0</v>
      </c>
      <c r="AI48" s="194">
        <f>ROUND(((B48/CE61)*AI61),0)</f>
        <v>0</v>
      </c>
      <c r="AJ48" s="194">
        <f>ROUND(((B48/CE61)*AJ61),0)</f>
        <v>301952</v>
      </c>
      <c r="AK48" s="194">
        <f>ROUND(((B48/CE61)*AK61),0)</f>
        <v>0</v>
      </c>
      <c r="AL48" s="194">
        <f>ROUND(((B48/CE61)*AL61),0)</f>
        <v>0</v>
      </c>
      <c r="AM48" s="194">
        <f>ROUND(((B48/CE61)*AM61),0)</f>
        <v>0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0</v>
      </c>
      <c r="AQ48" s="194">
        <f>ROUND(((B48/CE61)*AQ61),0)</f>
        <v>0</v>
      </c>
      <c r="AR48" s="194">
        <f>ROUND(((B48/CE61)*AR61),0)</f>
        <v>0</v>
      </c>
      <c r="AS48" s="194">
        <f>ROUND(((B48/CE61)*AS61),0)</f>
        <v>0</v>
      </c>
      <c r="AT48" s="194">
        <f>ROUND(((B48/CE61)*AT61),0)</f>
        <v>0</v>
      </c>
      <c r="AU48" s="194">
        <f>ROUND(((B48/CE61)*AU61),0)</f>
        <v>0</v>
      </c>
      <c r="AV48" s="194">
        <f>ROUND(((B48/CE61)*AV61),0)</f>
        <v>0</v>
      </c>
      <c r="AW48" s="194">
        <f>ROUND(((B48/CE61)*AW61),0)</f>
        <v>0</v>
      </c>
      <c r="AX48" s="194">
        <f>ROUND(((B48/CE61)*AX61),0)</f>
        <v>0</v>
      </c>
      <c r="AY48" s="194">
        <f>ROUND(((B48/CE61)*AY61),0)</f>
        <v>0</v>
      </c>
      <c r="AZ48" s="194">
        <f>ROUND(((B48/CE61)*AZ61),0)</f>
        <v>202653</v>
      </c>
      <c r="BA48" s="194">
        <f>ROUND(((B48/CE61)*BA61),0)</f>
        <v>0</v>
      </c>
      <c r="BB48" s="194">
        <f>ROUND(((B48/CE61)*BB61),0)</f>
        <v>0</v>
      </c>
      <c r="BC48" s="194">
        <f>ROUND(((B48/CE61)*BC61),0)</f>
        <v>0</v>
      </c>
      <c r="BD48" s="194">
        <f>ROUND(((B48/CE61)*BD61),0)</f>
        <v>54005</v>
      </c>
      <c r="BE48" s="194">
        <f>ROUND(((B48/CE61)*BE61),0)</f>
        <v>147417</v>
      </c>
      <c r="BF48" s="194">
        <f>ROUND(((B48/CE61)*BF61),0)</f>
        <v>193832</v>
      </c>
      <c r="BG48" s="194">
        <f>ROUND(((B48/CE61)*BG61),0)</f>
        <v>0</v>
      </c>
      <c r="BH48" s="194">
        <f>ROUND(((B48/CE61)*BH61),0)</f>
        <v>144345</v>
      </c>
      <c r="BI48" s="194">
        <f>ROUND(((B48/CE61)*BI61),0)</f>
        <v>337117</v>
      </c>
      <c r="BJ48" s="194">
        <f>ROUND(((B48/CE61)*BJ61),0)</f>
        <v>66211</v>
      </c>
      <c r="BK48" s="194">
        <f>ROUND(((B48/CE61)*BK61),0)</f>
        <v>110131</v>
      </c>
      <c r="BL48" s="194">
        <f>ROUND(((B48/CE61)*BL61),0)</f>
        <v>148581</v>
      </c>
      <c r="BM48" s="194">
        <f>ROUND(((B48/CE61)*BM61),0)</f>
        <v>0</v>
      </c>
      <c r="BN48" s="194">
        <f>ROUND(((B48/CE61)*BN61),0)</f>
        <v>454243</v>
      </c>
      <c r="BO48" s="194">
        <f>ROUND(((B48/CE61)*BO61),0)</f>
        <v>9049</v>
      </c>
      <c r="BP48" s="194">
        <f>ROUND(((B48/CE61)*BP61),0)</f>
        <v>0</v>
      </c>
      <c r="BQ48" s="194">
        <f>ROUND(((B48/CE61)*BQ61),0)</f>
        <v>0</v>
      </c>
      <c r="BR48" s="194">
        <f>ROUND(((B48/CE61)*BR61),0)</f>
        <v>63772</v>
      </c>
      <c r="BS48" s="194">
        <f>ROUND(((B48/CE61)*BS61),0)</f>
        <v>0</v>
      </c>
      <c r="BT48" s="194">
        <f>ROUND(((B48/CE61)*BT61),0)</f>
        <v>0</v>
      </c>
      <c r="BU48" s="194">
        <f>ROUND(((B48/CE61)*BU61),0)</f>
        <v>0</v>
      </c>
      <c r="BV48" s="194">
        <f>ROUND(((B48/CE61)*BV61),0)</f>
        <v>147796</v>
      </c>
      <c r="BW48" s="194">
        <f>ROUND(((B48/CE61)*BW61),0)</f>
        <v>19269</v>
      </c>
      <c r="BX48" s="194">
        <f>ROUND(((B48/CE61)*BX61),0)</f>
        <v>165246</v>
      </c>
      <c r="BY48" s="194">
        <f>ROUND(((B48/CE61)*BY61),0)</f>
        <v>77064</v>
      </c>
      <c r="BZ48" s="194">
        <f>ROUND(((B48/CE61)*BZ61),0)</f>
        <v>0</v>
      </c>
      <c r="CA48" s="194">
        <f>ROUND(((B48/CE61)*CA61),0)</f>
        <v>0</v>
      </c>
      <c r="CB48" s="194">
        <f>ROUND(((B48/CE61)*CB61),0)</f>
        <v>0</v>
      </c>
      <c r="CC48" s="194">
        <f>ROUND(((B48/CE61)*CC61),0)</f>
        <v>0</v>
      </c>
      <c r="CD48" s="194"/>
      <c r="CE48" s="194">
        <f>SUM(C48:CD48)</f>
        <v>6892322</v>
      </c>
    </row>
    <row r="49" spans="1:84" ht="12.65" customHeight="1" x14ac:dyDescent="0.35">
      <c r="A49" s="175" t="s">
        <v>206</v>
      </c>
      <c r="B49" s="194">
        <f>B47+B48</f>
        <v>6892321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4" ht="12.65" customHeight="1" x14ac:dyDescent="0.35">
      <c r="A50" s="175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4" ht="12.65" customHeight="1" x14ac:dyDescent="0.35">
      <c r="A51" s="171" t="s">
        <v>207</v>
      </c>
      <c r="B51" s="184"/>
      <c r="C51" s="184">
        <v>1855</v>
      </c>
      <c r="D51" s="184"/>
      <c r="E51" s="184">
        <v>24510</v>
      </c>
      <c r="F51" s="184"/>
      <c r="G51" s="184"/>
      <c r="H51" s="184"/>
      <c r="I51" s="184">
        <v>973</v>
      </c>
      <c r="J51" s="184"/>
      <c r="K51" s="184"/>
      <c r="L51" s="184"/>
      <c r="M51" s="184"/>
      <c r="N51" s="184"/>
      <c r="O51" s="184"/>
      <c r="P51" s="184">
        <v>4488</v>
      </c>
      <c r="Q51" s="184"/>
      <c r="R51" s="184"/>
      <c r="S51" s="184"/>
      <c r="T51" s="184"/>
      <c r="U51" s="184">
        <v>14443</v>
      </c>
      <c r="V51" s="184"/>
      <c r="W51" s="184">
        <v>215706</v>
      </c>
      <c r="X51" s="184">
        <v>79456</v>
      </c>
      <c r="Y51" s="184">
        <v>19226</v>
      </c>
      <c r="Z51" s="184"/>
      <c r="AA51" s="184"/>
      <c r="AB51" s="184"/>
      <c r="AC51" s="184">
        <v>1855</v>
      </c>
      <c r="AD51" s="184"/>
      <c r="AE51" s="184"/>
      <c r="AF51" s="184"/>
      <c r="AG51" s="184">
        <v>1916</v>
      </c>
      <c r="AH51" s="184"/>
      <c r="AI51" s="184"/>
      <c r="AJ51" s="184">
        <v>1855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>
        <v>289568</v>
      </c>
      <c r="BF51" s="184"/>
      <c r="BG51" s="184"/>
      <c r="BH51" s="184">
        <v>86059</v>
      </c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>
        <v>1855</v>
      </c>
      <c r="CB51" s="184"/>
      <c r="CC51" s="184"/>
      <c r="CD51" s="194"/>
      <c r="CE51" s="194">
        <f>SUM(C51:CD51)</f>
        <v>743765</v>
      </c>
    </row>
    <row r="52" spans="1:84" ht="12.65" customHeight="1" x14ac:dyDescent="0.35">
      <c r="A52" s="171" t="s">
        <v>208</v>
      </c>
      <c r="B52" s="285">
        <f>1675064+1</f>
        <v>1675065</v>
      </c>
      <c r="C52" s="194">
        <f>ROUND((B52/(CE76+CF76)*C76),0)</f>
        <v>44061</v>
      </c>
      <c r="D52" s="194">
        <f>ROUND((B52/(CE76+CF76)*D76),0)</f>
        <v>0</v>
      </c>
      <c r="E52" s="194">
        <f>ROUND((B52/(CE76+CF76)*E76),0)</f>
        <v>222709</v>
      </c>
      <c r="F52" s="194">
        <f>ROUND((B52/(CE76+CF76)*F76),0)</f>
        <v>0</v>
      </c>
      <c r="G52" s="194">
        <f>ROUND((B52/(CE76+CF76)*G76),0)</f>
        <v>0</v>
      </c>
      <c r="H52" s="194">
        <f>ROUND((B52/(CE76+CF76)*H76),0)</f>
        <v>0</v>
      </c>
      <c r="I52" s="194">
        <f>ROUND((B52/(CE76+CF76)*I76),0)</f>
        <v>0</v>
      </c>
      <c r="J52" s="194">
        <f>ROUND((B52/(CE76+CF76)*J76),0)</f>
        <v>0</v>
      </c>
      <c r="K52" s="194">
        <f>ROUND((B52/(CE76+CF76)*K76),0)</f>
        <v>0</v>
      </c>
      <c r="L52" s="194">
        <f>ROUND((B52/(CE76+CF76)*L76),0)</f>
        <v>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121068</v>
      </c>
      <c r="P52" s="194">
        <f>ROUND((B52/(CE76+CF76)*P76),0)</f>
        <v>108591</v>
      </c>
      <c r="Q52" s="194">
        <f>ROUND((B52/(CE76+CF76)*Q76),0)</f>
        <v>12017</v>
      </c>
      <c r="R52" s="194">
        <f>ROUND((B52/(CE76+CF76)*R76),0)</f>
        <v>3645</v>
      </c>
      <c r="S52" s="194">
        <f>ROUND((B52/(CE76+CF76)*S76),0)</f>
        <v>0</v>
      </c>
      <c r="T52" s="194">
        <f>ROUND((B52/(CE76+CF76)*T76),0)</f>
        <v>0</v>
      </c>
      <c r="U52" s="194">
        <f>ROUND((B52/(CE76+CF76)*U76),0)</f>
        <v>25636</v>
      </c>
      <c r="V52" s="194">
        <f>ROUND((B52/(CE76+CF76)*V76),0)</f>
        <v>0</v>
      </c>
      <c r="W52" s="194">
        <f>ROUND((B52/(CE76+CF76)*W76),0)</f>
        <v>14540</v>
      </c>
      <c r="X52" s="194">
        <f>ROUND((B52/(CE76+CF76)*X76),0)</f>
        <v>11095</v>
      </c>
      <c r="Y52" s="194">
        <f>ROUND((B52/(CE76+CF76)*Y76),0)</f>
        <v>71659</v>
      </c>
      <c r="Z52" s="194">
        <f>ROUND((B52/(CE76+CF76)*Z76),0)</f>
        <v>0</v>
      </c>
      <c r="AA52" s="194">
        <f>ROUND((B52/(CE76+CF76)*AA76),0)</f>
        <v>8552</v>
      </c>
      <c r="AB52" s="194">
        <f>ROUND((B52/(CE76+CF76)*AB76),0)</f>
        <v>16243</v>
      </c>
      <c r="AC52" s="194">
        <f>ROUND((B52/(CE76+CF76)*AC76),0)</f>
        <v>15321</v>
      </c>
      <c r="AD52" s="194">
        <f>ROUND((B52/(CE76+CF76)*AD76),0)</f>
        <v>0</v>
      </c>
      <c r="AE52" s="194">
        <f>ROUND((B52/(CE76+CF76)*AE76),0)</f>
        <v>5207</v>
      </c>
      <c r="AF52" s="194">
        <f>ROUND((B52/(CE76+CF76)*AF76),0)</f>
        <v>0</v>
      </c>
      <c r="AG52" s="194">
        <f>ROUND((B52/(CE76+CF76)*AG76),0)</f>
        <v>156217</v>
      </c>
      <c r="AH52" s="194">
        <f>ROUND((B52/(CE76+CF76)*AH76),0)</f>
        <v>0</v>
      </c>
      <c r="AI52" s="194">
        <f>ROUND((B52/(CE76+CF76)*AI76),0)</f>
        <v>0</v>
      </c>
      <c r="AJ52" s="194">
        <f>ROUND((B52/(CE76+CF76)*AJ76),0)</f>
        <v>168634</v>
      </c>
      <c r="AK52" s="194">
        <f>ROUND((B52/(CE76+CF76)*AK76),0)</f>
        <v>0</v>
      </c>
      <c r="AL52" s="194">
        <f>ROUND((B52/(CE76+CF76)*AL76),0)</f>
        <v>0</v>
      </c>
      <c r="AM52" s="194">
        <f>ROUND((B52/(CE76+CF76)*AM76),0)</f>
        <v>0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0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0</v>
      </c>
      <c r="AU52" s="194">
        <f>ROUND((B52/(CE76+CF76)*AU76),0)</f>
        <v>0</v>
      </c>
      <c r="AV52" s="194">
        <f>ROUND((B52/(CE76+CF76)*AV76),0)</f>
        <v>0</v>
      </c>
      <c r="AW52" s="194">
        <f>ROUND((B52/(CE76+CF76)*AW76),0)</f>
        <v>0</v>
      </c>
      <c r="AX52" s="194">
        <f>ROUND((B52/(CE76+CF76)*AX76),0)</f>
        <v>0</v>
      </c>
      <c r="AY52" s="194">
        <f>ROUND((B52/(CE76+CF76)*AY76),0)</f>
        <v>0</v>
      </c>
      <c r="AZ52" s="194">
        <f>ROUND((B52/(CE76+CF76)*AZ76),0)</f>
        <v>88843</v>
      </c>
      <c r="BA52" s="194">
        <f>ROUND((B52/(CE76+CF76)*BA76),0)</f>
        <v>8271</v>
      </c>
      <c r="BB52" s="194">
        <f>ROUND((B52/(CE76+CF76)*BB76),0)</f>
        <v>0</v>
      </c>
      <c r="BC52" s="194">
        <f>ROUND((B52/(CE76+CF76)*BC76),0)</f>
        <v>0</v>
      </c>
      <c r="BD52" s="194">
        <f>ROUND((B52/(CE76+CF76)*BD76),0)</f>
        <v>64490</v>
      </c>
      <c r="BE52" s="194">
        <f>ROUND((B52/(CE76+CF76)*BE76),0)</f>
        <v>209811</v>
      </c>
      <c r="BF52" s="194">
        <f>ROUND((B52/(CE76+CF76)*BF76),0)</f>
        <v>7711</v>
      </c>
      <c r="BG52" s="194">
        <f>ROUND((B52/(CE76+CF76)*BG76),0)</f>
        <v>0</v>
      </c>
      <c r="BH52" s="194">
        <f>ROUND((B52/(CE76+CF76)*BH76),0)</f>
        <v>26036</v>
      </c>
      <c r="BI52" s="194">
        <f>ROUND((B52/(CE76+CF76)*BI76),0)</f>
        <v>0</v>
      </c>
      <c r="BJ52" s="194">
        <f>ROUND((B52/(CE76+CF76)*BJ76),0)</f>
        <v>0</v>
      </c>
      <c r="BK52" s="194">
        <f>ROUND((B52/(CE76+CF76)*BK76),0)</f>
        <v>24033</v>
      </c>
      <c r="BL52" s="194">
        <f>ROUND((B52/(CE76+CF76)*BL76),0)</f>
        <v>8412</v>
      </c>
      <c r="BM52" s="194">
        <f>ROUND((B52/(CE76+CF76)*BM76),0)</f>
        <v>0</v>
      </c>
      <c r="BN52" s="194">
        <f>ROUND((B52/(CE76+CF76)*BN76),0)</f>
        <v>116722</v>
      </c>
      <c r="BO52" s="194">
        <f>ROUND((B52/(CE76+CF76)*BO76),0)</f>
        <v>0</v>
      </c>
      <c r="BP52" s="194">
        <f>ROUND((B52/(CE76+CF76)*BP76),0)</f>
        <v>0</v>
      </c>
      <c r="BQ52" s="194">
        <f>ROUND((B52/(CE76+CF76)*BQ76),0)</f>
        <v>0</v>
      </c>
      <c r="BR52" s="194">
        <f>ROUND((B52/(CE76+CF76)*BR76),0)</f>
        <v>12017</v>
      </c>
      <c r="BS52" s="194">
        <f>ROUND((B52/(CE76+CF76)*BS76),0)</f>
        <v>0</v>
      </c>
      <c r="BT52" s="194">
        <f>ROUND((B52/(CE76+CF76)*BT76),0)</f>
        <v>0</v>
      </c>
      <c r="BU52" s="194">
        <f>ROUND((B52/(CE76+CF76)*BU76),0)</f>
        <v>0</v>
      </c>
      <c r="BV52" s="194">
        <f>ROUND((B52/(CE76+CF76)*BV76),0)</f>
        <v>54616</v>
      </c>
      <c r="BW52" s="194">
        <f>ROUND((B52/(CE76+CF76)*BW76),0)</f>
        <v>0</v>
      </c>
      <c r="BX52" s="194">
        <f>ROUND((B52/(CE76+CF76)*BX76),0)</f>
        <v>0</v>
      </c>
      <c r="BY52" s="194">
        <f>ROUND((B52/(CE76+CF76)*BY76),0)</f>
        <v>14961</v>
      </c>
      <c r="BZ52" s="194">
        <f>ROUND((B52/(CE76+CF76)*BZ76),0)</f>
        <v>0</v>
      </c>
      <c r="CA52" s="194">
        <f>ROUND((B52/(CE76+CF76)*CA76),0)</f>
        <v>0</v>
      </c>
      <c r="CB52" s="194">
        <f>ROUND((B52/(CE76+CF76)*CB76),0)</f>
        <v>0</v>
      </c>
      <c r="CC52" s="194">
        <f>ROUND((B52/(CE76+CF76)*CC76),0)</f>
        <v>33947</v>
      </c>
      <c r="CD52" s="194"/>
      <c r="CE52" s="194">
        <f>SUM(C52:CD52)</f>
        <v>1675065</v>
      </c>
    </row>
    <row r="53" spans="1:84" ht="12.65" customHeight="1" x14ac:dyDescent="0.35">
      <c r="A53" s="175" t="s">
        <v>206</v>
      </c>
      <c r="B53" s="194">
        <f>B51+B52</f>
        <v>1675065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4" ht="15.75" customHeight="1" x14ac:dyDescent="0.35">
      <c r="A54" s="175"/>
      <c r="B54" s="175"/>
      <c r="C54" s="190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5" customHeight="1" x14ac:dyDescent="0.35">
      <c r="A59" s="171" t="s">
        <v>233</v>
      </c>
      <c r="B59" s="175"/>
      <c r="C59" s="184">
        <f>5054-4428</f>
        <v>626</v>
      </c>
      <c r="D59" s="184"/>
      <c r="E59" s="184">
        <v>2441</v>
      </c>
      <c r="F59" s="184"/>
      <c r="G59" s="184">
        <v>4696</v>
      </c>
      <c r="H59" s="184"/>
      <c r="I59" s="184">
        <v>4428</v>
      </c>
      <c r="J59" s="184"/>
      <c r="K59" s="184"/>
      <c r="L59" s="184"/>
      <c r="M59" s="184"/>
      <c r="N59" s="184"/>
      <c r="O59" s="184"/>
      <c r="P59" s="185">
        <v>91268</v>
      </c>
      <c r="Q59" s="287"/>
      <c r="R59" s="185"/>
      <c r="S59" s="246"/>
      <c r="T59" s="246"/>
      <c r="U59" s="185">
        <v>114209</v>
      </c>
      <c r="V59" s="185">
        <v>3935</v>
      </c>
      <c r="W59" s="287"/>
      <c r="X59" s="287"/>
      <c r="Y59" s="185"/>
      <c r="Z59" s="185"/>
      <c r="AA59" s="185"/>
      <c r="AB59" s="246"/>
      <c r="AC59" s="185"/>
      <c r="AD59" s="185"/>
      <c r="AE59" s="185">
        <v>14470</v>
      </c>
      <c r="AF59" s="185"/>
      <c r="AG59" s="185">
        <v>13586</v>
      </c>
      <c r="AH59" s="185"/>
      <c r="AI59" s="185"/>
      <c r="AJ59" s="185">
        <v>931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6"/>
      <c r="AW59" s="246"/>
      <c r="AX59" s="246"/>
      <c r="AY59" s="287"/>
      <c r="AZ59" s="185">
        <v>79937</v>
      </c>
      <c r="BA59" s="246"/>
      <c r="BB59" s="246"/>
      <c r="BC59" s="246"/>
      <c r="BD59" s="246"/>
      <c r="BE59" s="185">
        <f>CE76</f>
        <v>83637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4"/>
    </row>
    <row r="60" spans="1:84" ht="12.65" customHeight="1" x14ac:dyDescent="0.35">
      <c r="A60" s="248" t="s">
        <v>234</v>
      </c>
      <c r="B60" s="175"/>
      <c r="C60" s="288">
        <v>8.44</v>
      </c>
      <c r="D60" s="286"/>
      <c r="E60" s="286">
        <v>25.38</v>
      </c>
      <c r="F60" s="222"/>
      <c r="G60" s="286">
        <v>1.5</v>
      </c>
      <c r="H60" s="186"/>
      <c r="I60" s="286">
        <v>29.7</v>
      </c>
      <c r="J60" s="222"/>
      <c r="K60" s="186"/>
      <c r="L60" s="186"/>
      <c r="M60" s="186"/>
      <c r="N60" s="286">
        <v>5.57</v>
      </c>
      <c r="O60" s="186"/>
      <c r="P60" s="289">
        <v>12.66</v>
      </c>
      <c r="Q60" s="289">
        <v>3.09</v>
      </c>
      <c r="R60" s="289"/>
      <c r="S60" s="220">
        <v>1.84</v>
      </c>
      <c r="T60" s="220"/>
      <c r="U60" s="289">
        <v>12.53</v>
      </c>
      <c r="V60" s="289"/>
      <c r="W60" s="289">
        <v>2.19</v>
      </c>
      <c r="X60" s="289">
        <v>7.73</v>
      </c>
      <c r="Y60" s="289">
        <v>4.34</v>
      </c>
      <c r="Z60" s="220"/>
      <c r="AA60" s="289">
        <v>2.35</v>
      </c>
      <c r="AB60" s="289">
        <v>7.02</v>
      </c>
      <c r="AC60" s="289">
        <v>4.09</v>
      </c>
      <c r="AD60" s="289"/>
      <c r="AE60" s="289">
        <v>6.31</v>
      </c>
      <c r="AF60" s="220"/>
      <c r="AG60" s="289">
        <v>23.98</v>
      </c>
      <c r="AH60" s="289"/>
      <c r="AI60" s="289"/>
      <c r="AJ60" s="220">
        <v>8.8699999999999992</v>
      </c>
      <c r="AK60" s="220"/>
      <c r="AL60" s="220"/>
      <c r="AM60" s="220"/>
      <c r="AN60" s="220"/>
      <c r="AO60" s="220"/>
      <c r="AP60" s="220"/>
      <c r="AQ60" s="220"/>
      <c r="AR60" s="220"/>
      <c r="AS60" s="220"/>
      <c r="AT60" s="220"/>
      <c r="AU60" s="220"/>
      <c r="AV60" s="289"/>
      <c r="AW60" s="220"/>
      <c r="AX60" s="220"/>
      <c r="AY60" s="289"/>
      <c r="AZ60" s="220">
        <v>14.92</v>
      </c>
      <c r="BA60" s="220"/>
      <c r="BB60" s="220"/>
      <c r="BC60" s="220"/>
      <c r="BD60" s="289">
        <v>2.3199999999999998</v>
      </c>
      <c r="BE60" s="289">
        <v>8.0399999999999991</v>
      </c>
      <c r="BF60" s="289">
        <v>15.36</v>
      </c>
      <c r="BG60" s="220"/>
      <c r="BH60" s="220">
        <v>5.97</v>
      </c>
      <c r="BI60" s="289">
        <v>2.4</v>
      </c>
      <c r="BJ60" s="289">
        <v>2.93</v>
      </c>
      <c r="BK60" s="289">
        <v>7.58</v>
      </c>
      <c r="BL60" s="289">
        <v>11.33</v>
      </c>
      <c r="BM60" s="289"/>
      <c r="BN60" s="289">
        <v>5.68</v>
      </c>
      <c r="BO60" s="220">
        <v>0.32</v>
      </c>
      <c r="BP60" s="289"/>
      <c r="BQ60" s="220"/>
      <c r="BR60" s="289">
        <v>2.2200000000000002</v>
      </c>
      <c r="BS60" s="220"/>
      <c r="BT60" s="220"/>
      <c r="BU60" s="220"/>
      <c r="BV60" s="289">
        <v>10.130000000000001</v>
      </c>
      <c r="BW60" s="289">
        <v>1.01</v>
      </c>
      <c r="BX60" s="220">
        <v>6.35</v>
      </c>
      <c r="BY60" s="289">
        <v>2.27</v>
      </c>
      <c r="BZ60" s="220"/>
      <c r="CA60" s="220"/>
      <c r="CB60" s="220"/>
      <c r="CC60" s="289"/>
      <c r="CD60" s="247" t="s">
        <v>221</v>
      </c>
      <c r="CE60" s="249">
        <f t="shared" ref="CE60:CE70" si="0">SUM(C60:CD60)</f>
        <v>266.42</v>
      </c>
    </row>
    <row r="61" spans="1:84" ht="12.65" customHeight="1" x14ac:dyDescent="0.35">
      <c r="A61" s="171" t="s">
        <v>235</v>
      </c>
      <c r="B61" s="175"/>
      <c r="C61" s="184">
        <v>923777</v>
      </c>
      <c r="D61" s="184"/>
      <c r="E61" s="184">
        <v>2169826</v>
      </c>
      <c r="F61" s="185"/>
      <c r="G61" s="184">
        <v>185447</v>
      </c>
      <c r="H61" s="184"/>
      <c r="I61" s="185">
        <v>2305001</v>
      </c>
      <c r="J61" s="185"/>
      <c r="K61" s="185"/>
      <c r="L61" s="185"/>
      <c r="M61" s="184"/>
      <c r="N61" s="184">
        <v>1526789</v>
      </c>
      <c r="O61" s="184"/>
      <c r="P61" s="185">
        <v>1071007</v>
      </c>
      <c r="Q61" s="185">
        <v>334593</v>
      </c>
      <c r="R61" s="185">
        <v>0</v>
      </c>
      <c r="S61" s="185">
        <v>105222</v>
      </c>
      <c r="T61" s="185"/>
      <c r="U61" s="185">
        <v>1060732</v>
      </c>
      <c r="V61" s="185"/>
      <c r="W61" s="185">
        <v>245101</v>
      </c>
      <c r="X61" s="185">
        <v>637824</v>
      </c>
      <c r="Y61" s="185">
        <v>624532</v>
      </c>
      <c r="Z61" s="185"/>
      <c r="AA61" s="185"/>
      <c r="AB61" s="185">
        <v>773706</v>
      </c>
      <c r="AC61" s="185">
        <v>333465</v>
      </c>
      <c r="AD61" s="185"/>
      <c r="AE61" s="185">
        <v>453286</v>
      </c>
      <c r="AF61" s="185"/>
      <c r="AG61" s="185">
        <v>2166799</v>
      </c>
      <c r="AH61" s="185"/>
      <c r="AI61" s="185"/>
      <c r="AJ61" s="185">
        <v>1059914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>
        <v>0</v>
      </c>
      <c r="AY61" s="185"/>
      <c r="AZ61" s="185">
        <v>711355</v>
      </c>
      <c r="BA61" s="185">
        <v>0</v>
      </c>
      <c r="BB61" s="185"/>
      <c r="BC61" s="185"/>
      <c r="BD61" s="185">
        <v>189569</v>
      </c>
      <c r="BE61" s="185">
        <v>517465</v>
      </c>
      <c r="BF61" s="185">
        <v>680390</v>
      </c>
      <c r="BG61" s="185"/>
      <c r="BH61" s="185">
        <v>506680</v>
      </c>
      <c r="BI61" s="185">
        <v>1183352</v>
      </c>
      <c r="BJ61" s="185">
        <v>232413</v>
      </c>
      <c r="BK61" s="185">
        <v>386582</v>
      </c>
      <c r="BL61" s="185">
        <v>521551</v>
      </c>
      <c r="BM61" s="185"/>
      <c r="BN61" s="185">
        <v>1594486</v>
      </c>
      <c r="BO61" s="185">
        <v>31763</v>
      </c>
      <c r="BP61" s="185"/>
      <c r="BQ61" s="185"/>
      <c r="BR61" s="185">
        <v>223852</v>
      </c>
      <c r="BS61" s="185"/>
      <c r="BT61" s="185"/>
      <c r="BU61" s="185"/>
      <c r="BV61" s="185">
        <v>518796</v>
      </c>
      <c r="BW61" s="185">
        <v>67639</v>
      </c>
      <c r="BX61" s="185">
        <v>580048</v>
      </c>
      <c r="BY61" s="185">
        <v>270509</v>
      </c>
      <c r="BZ61" s="185"/>
      <c r="CA61" s="185"/>
      <c r="CB61" s="185"/>
      <c r="CC61" s="185"/>
      <c r="CD61" s="247" t="s">
        <v>221</v>
      </c>
      <c r="CE61" s="194">
        <f t="shared" si="0"/>
        <v>24193471</v>
      </c>
      <c r="CF61" s="250"/>
    </row>
    <row r="62" spans="1:84" ht="12.65" customHeight="1" x14ac:dyDescent="0.35">
      <c r="A62" s="171" t="s">
        <v>3</v>
      </c>
      <c r="B62" s="175"/>
      <c r="C62" s="194">
        <f t="shared" ref="C62:BM62" si="1">ROUND(C47+C48,0)</f>
        <v>263169</v>
      </c>
      <c r="D62" s="194">
        <f t="shared" si="1"/>
        <v>0</v>
      </c>
      <c r="E62" s="194">
        <f t="shared" si="1"/>
        <v>618148</v>
      </c>
      <c r="F62" s="194">
        <f t="shared" si="1"/>
        <v>0</v>
      </c>
      <c r="G62" s="194">
        <f t="shared" si="1"/>
        <v>52831</v>
      </c>
      <c r="H62" s="194">
        <f t="shared" si="1"/>
        <v>0</v>
      </c>
      <c r="I62" s="194">
        <f t="shared" si="1"/>
        <v>656657</v>
      </c>
      <c r="J62" s="194">
        <f>ROUND(J47+J48,0)</f>
        <v>0</v>
      </c>
      <c r="K62" s="194">
        <f t="shared" si="1"/>
        <v>0</v>
      </c>
      <c r="L62" s="194">
        <f t="shared" si="1"/>
        <v>0</v>
      </c>
      <c r="M62" s="194">
        <f t="shared" si="1"/>
        <v>0</v>
      </c>
      <c r="N62" s="194">
        <f t="shared" si="1"/>
        <v>434957</v>
      </c>
      <c r="O62" s="194">
        <f t="shared" si="1"/>
        <v>0</v>
      </c>
      <c r="P62" s="194">
        <f t="shared" si="1"/>
        <v>305112</v>
      </c>
      <c r="Q62" s="194">
        <f t="shared" si="1"/>
        <v>95320</v>
      </c>
      <c r="R62" s="194">
        <f t="shared" si="1"/>
        <v>0</v>
      </c>
      <c r="S62" s="194">
        <f t="shared" si="1"/>
        <v>29976</v>
      </c>
      <c r="T62" s="194">
        <f t="shared" si="1"/>
        <v>0</v>
      </c>
      <c r="U62" s="194">
        <f t="shared" si="1"/>
        <v>302185</v>
      </c>
      <c r="V62" s="194">
        <f t="shared" si="1"/>
        <v>0</v>
      </c>
      <c r="W62" s="194">
        <f t="shared" si="1"/>
        <v>69825</v>
      </c>
      <c r="X62" s="194">
        <f t="shared" si="1"/>
        <v>181706</v>
      </c>
      <c r="Y62" s="194">
        <f t="shared" si="1"/>
        <v>177919</v>
      </c>
      <c r="Z62" s="194">
        <f t="shared" si="1"/>
        <v>0</v>
      </c>
      <c r="AA62" s="194">
        <f t="shared" si="1"/>
        <v>0</v>
      </c>
      <c r="AB62" s="194">
        <f t="shared" si="1"/>
        <v>220416</v>
      </c>
      <c r="AC62" s="194">
        <f t="shared" si="1"/>
        <v>94999</v>
      </c>
      <c r="AD62" s="194">
        <f t="shared" si="1"/>
        <v>0</v>
      </c>
      <c r="AE62" s="194">
        <f t="shared" si="1"/>
        <v>129134</v>
      </c>
      <c r="AF62" s="194">
        <f t="shared" si="1"/>
        <v>0</v>
      </c>
      <c r="AG62" s="194">
        <f t="shared" si="1"/>
        <v>617285</v>
      </c>
      <c r="AH62" s="194">
        <f t="shared" si="1"/>
        <v>0</v>
      </c>
      <c r="AI62" s="194">
        <f t="shared" si="1"/>
        <v>0</v>
      </c>
      <c r="AJ62" s="194">
        <f t="shared" si="1"/>
        <v>301952</v>
      </c>
      <c r="AK62" s="194">
        <f t="shared" si="1"/>
        <v>0</v>
      </c>
      <c r="AL62" s="194">
        <f t="shared" si="1"/>
        <v>0</v>
      </c>
      <c r="AM62" s="194">
        <f t="shared" si="1"/>
        <v>0</v>
      </c>
      <c r="AN62" s="194">
        <f t="shared" si="1"/>
        <v>0</v>
      </c>
      <c r="AO62" s="194">
        <f t="shared" si="1"/>
        <v>0</v>
      </c>
      <c r="AP62" s="194">
        <f t="shared" si="1"/>
        <v>0</v>
      </c>
      <c r="AQ62" s="194">
        <f t="shared" si="1"/>
        <v>0</v>
      </c>
      <c r="AR62" s="194">
        <f t="shared" si="1"/>
        <v>0</v>
      </c>
      <c r="AS62" s="194">
        <f t="shared" si="1"/>
        <v>0</v>
      </c>
      <c r="AT62" s="194">
        <f t="shared" si="1"/>
        <v>0</v>
      </c>
      <c r="AU62" s="194">
        <f t="shared" si="1"/>
        <v>0</v>
      </c>
      <c r="AV62" s="194">
        <f t="shared" si="1"/>
        <v>0</v>
      </c>
      <c r="AW62" s="194">
        <f t="shared" si="1"/>
        <v>0</v>
      </c>
      <c r="AX62" s="194">
        <f t="shared" si="1"/>
        <v>0</v>
      </c>
      <c r="AY62" s="194">
        <f>ROUND(AY47+AY48,0)</f>
        <v>0</v>
      </c>
      <c r="AZ62" s="194">
        <f>ROUND(AZ47+AZ48,0)</f>
        <v>202653</v>
      </c>
      <c r="BA62" s="194">
        <f>ROUND(BA47+BA48,0)</f>
        <v>0</v>
      </c>
      <c r="BB62" s="194">
        <f t="shared" si="1"/>
        <v>0</v>
      </c>
      <c r="BC62" s="194">
        <f t="shared" si="1"/>
        <v>0</v>
      </c>
      <c r="BD62" s="194">
        <f t="shared" si="1"/>
        <v>54005</v>
      </c>
      <c r="BE62" s="194">
        <f t="shared" si="1"/>
        <v>147417</v>
      </c>
      <c r="BF62" s="194">
        <f t="shared" si="1"/>
        <v>193832</v>
      </c>
      <c r="BG62" s="194">
        <f t="shared" si="1"/>
        <v>0</v>
      </c>
      <c r="BH62" s="194">
        <f t="shared" si="1"/>
        <v>144345</v>
      </c>
      <c r="BI62" s="194">
        <f t="shared" si="1"/>
        <v>337117</v>
      </c>
      <c r="BJ62" s="194">
        <f t="shared" si="1"/>
        <v>66211</v>
      </c>
      <c r="BK62" s="194">
        <f t="shared" si="1"/>
        <v>110131</v>
      </c>
      <c r="BL62" s="194">
        <f t="shared" si="1"/>
        <v>148581</v>
      </c>
      <c r="BM62" s="194">
        <f t="shared" si="1"/>
        <v>0</v>
      </c>
      <c r="BN62" s="194">
        <f>ROUND(BN47+BN48,0)</f>
        <v>454243</v>
      </c>
      <c r="BO62" s="194">
        <f t="shared" ref="BO62:CC62" si="2">ROUND(BO47+BO48,0)</f>
        <v>9049</v>
      </c>
      <c r="BP62" s="194">
        <f t="shared" si="2"/>
        <v>0</v>
      </c>
      <c r="BQ62" s="194">
        <f t="shared" si="2"/>
        <v>0</v>
      </c>
      <c r="BR62" s="194">
        <f t="shared" si="2"/>
        <v>63772</v>
      </c>
      <c r="BS62" s="194">
        <f t="shared" si="2"/>
        <v>0</v>
      </c>
      <c r="BT62" s="194">
        <f t="shared" si="2"/>
        <v>0</v>
      </c>
      <c r="BU62" s="194">
        <f t="shared" si="2"/>
        <v>0</v>
      </c>
      <c r="BV62" s="194">
        <f t="shared" si="2"/>
        <v>147796</v>
      </c>
      <c r="BW62" s="194">
        <f t="shared" si="2"/>
        <v>19269</v>
      </c>
      <c r="BX62" s="194">
        <f t="shared" si="2"/>
        <v>165246</v>
      </c>
      <c r="BY62" s="194">
        <f t="shared" si="2"/>
        <v>77064</v>
      </c>
      <c r="BZ62" s="194">
        <f t="shared" si="2"/>
        <v>0</v>
      </c>
      <c r="CA62" s="194">
        <f t="shared" si="2"/>
        <v>0</v>
      </c>
      <c r="CB62" s="194">
        <f t="shared" si="2"/>
        <v>0</v>
      </c>
      <c r="CC62" s="194">
        <f t="shared" si="2"/>
        <v>0</v>
      </c>
      <c r="CD62" s="247" t="s">
        <v>221</v>
      </c>
      <c r="CE62" s="194">
        <f t="shared" si="0"/>
        <v>6892322</v>
      </c>
      <c r="CF62" s="250"/>
    </row>
    <row r="63" spans="1:84" ht="12.65" customHeight="1" x14ac:dyDescent="0.35">
      <c r="A63" s="171" t="s">
        <v>236</v>
      </c>
      <c r="B63" s="175"/>
      <c r="C63" s="184">
        <v>0</v>
      </c>
      <c r="D63" s="184"/>
      <c r="E63" s="184">
        <v>138874</v>
      </c>
      <c r="F63" s="185"/>
      <c r="G63" s="184">
        <v>0</v>
      </c>
      <c r="H63" s="184"/>
      <c r="I63" s="185">
        <v>0</v>
      </c>
      <c r="J63" s="185"/>
      <c r="K63" s="185"/>
      <c r="L63" s="185"/>
      <c r="M63" s="184"/>
      <c r="N63" s="184">
        <v>0</v>
      </c>
      <c r="O63" s="184"/>
      <c r="P63" s="185">
        <v>0</v>
      </c>
      <c r="Q63" s="185">
        <v>0</v>
      </c>
      <c r="R63" s="185">
        <v>0</v>
      </c>
      <c r="S63" s="185">
        <v>0</v>
      </c>
      <c r="T63" s="185"/>
      <c r="U63" s="185">
        <v>0</v>
      </c>
      <c r="V63" s="185"/>
      <c r="W63" s="185">
        <v>0</v>
      </c>
      <c r="X63" s="185">
        <v>0</v>
      </c>
      <c r="Y63" s="185">
        <v>0</v>
      </c>
      <c r="Z63" s="185"/>
      <c r="AA63" s="185">
        <v>3826</v>
      </c>
      <c r="AB63" s="185">
        <v>0</v>
      </c>
      <c r="AC63" s="185">
        <v>0</v>
      </c>
      <c r="AD63" s="185"/>
      <c r="AE63" s="185">
        <v>0</v>
      </c>
      <c r="AF63" s="185"/>
      <c r="AG63" s="185">
        <v>1595545</v>
      </c>
      <c r="AH63" s="185"/>
      <c r="AI63" s="185"/>
      <c r="AJ63" s="185">
        <v>0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>
        <v>0</v>
      </c>
      <c r="AY63" s="185"/>
      <c r="AZ63" s="185">
        <v>99996</v>
      </c>
      <c r="BA63" s="185">
        <v>0</v>
      </c>
      <c r="BB63" s="185"/>
      <c r="BC63" s="185"/>
      <c r="BD63" s="185"/>
      <c r="BE63" s="185">
        <v>0</v>
      </c>
      <c r="BF63" s="185">
        <v>0</v>
      </c>
      <c r="BG63" s="185"/>
      <c r="BH63" s="185">
        <v>0</v>
      </c>
      <c r="BI63" s="185"/>
      <c r="BJ63" s="185">
        <v>131844</v>
      </c>
      <c r="BK63" s="185">
        <v>-9777</v>
      </c>
      <c r="BL63" s="185"/>
      <c r="BM63" s="185"/>
      <c r="BN63" s="185">
        <f>99320-1</f>
        <v>99319</v>
      </c>
      <c r="BO63" s="185"/>
      <c r="BP63" s="185">
        <v>2520</v>
      </c>
      <c r="BQ63" s="185"/>
      <c r="BR63" s="185">
        <v>81667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7" t="s">
        <v>221</v>
      </c>
      <c r="CE63" s="194">
        <f t="shared" si="0"/>
        <v>2143814</v>
      </c>
      <c r="CF63" s="250"/>
    </row>
    <row r="64" spans="1:84" ht="12.65" customHeight="1" x14ac:dyDescent="0.35">
      <c r="A64" s="171" t="s">
        <v>237</v>
      </c>
      <c r="B64" s="175"/>
      <c r="C64" s="184">
        <v>42352</v>
      </c>
      <c r="D64" s="184"/>
      <c r="E64" s="185">
        <v>274150</v>
      </c>
      <c r="F64" s="185"/>
      <c r="G64" s="184">
        <v>238</v>
      </c>
      <c r="H64" s="184"/>
      <c r="I64" s="185">
        <v>112228</v>
      </c>
      <c r="J64" s="185"/>
      <c r="K64" s="185"/>
      <c r="L64" s="185"/>
      <c r="M64" s="184"/>
      <c r="N64" s="184">
        <f>284-77</f>
        <v>207</v>
      </c>
      <c r="O64" s="184"/>
      <c r="P64" s="185">
        <v>2331258</v>
      </c>
      <c r="Q64" s="185">
        <v>5339</v>
      </c>
      <c r="R64" s="185">
        <v>42517</v>
      </c>
      <c r="S64" s="185">
        <v>196027</v>
      </c>
      <c r="T64" s="185"/>
      <c r="U64" s="185">
        <v>724593</v>
      </c>
      <c r="V64" s="185"/>
      <c r="W64" s="185">
        <f>20128+47</f>
        <v>20175</v>
      </c>
      <c r="X64" s="185">
        <v>4158</v>
      </c>
      <c r="Y64" s="185">
        <v>57648</v>
      </c>
      <c r="Z64" s="185"/>
      <c r="AA64" s="185">
        <v>0</v>
      </c>
      <c r="AB64" s="185">
        <v>899100</v>
      </c>
      <c r="AC64" s="185">
        <v>29137</v>
      </c>
      <c r="AD64" s="185"/>
      <c r="AE64" s="185">
        <v>16993</v>
      </c>
      <c r="AF64" s="185"/>
      <c r="AG64" s="185">
        <v>291037</v>
      </c>
      <c r="AH64" s="185"/>
      <c r="AI64" s="185"/>
      <c r="AJ64" s="185">
        <f>257049+3</f>
        <v>257052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>
        <v>5</v>
      </c>
      <c r="AY64" s="185"/>
      <c r="AZ64" s="185">
        <v>258630</v>
      </c>
      <c r="BA64" s="185">
        <v>0</v>
      </c>
      <c r="BB64" s="185"/>
      <c r="BC64" s="185"/>
      <c r="BD64" s="185">
        <v>-24097</v>
      </c>
      <c r="BE64" s="185">
        <v>69049</v>
      </c>
      <c r="BF64" s="185">
        <v>59057</v>
      </c>
      <c r="BG64" s="185"/>
      <c r="BH64" s="185">
        <v>113013</v>
      </c>
      <c r="BI64" s="185">
        <v>169972</v>
      </c>
      <c r="BJ64" s="185">
        <v>2210</v>
      </c>
      <c r="BK64" s="185">
        <v>5134</v>
      </c>
      <c r="BL64" s="185">
        <v>12002</v>
      </c>
      <c r="BM64" s="185"/>
      <c r="BN64" s="185">
        <v>26445</v>
      </c>
      <c r="BO64" s="185">
        <v>3105</v>
      </c>
      <c r="BP64" s="185"/>
      <c r="BQ64" s="185"/>
      <c r="BR64" s="185">
        <v>2980</v>
      </c>
      <c r="BS64" s="185">
        <v>153</v>
      </c>
      <c r="BT64" s="185"/>
      <c r="BU64" s="185"/>
      <c r="BV64" s="185">
        <v>2368</v>
      </c>
      <c r="BW64" s="185">
        <v>592</v>
      </c>
      <c r="BX64" s="185">
        <v>2121</v>
      </c>
      <c r="BY64" s="185">
        <v>221</v>
      </c>
      <c r="BZ64" s="185"/>
      <c r="CA64" s="185">
        <v>120</v>
      </c>
      <c r="CB64" s="185"/>
      <c r="CC64" s="185">
        <f>125890-3</f>
        <v>125887</v>
      </c>
      <c r="CD64" s="247" t="s">
        <v>221</v>
      </c>
      <c r="CE64" s="194">
        <f t="shared" si="0"/>
        <v>6133176</v>
      </c>
      <c r="CF64" s="250"/>
    </row>
    <row r="65" spans="1:84" ht="12.65" customHeight="1" x14ac:dyDescent="0.35">
      <c r="A65" s="171" t="s">
        <v>238</v>
      </c>
      <c r="B65" s="175"/>
      <c r="C65" s="184">
        <f>51156-51156</f>
        <v>0</v>
      </c>
      <c r="D65" s="184"/>
      <c r="E65" s="184">
        <v>0</v>
      </c>
      <c r="F65" s="184"/>
      <c r="G65" s="184">
        <v>0</v>
      </c>
      <c r="H65" s="184"/>
      <c r="I65" s="185">
        <v>51156</v>
      </c>
      <c r="J65" s="184"/>
      <c r="K65" s="185"/>
      <c r="L65" s="185"/>
      <c r="M65" s="184"/>
      <c r="N65" s="184">
        <v>0</v>
      </c>
      <c r="O65" s="184"/>
      <c r="P65" s="185">
        <v>0</v>
      </c>
      <c r="Q65" s="185">
        <v>0</v>
      </c>
      <c r="R65" s="185">
        <v>0</v>
      </c>
      <c r="S65" s="185">
        <v>0</v>
      </c>
      <c r="T65" s="185"/>
      <c r="U65" s="185">
        <v>0</v>
      </c>
      <c r="V65" s="185"/>
      <c r="W65" s="185">
        <v>0</v>
      </c>
      <c r="X65" s="185">
        <v>0</v>
      </c>
      <c r="Y65" s="185">
        <v>0</v>
      </c>
      <c r="Z65" s="185"/>
      <c r="AA65" s="185">
        <v>0</v>
      </c>
      <c r="AB65" s="185">
        <v>0</v>
      </c>
      <c r="AC65" s="185">
        <v>0</v>
      </c>
      <c r="AD65" s="185"/>
      <c r="AE65" s="185">
        <v>0</v>
      </c>
      <c r="AF65" s="185"/>
      <c r="AG65" s="185">
        <v>0</v>
      </c>
      <c r="AH65" s="185"/>
      <c r="AI65" s="185"/>
      <c r="AJ65" s="185">
        <v>0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>
        <v>0</v>
      </c>
      <c r="AY65" s="185"/>
      <c r="AZ65" s="185">
        <v>0</v>
      </c>
      <c r="BA65" s="185">
        <v>0</v>
      </c>
      <c r="BB65" s="185"/>
      <c r="BC65" s="185"/>
      <c r="BD65" s="185">
        <v>0</v>
      </c>
      <c r="BE65" s="185">
        <f>452382-1</f>
        <v>452381</v>
      </c>
      <c r="BF65" s="185">
        <v>0</v>
      </c>
      <c r="BG65" s="185">
        <v>104890</v>
      </c>
      <c r="BH65" s="185">
        <v>0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7" t="s">
        <v>221</v>
      </c>
      <c r="CE65" s="194">
        <f t="shared" si="0"/>
        <v>608427</v>
      </c>
      <c r="CF65" s="250"/>
    </row>
    <row r="66" spans="1:84" ht="12.65" customHeight="1" x14ac:dyDescent="0.35">
      <c r="A66" s="171" t="s">
        <v>239</v>
      </c>
      <c r="B66" s="175"/>
      <c r="C66" s="184">
        <v>446</v>
      </c>
      <c r="D66" s="184"/>
      <c r="E66" s="184">
        <v>50623</v>
      </c>
      <c r="F66" s="184"/>
      <c r="G66" s="184">
        <v>3074</v>
      </c>
      <c r="H66" s="184"/>
      <c r="I66" s="184">
        <v>19965</v>
      </c>
      <c r="J66" s="184"/>
      <c r="K66" s="185"/>
      <c r="L66" s="185"/>
      <c r="M66" s="184"/>
      <c r="N66" s="184">
        <v>51</v>
      </c>
      <c r="O66" s="185"/>
      <c r="P66" s="185">
        <v>59098</v>
      </c>
      <c r="Q66" s="185">
        <v>-7503</v>
      </c>
      <c r="R66" s="185">
        <v>472982</v>
      </c>
      <c r="S66" s="184">
        <v>-30.47</v>
      </c>
      <c r="T66" s="184"/>
      <c r="U66" s="185">
        <v>787136</v>
      </c>
      <c r="V66" s="185"/>
      <c r="W66" s="185">
        <v>10171</v>
      </c>
      <c r="X66" s="185">
        <v>1716</v>
      </c>
      <c r="Y66" s="185">
        <v>218504</v>
      </c>
      <c r="Z66" s="185"/>
      <c r="AA66" s="185">
        <v>0</v>
      </c>
      <c r="AB66" s="185">
        <v>121588</v>
      </c>
      <c r="AC66" s="185">
        <v>564</v>
      </c>
      <c r="AD66" s="185"/>
      <c r="AE66" s="185">
        <v>0</v>
      </c>
      <c r="AF66" s="185"/>
      <c r="AG66" s="185">
        <v>10669</v>
      </c>
      <c r="AH66" s="185"/>
      <c r="AI66" s="185"/>
      <c r="AJ66" s="185">
        <v>380978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>
        <v>136849</v>
      </c>
      <c r="AY66" s="185"/>
      <c r="AZ66" s="185">
        <v>14672</v>
      </c>
      <c r="BA66" s="185">
        <v>287844</v>
      </c>
      <c r="BB66" s="185"/>
      <c r="BC66" s="185"/>
      <c r="BD66" s="185">
        <v>3797</v>
      </c>
      <c r="BE66" s="185">
        <v>600213</v>
      </c>
      <c r="BF66" s="185">
        <v>91605</v>
      </c>
      <c r="BG66" s="185"/>
      <c r="BH66" s="185">
        <v>914553</v>
      </c>
      <c r="BI66" s="185">
        <v>100018</v>
      </c>
      <c r="BJ66" s="185"/>
      <c r="BK66" s="185">
        <v>265063</v>
      </c>
      <c r="BL66" s="185"/>
      <c r="BM66" s="185"/>
      <c r="BN66" s="185">
        <f>1717542+1</f>
        <v>1717543</v>
      </c>
      <c r="BO66" s="185">
        <v>10320</v>
      </c>
      <c r="BP66" s="185">
        <v>13465</v>
      </c>
      <c r="BQ66" s="185"/>
      <c r="BR66" s="185">
        <v>130625</v>
      </c>
      <c r="BS66" s="185"/>
      <c r="BT66" s="185"/>
      <c r="BU66" s="185"/>
      <c r="BV66" s="185">
        <v>176185</v>
      </c>
      <c r="BW66" s="185">
        <v>23855</v>
      </c>
      <c r="BX66" s="185">
        <v>134750</v>
      </c>
      <c r="BY66" s="185"/>
      <c r="BZ66" s="185"/>
      <c r="CA66" s="185">
        <v>228</v>
      </c>
      <c r="CB66" s="185"/>
      <c r="CC66" s="185"/>
      <c r="CD66" s="247" t="s">
        <v>221</v>
      </c>
      <c r="CE66" s="194">
        <f t="shared" si="0"/>
        <v>6751616.5300000003</v>
      </c>
      <c r="CF66" s="250"/>
    </row>
    <row r="67" spans="1:84" ht="12.65" customHeight="1" x14ac:dyDescent="0.35">
      <c r="A67" s="171" t="s">
        <v>6</v>
      </c>
      <c r="B67" s="175"/>
      <c r="C67" s="194">
        <f>ROUND(C51+C52,0)</f>
        <v>45916</v>
      </c>
      <c r="D67" s="194">
        <f>ROUND(D51+D52,0)</f>
        <v>0</v>
      </c>
      <c r="E67" s="194">
        <f t="shared" ref="E67:BP67" si="3">ROUND(E51+E52,0)</f>
        <v>247219</v>
      </c>
      <c r="F67" s="194">
        <f t="shared" si="3"/>
        <v>0</v>
      </c>
      <c r="G67" s="194">
        <f t="shared" si="3"/>
        <v>0</v>
      </c>
      <c r="H67" s="194">
        <f t="shared" si="3"/>
        <v>0</v>
      </c>
      <c r="I67" s="194">
        <f t="shared" si="3"/>
        <v>973</v>
      </c>
      <c r="J67" s="194">
        <f>ROUND(J51+J52,0)</f>
        <v>0</v>
      </c>
      <c r="K67" s="194">
        <f t="shared" si="3"/>
        <v>0</v>
      </c>
      <c r="L67" s="194">
        <f t="shared" si="3"/>
        <v>0</v>
      </c>
      <c r="M67" s="194">
        <f t="shared" si="3"/>
        <v>0</v>
      </c>
      <c r="N67" s="194">
        <f t="shared" si="3"/>
        <v>0</v>
      </c>
      <c r="O67" s="194">
        <f t="shared" si="3"/>
        <v>121068</v>
      </c>
      <c r="P67" s="194">
        <f t="shared" si="3"/>
        <v>113079</v>
      </c>
      <c r="Q67" s="194">
        <f t="shared" si="3"/>
        <v>12017</v>
      </c>
      <c r="R67" s="194">
        <f t="shared" si="3"/>
        <v>3645</v>
      </c>
      <c r="S67" s="194">
        <f t="shared" si="3"/>
        <v>0</v>
      </c>
      <c r="T67" s="194">
        <f t="shared" si="3"/>
        <v>0</v>
      </c>
      <c r="U67" s="194">
        <f t="shared" si="3"/>
        <v>40079</v>
      </c>
      <c r="V67" s="194">
        <f t="shared" si="3"/>
        <v>0</v>
      </c>
      <c r="W67" s="194">
        <f t="shared" si="3"/>
        <v>230246</v>
      </c>
      <c r="X67" s="194">
        <f t="shared" si="3"/>
        <v>90551</v>
      </c>
      <c r="Y67" s="194">
        <f t="shared" si="3"/>
        <v>90885</v>
      </c>
      <c r="Z67" s="194">
        <f t="shared" si="3"/>
        <v>0</v>
      </c>
      <c r="AA67" s="194">
        <f t="shared" si="3"/>
        <v>8552</v>
      </c>
      <c r="AB67" s="194">
        <f t="shared" si="3"/>
        <v>16243</v>
      </c>
      <c r="AC67" s="194">
        <f t="shared" si="3"/>
        <v>17176</v>
      </c>
      <c r="AD67" s="194">
        <f t="shared" si="3"/>
        <v>0</v>
      </c>
      <c r="AE67" s="194">
        <f t="shared" si="3"/>
        <v>5207</v>
      </c>
      <c r="AF67" s="194">
        <f t="shared" si="3"/>
        <v>0</v>
      </c>
      <c r="AG67" s="194">
        <f t="shared" si="3"/>
        <v>158133</v>
      </c>
      <c r="AH67" s="194">
        <f t="shared" si="3"/>
        <v>0</v>
      </c>
      <c r="AI67" s="194">
        <f t="shared" si="3"/>
        <v>0</v>
      </c>
      <c r="AJ67" s="194">
        <f t="shared" si="3"/>
        <v>170489</v>
      </c>
      <c r="AK67" s="194">
        <f t="shared" si="3"/>
        <v>0</v>
      </c>
      <c r="AL67" s="194">
        <f t="shared" si="3"/>
        <v>0</v>
      </c>
      <c r="AM67" s="194">
        <f t="shared" si="3"/>
        <v>0</v>
      </c>
      <c r="AN67" s="194">
        <f t="shared" si="3"/>
        <v>0</v>
      </c>
      <c r="AO67" s="194">
        <f t="shared" si="3"/>
        <v>0</v>
      </c>
      <c r="AP67" s="194">
        <f t="shared" si="3"/>
        <v>0</v>
      </c>
      <c r="AQ67" s="194">
        <f t="shared" si="3"/>
        <v>0</v>
      </c>
      <c r="AR67" s="194">
        <f t="shared" si="3"/>
        <v>0</v>
      </c>
      <c r="AS67" s="194">
        <f t="shared" si="3"/>
        <v>0</v>
      </c>
      <c r="AT67" s="194">
        <f t="shared" si="3"/>
        <v>0</v>
      </c>
      <c r="AU67" s="194">
        <f t="shared" si="3"/>
        <v>0</v>
      </c>
      <c r="AV67" s="194">
        <f t="shared" si="3"/>
        <v>0</v>
      </c>
      <c r="AW67" s="194">
        <f t="shared" si="3"/>
        <v>0</v>
      </c>
      <c r="AX67" s="194">
        <f t="shared" si="3"/>
        <v>0</v>
      </c>
      <c r="AY67" s="194">
        <f t="shared" si="3"/>
        <v>0</v>
      </c>
      <c r="AZ67" s="194">
        <f>ROUND(AZ51+AZ52,0)</f>
        <v>88843</v>
      </c>
      <c r="BA67" s="194">
        <f>ROUND(BA51+BA52,0)</f>
        <v>8271</v>
      </c>
      <c r="BB67" s="194">
        <f t="shared" si="3"/>
        <v>0</v>
      </c>
      <c r="BC67" s="194">
        <f t="shared" si="3"/>
        <v>0</v>
      </c>
      <c r="BD67" s="194">
        <f t="shared" si="3"/>
        <v>64490</v>
      </c>
      <c r="BE67" s="194">
        <f t="shared" si="3"/>
        <v>499379</v>
      </c>
      <c r="BF67" s="194">
        <f t="shared" si="3"/>
        <v>7711</v>
      </c>
      <c r="BG67" s="194">
        <f t="shared" si="3"/>
        <v>0</v>
      </c>
      <c r="BH67" s="194">
        <f t="shared" si="3"/>
        <v>112095</v>
      </c>
      <c r="BI67" s="194">
        <f t="shared" si="3"/>
        <v>0</v>
      </c>
      <c r="BJ67" s="194">
        <f t="shared" si="3"/>
        <v>0</v>
      </c>
      <c r="BK67" s="194">
        <f t="shared" si="3"/>
        <v>24033</v>
      </c>
      <c r="BL67" s="194">
        <f t="shared" si="3"/>
        <v>8412</v>
      </c>
      <c r="BM67" s="194">
        <f t="shared" si="3"/>
        <v>0</v>
      </c>
      <c r="BN67" s="194">
        <f t="shared" si="3"/>
        <v>116722</v>
      </c>
      <c r="BO67" s="194">
        <f t="shared" si="3"/>
        <v>0</v>
      </c>
      <c r="BP67" s="194">
        <f t="shared" si="3"/>
        <v>0</v>
      </c>
      <c r="BQ67" s="194">
        <f t="shared" ref="BQ67:CC67" si="4">ROUND(BQ51+BQ52,0)</f>
        <v>0</v>
      </c>
      <c r="BR67" s="194">
        <f t="shared" si="4"/>
        <v>12017</v>
      </c>
      <c r="BS67" s="194">
        <f t="shared" si="4"/>
        <v>0</v>
      </c>
      <c r="BT67" s="194">
        <f t="shared" si="4"/>
        <v>0</v>
      </c>
      <c r="BU67" s="194">
        <f t="shared" si="4"/>
        <v>0</v>
      </c>
      <c r="BV67" s="194">
        <f t="shared" si="4"/>
        <v>54616</v>
      </c>
      <c r="BW67" s="194">
        <f t="shared" si="4"/>
        <v>0</v>
      </c>
      <c r="BX67" s="194">
        <f t="shared" si="4"/>
        <v>0</v>
      </c>
      <c r="BY67" s="194">
        <f t="shared" si="4"/>
        <v>14961</v>
      </c>
      <c r="BZ67" s="194">
        <f t="shared" si="4"/>
        <v>0</v>
      </c>
      <c r="CA67" s="194">
        <f t="shared" si="4"/>
        <v>1855</v>
      </c>
      <c r="CB67" s="194">
        <f t="shared" si="4"/>
        <v>0</v>
      </c>
      <c r="CC67" s="194">
        <f t="shared" si="4"/>
        <v>33947</v>
      </c>
      <c r="CD67" s="247" t="s">
        <v>221</v>
      </c>
      <c r="CE67" s="194">
        <f t="shared" si="0"/>
        <v>2418830</v>
      </c>
      <c r="CF67" s="250"/>
    </row>
    <row r="68" spans="1:84" ht="12.65" customHeight="1" x14ac:dyDescent="0.35">
      <c r="A68" s="171" t="s">
        <v>240</v>
      </c>
      <c r="B68" s="175"/>
      <c r="C68" s="184">
        <v>12832</v>
      </c>
      <c r="D68" s="184"/>
      <c r="E68" s="184">
        <v>19512</v>
      </c>
      <c r="F68" s="184"/>
      <c r="G68" s="184">
        <v>0</v>
      </c>
      <c r="H68" s="184"/>
      <c r="I68" s="184">
        <v>447654</v>
      </c>
      <c r="J68" s="184"/>
      <c r="K68" s="185"/>
      <c r="L68" s="185"/>
      <c r="M68" s="184"/>
      <c r="N68" s="184">
        <v>0</v>
      </c>
      <c r="O68" s="184"/>
      <c r="P68" s="185">
        <v>954</v>
      </c>
      <c r="Q68" s="185">
        <v>0</v>
      </c>
      <c r="R68" s="185">
        <v>0</v>
      </c>
      <c r="S68" s="185">
        <v>0</v>
      </c>
      <c r="T68" s="185"/>
      <c r="U68" s="185">
        <v>32765</v>
      </c>
      <c r="V68" s="185"/>
      <c r="W68" s="185">
        <v>60569</v>
      </c>
      <c r="X68" s="185">
        <v>0</v>
      </c>
      <c r="Y68" s="185">
        <v>109428</v>
      </c>
      <c r="Z68" s="185"/>
      <c r="AA68" s="185">
        <v>0</v>
      </c>
      <c r="AB68" s="185">
        <v>169514</v>
      </c>
      <c r="AC68" s="185">
        <v>0</v>
      </c>
      <c r="AD68" s="185"/>
      <c r="AE68" s="185">
        <v>107093</v>
      </c>
      <c r="AF68" s="185"/>
      <c r="AG68" s="185">
        <v>395</v>
      </c>
      <c r="AH68" s="185"/>
      <c r="AI68" s="185"/>
      <c r="AJ68" s="185">
        <v>0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>
        <v>0</v>
      </c>
      <c r="AY68" s="185"/>
      <c r="AZ68" s="185">
        <v>0</v>
      </c>
      <c r="BA68" s="185">
        <v>0</v>
      </c>
      <c r="BB68" s="185"/>
      <c r="BC68" s="185"/>
      <c r="BD68" s="185">
        <v>0</v>
      </c>
      <c r="BE68" s="185">
        <v>6674</v>
      </c>
      <c r="BF68" s="185">
        <v>0</v>
      </c>
      <c r="BG68" s="185"/>
      <c r="BH68" s="185">
        <v>24695</v>
      </c>
      <c r="BI68" s="185">
        <v>80278</v>
      </c>
      <c r="BJ68" s="185"/>
      <c r="BK68" s="185">
        <v>5762</v>
      </c>
      <c r="BL68" s="185"/>
      <c r="BM68" s="185"/>
      <c r="BN68" s="185">
        <f>106498-1</f>
        <v>106497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7" t="s">
        <v>221</v>
      </c>
      <c r="CE68" s="194">
        <f t="shared" si="0"/>
        <v>1184622</v>
      </c>
      <c r="CF68" s="250"/>
    </row>
    <row r="69" spans="1:84" ht="12.65" customHeight="1" x14ac:dyDescent="0.35">
      <c r="A69" s="171" t="s">
        <v>241</v>
      </c>
      <c r="B69" s="175"/>
      <c r="C69" s="184">
        <f>24706-24706</f>
        <v>0</v>
      </c>
      <c r="D69" s="184"/>
      <c r="E69" s="185">
        <v>1454</v>
      </c>
      <c r="F69" s="185"/>
      <c r="G69" s="184">
        <v>0</v>
      </c>
      <c r="H69" s="184"/>
      <c r="I69" s="185">
        <v>24706</v>
      </c>
      <c r="J69" s="185"/>
      <c r="K69" s="185"/>
      <c r="L69" s="185"/>
      <c r="M69" s="184"/>
      <c r="N69" s="184">
        <v>10648</v>
      </c>
      <c r="O69" s="184"/>
      <c r="P69" s="185">
        <v>82</v>
      </c>
      <c r="Q69" s="185">
        <v>0</v>
      </c>
      <c r="R69" s="223">
        <v>0</v>
      </c>
      <c r="S69" s="185">
        <v>0</v>
      </c>
      <c r="T69" s="184"/>
      <c r="U69" s="185">
        <v>5942</v>
      </c>
      <c r="V69" s="185"/>
      <c r="W69" s="184">
        <v>463</v>
      </c>
      <c r="X69" s="185">
        <v>275</v>
      </c>
      <c r="Y69" s="185">
        <v>8222</v>
      </c>
      <c r="Z69" s="185"/>
      <c r="AA69" s="185">
        <v>8920</v>
      </c>
      <c r="AB69" s="185">
        <v>2784</v>
      </c>
      <c r="AC69" s="185">
        <v>437</v>
      </c>
      <c r="AD69" s="185"/>
      <c r="AE69" s="185">
        <v>164</v>
      </c>
      <c r="AF69" s="185"/>
      <c r="AG69" s="185">
        <v>2304</v>
      </c>
      <c r="AH69" s="185"/>
      <c r="AI69" s="185"/>
      <c r="AJ69" s="185">
        <v>0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>
        <v>0</v>
      </c>
      <c r="AY69" s="185"/>
      <c r="AZ69" s="185">
        <v>406</v>
      </c>
      <c r="BA69" s="185">
        <v>14</v>
      </c>
      <c r="BB69" s="185"/>
      <c r="BC69" s="185"/>
      <c r="BD69" s="185">
        <v>457</v>
      </c>
      <c r="BE69" s="185">
        <v>2022</v>
      </c>
      <c r="BF69" s="185">
        <v>0</v>
      </c>
      <c r="BG69" s="185"/>
      <c r="BH69" s="223">
        <v>629</v>
      </c>
      <c r="BI69" s="185">
        <v>157</v>
      </c>
      <c r="BJ69" s="185">
        <v>837</v>
      </c>
      <c r="BK69" s="185">
        <v>318</v>
      </c>
      <c r="BL69" s="185">
        <v>436</v>
      </c>
      <c r="BM69" s="185"/>
      <c r="BN69" s="185">
        <v>129023</v>
      </c>
      <c r="BO69" s="185"/>
      <c r="BP69" s="185"/>
      <c r="BQ69" s="185"/>
      <c r="BR69" s="185">
        <v>710</v>
      </c>
      <c r="BS69" s="185"/>
      <c r="BT69" s="185"/>
      <c r="BU69" s="185"/>
      <c r="BV69" s="185"/>
      <c r="BW69" s="185">
        <v>5053</v>
      </c>
      <c r="BX69" s="185">
        <v>1709</v>
      </c>
      <c r="BY69" s="185">
        <v>1170</v>
      </c>
      <c r="BZ69" s="185"/>
      <c r="CA69" s="185">
        <v>11046</v>
      </c>
      <c r="CB69" s="185"/>
      <c r="CC69" s="185">
        <f>128+29983+123516+342555-324-2</f>
        <v>495856</v>
      </c>
      <c r="CD69" s="187"/>
      <c r="CE69" s="194">
        <f t="shared" si="0"/>
        <v>716244</v>
      </c>
      <c r="CF69" s="250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7"/>
      <c r="CE70" s="194">
        <f t="shared" si="0"/>
        <v>0</v>
      </c>
      <c r="CF70" s="250"/>
    </row>
    <row r="71" spans="1:84" ht="12.65" customHeight="1" x14ac:dyDescent="0.35">
      <c r="A71" s="171" t="s">
        <v>243</v>
      </c>
      <c r="B71" s="175"/>
      <c r="C71" s="194">
        <f>SUM(C61:C68)+C69-C70</f>
        <v>1288492</v>
      </c>
      <c r="D71" s="194">
        <f t="shared" ref="D71:AI71" si="5">SUM(D61:D69)-D70</f>
        <v>0</v>
      </c>
      <c r="E71" s="194">
        <f t="shared" si="5"/>
        <v>3519806</v>
      </c>
      <c r="F71" s="194">
        <f t="shared" si="5"/>
        <v>0</v>
      </c>
      <c r="G71" s="194">
        <f t="shared" si="5"/>
        <v>241590</v>
      </c>
      <c r="H71" s="194">
        <f t="shared" si="5"/>
        <v>0</v>
      </c>
      <c r="I71" s="194">
        <f t="shared" si="5"/>
        <v>3618340</v>
      </c>
      <c r="J71" s="194">
        <f t="shared" si="5"/>
        <v>0</v>
      </c>
      <c r="K71" s="194">
        <f t="shared" si="5"/>
        <v>0</v>
      </c>
      <c r="L71" s="194">
        <f t="shared" si="5"/>
        <v>0</v>
      </c>
      <c r="M71" s="194">
        <f t="shared" si="5"/>
        <v>0</v>
      </c>
      <c r="N71" s="194">
        <f t="shared" si="5"/>
        <v>1972652</v>
      </c>
      <c r="O71" s="194">
        <f t="shared" si="5"/>
        <v>121068</v>
      </c>
      <c r="P71" s="194">
        <f t="shared" si="5"/>
        <v>3880590</v>
      </c>
      <c r="Q71" s="194">
        <f t="shared" si="5"/>
        <v>439766</v>
      </c>
      <c r="R71" s="194">
        <f t="shared" si="5"/>
        <v>519144</v>
      </c>
      <c r="S71" s="194">
        <f t="shared" si="5"/>
        <v>331194.53000000003</v>
      </c>
      <c r="T71" s="194">
        <f t="shared" si="5"/>
        <v>0</v>
      </c>
      <c r="U71" s="194">
        <f t="shared" si="5"/>
        <v>2953432</v>
      </c>
      <c r="V71" s="194">
        <f t="shared" si="5"/>
        <v>0</v>
      </c>
      <c r="W71" s="194">
        <f t="shared" si="5"/>
        <v>636550</v>
      </c>
      <c r="X71" s="194">
        <f t="shared" si="5"/>
        <v>916230</v>
      </c>
      <c r="Y71" s="194">
        <f t="shared" si="5"/>
        <v>1287138</v>
      </c>
      <c r="Z71" s="194">
        <f t="shared" si="5"/>
        <v>0</v>
      </c>
      <c r="AA71" s="194">
        <f t="shared" si="5"/>
        <v>21298</v>
      </c>
      <c r="AB71" s="194">
        <f t="shared" si="5"/>
        <v>2203351</v>
      </c>
      <c r="AC71" s="194">
        <f t="shared" si="5"/>
        <v>475778</v>
      </c>
      <c r="AD71" s="194">
        <f t="shared" si="5"/>
        <v>0</v>
      </c>
      <c r="AE71" s="194">
        <f t="shared" si="5"/>
        <v>711877</v>
      </c>
      <c r="AF71" s="194">
        <f t="shared" si="5"/>
        <v>0</v>
      </c>
      <c r="AG71" s="194">
        <f t="shared" si="5"/>
        <v>4842167</v>
      </c>
      <c r="AH71" s="194">
        <f t="shared" si="5"/>
        <v>0</v>
      </c>
      <c r="AI71" s="194">
        <f t="shared" si="5"/>
        <v>0</v>
      </c>
      <c r="AJ71" s="194">
        <f t="shared" ref="AJ71:BO71" si="6">SUM(AJ61:AJ69)-AJ70</f>
        <v>2170385</v>
      </c>
      <c r="AK71" s="194">
        <f t="shared" si="6"/>
        <v>0</v>
      </c>
      <c r="AL71" s="194">
        <f t="shared" si="6"/>
        <v>0</v>
      </c>
      <c r="AM71" s="194">
        <f t="shared" si="6"/>
        <v>0</v>
      </c>
      <c r="AN71" s="194">
        <f t="shared" si="6"/>
        <v>0</v>
      </c>
      <c r="AO71" s="194">
        <f t="shared" si="6"/>
        <v>0</v>
      </c>
      <c r="AP71" s="194">
        <f t="shared" si="6"/>
        <v>0</v>
      </c>
      <c r="AQ71" s="194">
        <f t="shared" si="6"/>
        <v>0</v>
      </c>
      <c r="AR71" s="194">
        <f t="shared" si="6"/>
        <v>0</v>
      </c>
      <c r="AS71" s="194">
        <f t="shared" si="6"/>
        <v>0</v>
      </c>
      <c r="AT71" s="194">
        <f t="shared" si="6"/>
        <v>0</v>
      </c>
      <c r="AU71" s="194">
        <f t="shared" si="6"/>
        <v>0</v>
      </c>
      <c r="AV71" s="194">
        <f t="shared" si="6"/>
        <v>0</v>
      </c>
      <c r="AW71" s="194">
        <f t="shared" si="6"/>
        <v>0</v>
      </c>
      <c r="AX71" s="194">
        <f t="shared" si="6"/>
        <v>136854</v>
      </c>
      <c r="AY71" s="194">
        <f t="shared" si="6"/>
        <v>0</v>
      </c>
      <c r="AZ71" s="194">
        <f t="shared" si="6"/>
        <v>1376555</v>
      </c>
      <c r="BA71" s="194">
        <f t="shared" si="6"/>
        <v>296129</v>
      </c>
      <c r="BB71" s="194">
        <f t="shared" si="6"/>
        <v>0</v>
      </c>
      <c r="BC71" s="194">
        <f t="shared" si="6"/>
        <v>0</v>
      </c>
      <c r="BD71" s="194">
        <f t="shared" si="6"/>
        <v>288221</v>
      </c>
      <c r="BE71" s="194">
        <f t="shared" si="6"/>
        <v>2294600</v>
      </c>
      <c r="BF71" s="194">
        <f t="shared" si="6"/>
        <v>1032595</v>
      </c>
      <c r="BG71" s="194">
        <f t="shared" si="6"/>
        <v>104890</v>
      </c>
      <c r="BH71" s="194">
        <f t="shared" si="6"/>
        <v>1816010</v>
      </c>
      <c r="BI71" s="194">
        <f t="shared" si="6"/>
        <v>1870894</v>
      </c>
      <c r="BJ71" s="194">
        <f t="shared" si="6"/>
        <v>433515</v>
      </c>
      <c r="BK71" s="194">
        <f t="shared" si="6"/>
        <v>787246</v>
      </c>
      <c r="BL71" s="194">
        <f t="shared" si="6"/>
        <v>690982</v>
      </c>
      <c r="BM71" s="194">
        <f t="shared" si="6"/>
        <v>0</v>
      </c>
      <c r="BN71" s="194">
        <f t="shared" si="6"/>
        <v>4244278</v>
      </c>
      <c r="BO71" s="194">
        <f t="shared" si="6"/>
        <v>54237</v>
      </c>
      <c r="BP71" s="194">
        <f t="shared" ref="BP71:CC71" si="7">SUM(BP61:BP69)-BP70</f>
        <v>15985</v>
      </c>
      <c r="BQ71" s="194">
        <f t="shared" si="7"/>
        <v>0</v>
      </c>
      <c r="BR71" s="194">
        <f t="shared" si="7"/>
        <v>515623</v>
      </c>
      <c r="BS71" s="194">
        <f t="shared" si="7"/>
        <v>153</v>
      </c>
      <c r="BT71" s="194">
        <f t="shared" si="7"/>
        <v>0</v>
      </c>
      <c r="BU71" s="194">
        <f t="shared" si="7"/>
        <v>0</v>
      </c>
      <c r="BV71" s="194">
        <f t="shared" si="7"/>
        <v>899761</v>
      </c>
      <c r="BW71" s="194">
        <f t="shared" si="7"/>
        <v>116408</v>
      </c>
      <c r="BX71" s="194">
        <f t="shared" si="7"/>
        <v>883874</v>
      </c>
      <c r="BY71" s="194">
        <f t="shared" si="7"/>
        <v>363925</v>
      </c>
      <c r="BZ71" s="194">
        <f t="shared" si="7"/>
        <v>0</v>
      </c>
      <c r="CA71" s="194">
        <f t="shared" si="7"/>
        <v>13249</v>
      </c>
      <c r="CB71" s="194">
        <f t="shared" si="7"/>
        <v>0</v>
      </c>
      <c r="CC71" s="194">
        <f t="shared" si="7"/>
        <v>655690</v>
      </c>
      <c r="CD71" s="243">
        <f>CD69-CD70</f>
        <v>0</v>
      </c>
      <c r="CE71" s="194">
        <f>SUM(CE61:CE69)-CE70</f>
        <v>51042522.530000001</v>
      </c>
      <c r="CF71" s="250"/>
    </row>
    <row r="72" spans="1:84" ht="12.65" customHeight="1" x14ac:dyDescent="0.35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7"/>
      <c r="CF72" s="250"/>
    </row>
    <row r="73" spans="1:84" ht="12.65" customHeight="1" x14ac:dyDescent="0.35">
      <c r="A73" s="171" t="s">
        <v>245</v>
      </c>
      <c r="B73" s="175"/>
      <c r="C73" s="184">
        <v>2034733</v>
      </c>
      <c r="D73" s="184"/>
      <c r="E73" s="185">
        <v>4922264</v>
      </c>
      <c r="F73" s="185"/>
      <c r="G73" s="184">
        <v>23211</v>
      </c>
      <c r="H73" s="184"/>
      <c r="I73" s="185">
        <v>4337568</v>
      </c>
      <c r="J73" s="185"/>
      <c r="K73" s="185"/>
      <c r="L73" s="185"/>
      <c r="M73" s="184"/>
      <c r="N73" s="184">
        <v>1402</v>
      </c>
      <c r="O73" s="184"/>
      <c r="P73" s="185">
        <v>7199736</v>
      </c>
      <c r="Q73" s="185">
        <v>608578</v>
      </c>
      <c r="R73" s="185">
        <v>604630</v>
      </c>
      <c r="S73" s="185"/>
      <c r="T73" s="185"/>
      <c r="U73" s="185">
        <v>2328263</v>
      </c>
      <c r="V73" s="185">
        <v>182295</v>
      </c>
      <c r="W73" s="185">
        <v>224435</v>
      </c>
      <c r="X73" s="185">
        <v>2204551</v>
      </c>
      <c r="Y73" s="185">
        <v>924543</v>
      </c>
      <c r="Z73" s="185"/>
      <c r="AA73" s="185"/>
      <c r="AB73" s="185">
        <v>2338277</v>
      </c>
      <c r="AC73" s="185">
        <v>468914</v>
      </c>
      <c r="AD73" s="185"/>
      <c r="AE73" s="185">
        <v>343264</v>
      </c>
      <c r="AF73" s="185"/>
      <c r="AG73" s="185">
        <v>2958688</v>
      </c>
      <c r="AH73" s="185"/>
      <c r="AI73" s="185"/>
      <c r="AJ73" s="185">
        <v>46319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4">
        <f t="shared" ref="CE73:CE80" si="8">SUM(C73:CD73)</f>
        <v>31751671</v>
      </c>
      <c r="CF73" s="250"/>
    </row>
    <row r="74" spans="1:84" ht="12.65" customHeight="1" x14ac:dyDescent="0.35">
      <c r="A74" s="171" t="s">
        <v>246</v>
      </c>
      <c r="B74" s="175"/>
      <c r="C74" s="184">
        <v>10697</v>
      </c>
      <c r="D74" s="184"/>
      <c r="E74" s="185">
        <v>1376239</v>
      </c>
      <c r="F74" s="185"/>
      <c r="G74" s="184">
        <v>857115</v>
      </c>
      <c r="H74" s="184"/>
      <c r="I74" s="184">
        <v>486596</v>
      </c>
      <c r="J74" s="185"/>
      <c r="K74" s="185"/>
      <c r="L74" s="185"/>
      <c r="M74" s="184"/>
      <c r="N74" s="184">
        <v>1132095</v>
      </c>
      <c r="O74" s="184"/>
      <c r="P74" s="185">
        <v>12846203</v>
      </c>
      <c r="Q74" s="185">
        <v>1306950</v>
      </c>
      <c r="R74" s="185">
        <v>1304773</v>
      </c>
      <c r="S74" s="185"/>
      <c r="T74" s="185"/>
      <c r="U74" s="185">
        <v>8071806</v>
      </c>
      <c r="V74" s="185">
        <v>1011817</v>
      </c>
      <c r="W74" s="185">
        <v>3581829</v>
      </c>
      <c r="X74" s="185">
        <v>12518645</v>
      </c>
      <c r="Y74" s="185">
        <v>5616285</v>
      </c>
      <c r="Z74" s="185"/>
      <c r="AA74" s="185"/>
      <c r="AB74" s="185">
        <v>3323936</v>
      </c>
      <c r="AC74" s="185">
        <v>171810</v>
      </c>
      <c r="AD74" s="185"/>
      <c r="AE74" s="185">
        <v>2130828</v>
      </c>
      <c r="AF74" s="185"/>
      <c r="AG74" s="185">
        <v>27630267</v>
      </c>
      <c r="AH74" s="185"/>
      <c r="AI74" s="185"/>
      <c r="AJ74" s="185">
        <v>5343200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4">
        <f t="shared" si="8"/>
        <v>88721091</v>
      </c>
      <c r="CF74" s="250"/>
    </row>
    <row r="75" spans="1:84" ht="12.65" customHeight="1" x14ac:dyDescent="0.35">
      <c r="A75" s="171" t="s">
        <v>247</v>
      </c>
      <c r="B75" s="175"/>
      <c r="C75" s="194">
        <f t="shared" ref="C75:AV75" si="9">SUM(C73:C74)</f>
        <v>2045430</v>
      </c>
      <c r="D75" s="194">
        <f t="shared" si="9"/>
        <v>0</v>
      </c>
      <c r="E75" s="194">
        <f t="shared" si="9"/>
        <v>6298503</v>
      </c>
      <c r="F75" s="194">
        <f t="shared" si="9"/>
        <v>0</v>
      </c>
      <c r="G75" s="194">
        <f t="shared" si="9"/>
        <v>880326</v>
      </c>
      <c r="H75" s="194">
        <f t="shared" si="9"/>
        <v>0</v>
      </c>
      <c r="I75" s="194">
        <f t="shared" si="9"/>
        <v>4824164</v>
      </c>
      <c r="J75" s="194">
        <f t="shared" si="9"/>
        <v>0</v>
      </c>
      <c r="K75" s="194">
        <f t="shared" si="9"/>
        <v>0</v>
      </c>
      <c r="L75" s="194">
        <f t="shared" si="9"/>
        <v>0</v>
      </c>
      <c r="M75" s="194">
        <f t="shared" si="9"/>
        <v>0</v>
      </c>
      <c r="N75" s="194">
        <f t="shared" si="9"/>
        <v>1133497</v>
      </c>
      <c r="O75" s="194">
        <f t="shared" si="9"/>
        <v>0</v>
      </c>
      <c r="P75" s="194">
        <f t="shared" si="9"/>
        <v>20045939</v>
      </c>
      <c r="Q75" s="194">
        <f t="shared" si="9"/>
        <v>1915528</v>
      </c>
      <c r="R75" s="194">
        <f t="shared" si="9"/>
        <v>1909403</v>
      </c>
      <c r="S75" s="194">
        <f t="shared" si="9"/>
        <v>0</v>
      </c>
      <c r="T75" s="194">
        <f t="shared" si="9"/>
        <v>0</v>
      </c>
      <c r="U75" s="194">
        <f t="shared" si="9"/>
        <v>10400069</v>
      </c>
      <c r="V75" s="194">
        <f t="shared" si="9"/>
        <v>1194112</v>
      </c>
      <c r="W75" s="194">
        <f t="shared" si="9"/>
        <v>3806264</v>
      </c>
      <c r="X75" s="194">
        <f t="shared" si="9"/>
        <v>14723196</v>
      </c>
      <c r="Y75" s="194">
        <f t="shared" si="9"/>
        <v>6540828</v>
      </c>
      <c r="Z75" s="194">
        <f t="shared" si="9"/>
        <v>0</v>
      </c>
      <c r="AA75" s="194">
        <f t="shared" si="9"/>
        <v>0</v>
      </c>
      <c r="AB75" s="194">
        <f t="shared" si="9"/>
        <v>5662213</v>
      </c>
      <c r="AC75" s="194">
        <f t="shared" si="9"/>
        <v>640724</v>
      </c>
      <c r="AD75" s="194">
        <f t="shared" si="9"/>
        <v>0</v>
      </c>
      <c r="AE75" s="194">
        <f t="shared" si="9"/>
        <v>2474092</v>
      </c>
      <c r="AF75" s="194">
        <f t="shared" si="9"/>
        <v>0</v>
      </c>
      <c r="AG75" s="194">
        <f t="shared" si="9"/>
        <v>30588955</v>
      </c>
      <c r="AH75" s="194">
        <f t="shared" si="9"/>
        <v>0</v>
      </c>
      <c r="AI75" s="194">
        <f t="shared" si="9"/>
        <v>0</v>
      </c>
      <c r="AJ75" s="194">
        <f t="shared" si="9"/>
        <v>5389519</v>
      </c>
      <c r="AK75" s="194">
        <f t="shared" si="9"/>
        <v>0</v>
      </c>
      <c r="AL75" s="194">
        <f t="shared" si="9"/>
        <v>0</v>
      </c>
      <c r="AM75" s="194">
        <f t="shared" si="9"/>
        <v>0</v>
      </c>
      <c r="AN75" s="194">
        <f t="shared" si="9"/>
        <v>0</v>
      </c>
      <c r="AO75" s="194">
        <f t="shared" si="9"/>
        <v>0</v>
      </c>
      <c r="AP75" s="194">
        <f t="shared" si="9"/>
        <v>0</v>
      </c>
      <c r="AQ75" s="194">
        <f t="shared" si="9"/>
        <v>0</v>
      </c>
      <c r="AR75" s="194">
        <f t="shared" si="9"/>
        <v>0</v>
      </c>
      <c r="AS75" s="194">
        <f t="shared" si="9"/>
        <v>0</v>
      </c>
      <c r="AT75" s="194">
        <f t="shared" si="9"/>
        <v>0</v>
      </c>
      <c r="AU75" s="194">
        <f t="shared" si="9"/>
        <v>0</v>
      </c>
      <c r="AV75" s="194">
        <f t="shared" si="9"/>
        <v>0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4">
        <f t="shared" si="8"/>
        <v>120472762</v>
      </c>
      <c r="CF75" s="250"/>
    </row>
    <row r="76" spans="1:84" ht="12.65" customHeight="1" x14ac:dyDescent="0.35">
      <c r="A76" s="171" t="s">
        <v>248</v>
      </c>
      <c r="B76" s="175"/>
      <c r="C76" s="184">
        <v>2200</v>
      </c>
      <c r="D76" s="184"/>
      <c r="E76" s="185">
        <f>9225+1895</f>
        <v>11120</v>
      </c>
      <c r="F76" s="185"/>
      <c r="G76" s="184"/>
      <c r="H76" s="184"/>
      <c r="I76" s="185"/>
      <c r="J76" s="185"/>
      <c r="K76" s="185"/>
      <c r="L76" s="185"/>
      <c r="M76" s="185"/>
      <c r="N76" s="287"/>
      <c r="O76" s="185">
        <v>6045</v>
      </c>
      <c r="P76" s="185">
        <v>5422</v>
      </c>
      <c r="Q76" s="185">
        <v>600</v>
      </c>
      <c r="R76" s="185">
        <v>182</v>
      </c>
      <c r="S76" s="185"/>
      <c r="T76" s="185"/>
      <c r="U76" s="185">
        <v>1280</v>
      </c>
      <c r="V76" s="185"/>
      <c r="W76" s="185">
        <v>726</v>
      </c>
      <c r="X76" s="185">
        <v>554</v>
      </c>
      <c r="Y76" s="185">
        <f>2548+100+930</f>
        <v>3578</v>
      </c>
      <c r="Z76" s="185"/>
      <c r="AA76" s="185">
        <v>427</v>
      </c>
      <c r="AB76" s="185">
        <v>811</v>
      </c>
      <c r="AC76" s="185">
        <v>765</v>
      </c>
      <c r="AD76" s="185"/>
      <c r="AE76" s="185">
        <v>260</v>
      </c>
      <c r="AF76" s="185"/>
      <c r="AG76" s="185">
        <v>7800</v>
      </c>
      <c r="AH76" s="185"/>
      <c r="AI76" s="285"/>
      <c r="AJ76" s="185">
        <f>4545+3875</f>
        <v>8420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287"/>
      <c r="AW76" s="185"/>
      <c r="AX76" s="185"/>
      <c r="AY76" s="185"/>
      <c r="AZ76" s="185">
        <f>2119+2317</f>
        <v>4436</v>
      </c>
      <c r="BA76" s="185">
        <v>413</v>
      </c>
      <c r="BB76" s="185"/>
      <c r="BC76" s="185"/>
      <c r="BD76" s="185">
        <v>3220</v>
      </c>
      <c r="BE76" s="185">
        <v>10476</v>
      </c>
      <c r="BF76" s="185">
        <v>385</v>
      </c>
      <c r="BG76" s="185"/>
      <c r="BH76" s="185">
        <v>1300</v>
      </c>
      <c r="BI76" s="185"/>
      <c r="BJ76" s="185"/>
      <c r="BK76" s="185">
        <v>1200</v>
      </c>
      <c r="BL76" s="185">
        <v>420</v>
      </c>
      <c r="BM76" s="185"/>
      <c r="BN76" s="185">
        <v>5828</v>
      </c>
      <c r="BO76" s="185"/>
      <c r="BP76" s="185"/>
      <c r="BQ76" s="185"/>
      <c r="BR76" s="185">
        <v>600</v>
      </c>
      <c r="BS76" s="185"/>
      <c r="BT76" s="185"/>
      <c r="BU76" s="185"/>
      <c r="BV76" s="185">
        <v>2727</v>
      </c>
      <c r="BW76" s="185"/>
      <c r="BX76" s="185"/>
      <c r="BY76" s="185">
        <v>747</v>
      </c>
      <c r="BZ76" s="185"/>
      <c r="CA76" s="185"/>
      <c r="CB76" s="185"/>
      <c r="CC76" s="185">
        <f>1340+355</f>
        <v>1695</v>
      </c>
      <c r="CD76" s="247" t="s">
        <v>221</v>
      </c>
      <c r="CE76" s="194">
        <f t="shared" si="8"/>
        <v>83637</v>
      </c>
      <c r="CF76" s="194">
        <f>BE59-CE76</f>
        <v>0</v>
      </c>
    </row>
    <row r="77" spans="1:84" ht="12.65" customHeight="1" x14ac:dyDescent="0.35">
      <c r="A77" s="171" t="s">
        <v>249</v>
      </c>
      <c r="B77" s="175"/>
      <c r="C77" s="285">
        <v>1753</v>
      </c>
      <c r="D77" s="184"/>
      <c r="E77" s="285">
        <f>6835+1630</f>
        <v>8465</v>
      </c>
      <c r="F77" s="184"/>
      <c r="G77" s="285"/>
      <c r="H77" s="184"/>
      <c r="I77" s="285">
        <v>13284</v>
      </c>
      <c r="J77" s="184"/>
      <c r="K77" s="184"/>
      <c r="L77" s="184"/>
      <c r="M77" s="184"/>
      <c r="N77" s="285"/>
      <c r="O77" s="184"/>
      <c r="P77" s="285"/>
      <c r="Q77" s="285"/>
      <c r="R77" s="285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285"/>
      <c r="AJ77" s="285">
        <v>520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7" t="s">
        <v>221</v>
      </c>
      <c r="AY77" s="247" t="s">
        <v>221</v>
      </c>
      <c r="AZ77" s="184"/>
      <c r="BA77" s="184"/>
      <c r="BB77" s="184"/>
      <c r="BC77" s="184"/>
      <c r="BD77" s="247" t="s">
        <v>221</v>
      </c>
      <c r="BE77" s="247" t="s">
        <v>221</v>
      </c>
      <c r="BF77" s="184"/>
      <c r="BG77" s="247" t="s">
        <v>221</v>
      </c>
      <c r="BH77" s="184"/>
      <c r="BI77" s="184"/>
      <c r="BJ77" s="247" t="s">
        <v>221</v>
      </c>
      <c r="BK77" s="184"/>
      <c r="BL77" s="184"/>
      <c r="BM77" s="184"/>
      <c r="BN77" s="247" t="s">
        <v>221</v>
      </c>
      <c r="BO77" s="247" t="s">
        <v>221</v>
      </c>
      <c r="BP77" s="247" t="s">
        <v>221</v>
      </c>
      <c r="BQ77" s="247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7" t="s">
        <v>221</v>
      </c>
      <c r="CD77" s="247" t="s">
        <v>221</v>
      </c>
      <c r="CE77" s="194">
        <f>SUM(C77:CD77)</f>
        <v>24022</v>
      </c>
      <c r="CF77" s="194">
        <f>AY59-CE77</f>
        <v>-24022</v>
      </c>
    </row>
    <row r="78" spans="1:84" ht="12.65" customHeight="1" x14ac:dyDescent="0.35">
      <c r="A78" s="171" t="s">
        <v>250</v>
      </c>
      <c r="B78" s="175"/>
      <c r="C78" s="285">
        <v>958</v>
      </c>
      <c r="D78" s="285"/>
      <c r="E78" s="285">
        <v>4017</v>
      </c>
      <c r="F78" s="285"/>
      <c r="G78" s="285"/>
      <c r="H78" s="285"/>
      <c r="I78" s="285">
        <v>6789</v>
      </c>
      <c r="J78" s="285"/>
      <c r="K78" s="285"/>
      <c r="L78" s="285"/>
      <c r="M78" s="285"/>
      <c r="N78" s="285"/>
      <c r="O78" s="285"/>
      <c r="P78" s="285">
        <v>2360</v>
      </c>
      <c r="Q78" s="285">
        <v>262</v>
      </c>
      <c r="R78" s="285">
        <v>79</v>
      </c>
      <c r="S78" s="285"/>
      <c r="T78" s="285"/>
      <c r="U78" s="285">
        <v>558</v>
      </c>
      <c r="V78" s="285"/>
      <c r="W78" s="285">
        <v>209</v>
      </c>
      <c r="X78" s="285">
        <v>175</v>
      </c>
      <c r="Y78" s="285">
        <v>1109</v>
      </c>
      <c r="Z78" s="285"/>
      <c r="AA78" s="285">
        <v>186</v>
      </c>
      <c r="AB78" s="285">
        <v>353</v>
      </c>
      <c r="AC78" s="285">
        <v>333</v>
      </c>
      <c r="AD78" s="285"/>
      <c r="AE78" s="285">
        <v>113</v>
      </c>
      <c r="AF78" s="285"/>
      <c r="AG78" s="285">
        <v>3397</v>
      </c>
      <c r="AH78" s="285"/>
      <c r="AI78" s="285"/>
      <c r="AJ78" s="184">
        <v>262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285"/>
      <c r="AW78" s="184"/>
      <c r="AX78" s="247" t="s">
        <v>221</v>
      </c>
      <c r="AY78" s="247" t="s">
        <v>221</v>
      </c>
      <c r="AZ78" s="247" t="s">
        <v>221</v>
      </c>
      <c r="BA78" s="184"/>
      <c r="BB78" s="184"/>
      <c r="BC78" s="184"/>
      <c r="BD78" s="247" t="s">
        <v>221</v>
      </c>
      <c r="BE78" s="247" t="s">
        <v>221</v>
      </c>
      <c r="BF78" s="247" t="s">
        <v>221</v>
      </c>
      <c r="BG78" s="247" t="s">
        <v>221</v>
      </c>
      <c r="BH78" s="184"/>
      <c r="BI78" s="184"/>
      <c r="BJ78" s="247" t="s">
        <v>221</v>
      </c>
      <c r="BK78" s="184"/>
      <c r="BL78" s="184"/>
      <c r="BM78" s="184"/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7" t="s">
        <v>221</v>
      </c>
      <c r="CD78" s="247" t="s">
        <v>221</v>
      </c>
      <c r="CE78" s="194">
        <f t="shared" si="8"/>
        <v>21160</v>
      </c>
      <c r="CF78" s="194"/>
    </row>
    <row r="79" spans="1:84" ht="12.65" customHeight="1" x14ac:dyDescent="0.35">
      <c r="A79" s="171" t="s">
        <v>251</v>
      </c>
      <c r="B79" s="175"/>
      <c r="C79" s="292">
        <v>7450</v>
      </c>
      <c r="D79" s="224"/>
      <c r="E79" s="285">
        <v>54075</v>
      </c>
      <c r="F79" s="184"/>
      <c r="G79" s="184"/>
      <c r="H79" s="184"/>
      <c r="I79" s="285">
        <v>5443</v>
      </c>
      <c r="J79" s="184"/>
      <c r="K79" s="184"/>
      <c r="L79" s="184"/>
      <c r="M79" s="184"/>
      <c r="N79" s="184"/>
      <c r="O79" s="184"/>
      <c r="P79" s="184">
        <v>37228</v>
      </c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>
        <v>5019</v>
      </c>
      <c r="AF79" s="184"/>
      <c r="AG79" s="184">
        <v>29182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7" t="s">
        <v>221</v>
      </c>
      <c r="AY79" s="247" t="s">
        <v>221</v>
      </c>
      <c r="AZ79" s="247" t="s">
        <v>221</v>
      </c>
      <c r="BA79" s="247" t="s">
        <v>221</v>
      </c>
      <c r="BB79" s="184"/>
      <c r="BC79" s="184"/>
      <c r="BD79" s="247" t="s">
        <v>221</v>
      </c>
      <c r="BE79" s="247" t="s">
        <v>221</v>
      </c>
      <c r="BF79" s="247" t="s">
        <v>221</v>
      </c>
      <c r="BG79" s="247" t="s">
        <v>221</v>
      </c>
      <c r="BH79" s="184"/>
      <c r="BI79" s="184"/>
      <c r="BJ79" s="247" t="s">
        <v>221</v>
      </c>
      <c r="BK79" s="184"/>
      <c r="BL79" s="184"/>
      <c r="BM79" s="184"/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7" t="s">
        <v>221</v>
      </c>
      <c r="CD79" s="247" t="s">
        <v>221</v>
      </c>
      <c r="CE79" s="194">
        <f t="shared" si="8"/>
        <v>138397</v>
      </c>
      <c r="CF79" s="194">
        <f>BA59</f>
        <v>0</v>
      </c>
    </row>
    <row r="80" spans="1:84" ht="21" customHeight="1" x14ac:dyDescent="0.35">
      <c r="A80" s="171" t="s">
        <v>252</v>
      </c>
      <c r="B80" s="175"/>
      <c r="C80" s="286">
        <v>8.4</v>
      </c>
      <c r="D80" s="186"/>
      <c r="E80" s="286">
        <v>21.24</v>
      </c>
      <c r="F80" s="186"/>
      <c r="G80" s="286"/>
      <c r="H80" s="186"/>
      <c r="I80" s="286">
        <v>11.9</v>
      </c>
      <c r="J80" s="186"/>
      <c r="K80" s="186"/>
      <c r="L80" s="186"/>
      <c r="M80" s="186"/>
      <c r="N80" s="286"/>
      <c r="O80" s="186"/>
      <c r="P80" s="286">
        <v>3.11</v>
      </c>
      <c r="Q80" s="286">
        <v>2.31</v>
      </c>
      <c r="R80" s="2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>
        <v>16.739999999999998</v>
      </c>
      <c r="AH80" s="186"/>
      <c r="AI80" s="186"/>
      <c r="AJ80" s="186">
        <v>5.64</v>
      </c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69.34</v>
      </c>
      <c r="CF80" s="253"/>
    </row>
    <row r="81" spans="1:10" ht="12.65" customHeight="1" x14ac:dyDescent="0.35">
      <c r="A81" s="207" t="s">
        <v>253</v>
      </c>
      <c r="B81" s="207"/>
      <c r="C81" s="207"/>
      <c r="D81" s="207"/>
      <c r="E81" s="207"/>
    </row>
    <row r="82" spans="1:10" ht="12.65" customHeight="1" x14ac:dyDescent="0.35">
      <c r="A82" s="171" t="s">
        <v>254</v>
      </c>
      <c r="B82" s="172"/>
      <c r="C82" s="279" t="s">
        <v>1277</v>
      </c>
      <c r="D82" s="254"/>
      <c r="E82" s="175"/>
    </row>
    <row r="83" spans="1:10" ht="12.65" customHeight="1" x14ac:dyDescent="0.35">
      <c r="A83" s="173" t="s">
        <v>255</v>
      </c>
      <c r="B83" s="172" t="s">
        <v>256</v>
      </c>
      <c r="C83" s="226" t="s">
        <v>1267</v>
      </c>
      <c r="D83" s="254"/>
      <c r="E83" s="175"/>
    </row>
    <row r="84" spans="1:10" ht="12.65" customHeight="1" x14ac:dyDescent="0.35">
      <c r="A84" s="173" t="s">
        <v>257</v>
      </c>
      <c r="B84" s="172" t="s">
        <v>256</v>
      </c>
      <c r="C84" s="229" t="s">
        <v>1268</v>
      </c>
      <c r="D84" s="204"/>
      <c r="E84" s="203"/>
    </row>
    <row r="85" spans="1:10" ht="12.65" customHeight="1" x14ac:dyDescent="0.35">
      <c r="A85" s="173" t="s">
        <v>1251</v>
      </c>
      <c r="B85" s="172"/>
      <c r="C85" s="268" t="s">
        <v>1269</v>
      </c>
      <c r="D85" s="204"/>
      <c r="E85" s="203"/>
    </row>
    <row r="86" spans="1:10" ht="12.65" customHeight="1" x14ac:dyDescent="0.35">
      <c r="A86" s="173" t="s">
        <v>1252</v>
      </c>
      <c r="B86" s="172" t="s">
        <v>256</v>
      </c>
      <c r="C86" s="268" t="s">
        <v>1269</v>
      </c>
      <c r="D86" s="204"/>
      <c r="E86" s="203"/>
      <c r="J86" s="284"/>
    </row>
    <row r="87" spans="1:10" ht="12.65" customHeight="1" x14ac:dyDescent="0.35">
      <c r="A87" s="173" t="s">
        <v>258</v>
      </c>
      <c r="B87" s="172" t="s">
        <v>256</v>
      </c>
      <c r="C87" s="229" t="s">
        <v>1270</v>
      </c>
      <c r="D87" s="204"/>
      <c r="E87" s="203"/>
      <c r="J87" s="284"/>
    </row>
    <row r="88" spans="1:10" ht="12.65" customHeight="1" x14ac:dyDescent="0.35">
      <c r="A88" s="173" t="s">
        <v>259</v>
      </c>
      <c r="B88" s="172" t="s">
        <v>256</v>
      </c>
      <c r="C88" s="229" t="s">
        <v>1271</v>
      </c>
      <c r="D88" s="204"/>
      <c r="E88" s="203"/>
      <c r="J88" s="284"/>
    </row>
    <row r="89" spans="1:10" ht="12.65" customHeight="1" x14ac:dyDescent="0.35">
      <c r="A89" s="173" t="s">
        <v>260</v>
      </c>
      <c r="B89" s="172" t="s">
        <v>256</v>
      </c>
      <c r="C89" s="229" t="s">
        <v>1276</v>
      </c>
      <c r="D89" s="204"/>
      <c r="E89" s="203"/>
    </row>
    <row r="90" spans="1:10" ht="12.65" customHeight="1" x14ac:dyDescent="0.35">
      <c r="A90" s="173" t="s">
        <v>261</v>
      </c>
      <c r="B90" s="172" t="s">
        <v>256</v>
      </c>
      <c r="C90" s="229" t="s">
        <v>1272</v>
      </c>
      <c r="D90" s="204"/>
      <c r="E90" s="203"/>
    </row>
    <row r="91" spans="1:10" ht="12.65" customHeight="1" x14ac:dyDescent="0.35">
      <c r="A91" s="173" t="s">
        <v>262</v>
      </c>
      <c r="B91" s="172" t="s">
        <v>256</v>
      </c>
      <c r="C91" s="229" t="s">
        <v>1273</v>
      </c>
      <c r="D91" s="204"/>
      <c r="E91" s="203"/>
    </row>
    <row r="92" spans="1:10" ht="12.65" customHeight="1" x14ac:dyDescent="0.35">
      <c r="A92" s="173" t="s">
        <v>263</v>
      </c>
      <c r="B92" s="172" t="s">
        <v>256</v>
      </c>
      <c r="C92" s="225" t="s">
        <v>1274</v>
      </c>
      <c r="D92" s="254"/>
      <c r="E92" s="175"/>
    </row>
    <row r="93" spans="1:10" ht="12.65" customHeight="1" x14ac:dyDescent="0.35">
      <c r="A93" s="173" t="s">
        <v>264</v>
      </c>
      <c r="B93" s="172" t="s">
        <v>256</v>
      </c>
      <c r="C93" s="283" t="s">
        <v>1275</v>
      </c>
      <c r="D93" s="254"/>
      <c r="E93" s="175"/>
    </row>
    <row r="94" spans="1:10" ht="12.65" customHeight="1" x14ac:dyDescent="0.35">
      <c r="A94" s="173"/>
      <c r="B94" s="173"/>
      <c r="C94" s="190"/>
      <c r="D94" s="175"/>
      <c r="E94" s="175"/>
    </row>
    <row r="95" spans="1:10" ht="12.65" customHeight="1" x14ac:dyDescent="0.35">
      <c r="A95" s="207" t="s">
        <v>265</v>
      </c>
      <c r="B95" s="207"/>
      <c r="C95" s="207"/>
      <c r="D95" s="207"/>
      <c r="E95" s="207"/>
    </row>
    <row r="96" spans="1:10" ht="12.65" customHeight="1" x14ac:dyDescent="0.35">
      <c r="A96" s="255" t="s">
        <v>266</v>
      </c>
      <c r="B96" s="255"/>
      <c r="C96" s="255"/>
      <c r="D96" s="255"/>
      <c r="E96" s="255"/>
    </row>
    <row r="97" spans="1:5" ht="12.65" customHeight="1" x14ac:dyDescent="0.35">
      <c r="A97" s="173" t="s">
        <v>267</v>
      </c>
      <c r="B97" s="172" t="s">
        <v>256</v>
      </c>
      <c r="C97" s="188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8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8">
        <v>1</v>
      </c>
      <c r="D99" s="175"/>
      <c r="E99" s="175"/>
    </row>
    <row r="100" spans="1:5" ht="12.65" customHeight="1" x14ac:dyDescent="0.35">
      <c r="A100" s="255" t="s">
        <v>269</v>
      </c>
      <c r="B100" s="255"/>
      <c r="C100" s="255"/>
      <c r="D100" s="255"/>
      <c r="E100" s="255"/>
    </row>
    <row r="101" spans="1:5" ht="12.65" customHeight="1" x14ac:dyDescent="0.35">
      <c r="A101" s="173" t="s">
        <v>270</v>
      </c>
      <c r="B101" s="172" t="s">
        <v>256</v>
      </c>
      <c r="C101" s="188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5" t="s">
        <v>271</v>
      </c>
      <c r="B103" s="255"/>
      <c r="C103" s="255"/>
      <c r="D103" s="255"/>
      <c r="E103" s="255"/>
    </row>
    <row r="104" spans="1:5" ht="12.65" customHeight="1" x14ac:dyDescent="0.35">
      <c r="A104" s="173" t="s">
        <v>272</v>
      </c>
      <c r="B104" s="172" t="s">
        <v>256</v>
      </c>
      <c r="C104" s="188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8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8"/>
      <c r="D106" s="175"/>
      <c r="E106" s="175"/>
    </row>
    <row r="107" spans="1:5" ht="21.75" customHeight="1" x14ac:dyDescent="0.35">
      <c r="A107" s="173"/>
      <c r="B107" s="172"/>
      <c r="C107" s="189"/>
      <c r="D107" s="175"/>
      <c r="E107" s="175"/>
    </row>
    <row r="108" spans="1:5" ht="13.5" customHeight="1" x14ac:dyDescent="0.35">
      <c r="A108" s="206" t="s">
        <v>275</v>
      </c>
      <c r="B108" s="207"/>
      <c r="C108" s="207"/>
      <c r="D108" s="207"/>
      <c r="E108" s="207"/>
    </row>
    <row r="109" spans="1:5" ht="13.5" customHeight="1" x14ac:dyDescent="0.35">
      <c r="A109" s="173"/>
      <c r="B109" s="172"/>
      <c r="C109" s="189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291">
        <v>692</v>
      </c>
      <c r="D111" s="290">
        <v>2719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291"/>
      <c r="D112" s="290"/>
      <c r="E112" s="175"/>
    </row>
    <row r="113" spans="1:5" ht="12.65" customHeight="1" x14ac:dyDescent="0.35">
      <c r="A113" s="173" t="s">
        <v>280</v>
      </c>
      <c r="B113" s="172" t="s">
        <v>256</v>
      </c>
      <c r="C113" s="291">
        <v>459</v>
      </c>
      <c r="D113" s="290">
        <v>4077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291"/>
      <c r="D114" s="290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291">
        <v>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291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291">
        <v>26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291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291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291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291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291"/>
      <c r="D123" s="175"/>
      <c r="E123" s="175"/>
    </row>
    <row r="124" spans="1:5" ht="12.65" customHeight="1" x14ac:dyDescent="0.35">
      <c r="A124" s="173" t="s">
        <v>289</v>
      </c>
      <c r="B124" s="172"/>
      <c r="C124" s="291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291">
        <v>36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291"/>
      <c r="D126" s="175"/>
      <c r="E126" s="175"/>
    </row>
    <row r="127" spans="1:5" ht="12.65" customHeight="1" x14ac:dyDescent="0.35">
      <c r="A127" s="173" t="s">
        <v>291</v>
      </c>
      <c r="B127" s="175"/>
      <c r="C127" s="233"/>
      <c r="D127" s="175"/>
      <c r="E127" s="175">
        <f>SUM(C116:C126)</f>
        <v>66</v>
      </c>
    </row>
    <row r="128" spans="1:5" ht="12.65" customHeight="1" x14ac:dyDescent="0.35">
      <c r="A128" s="173" t="s">
        <v>292</v>
      </c>
      <c r="B128" s="172" t="s">
        <v>256</v>
      </c>
      <c r="C128" s="291">
        <v>112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8"/>
      <c r="D129" s="175"/>
      <c r="E129" s="175"/>
    </row>
    <row r="130" spans="1:6" ht="12.65" customHeight="1" x14ac:dyDescent="0.35">
      <c r="A130" s="173"/>
      <c r="B130" s="175"/>
      <c r="C130" s="190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8"/>
      <c r="D131" s="175"/>
      <c r="E131" s="175"/>
    </row>
    <row r="132" spans="1:6" ht="12.65" customHeight="1" x14ac:dyDescent="0.35">
      <c r="A132" s="173"/>
      <c r="B132" s="173"/>
      <c r="C132" s="190"/>
      <c r="D132" s="175"/>
      <c r="E132" s="175"/>
    </row>
    <row r="133" spans="1:6" ht="12.65" customHeight="1" x14ac:dyDescent="0.35">
      <c r="A133" s="173"/>
      <c r="B133" s="173"/>
      <c r="C133" s="190"/>
      <c r="D133" s="175"/>
      <c r="E133" s="175"/>
    </row>
    <row r="134" spans="1:6" ht="12.65" customHeight="1" x14ac:dyDescent="0.35">
      <c r="A134" s="173"/>
      <c r="B134" s="173"/>
      <c r="C134" s="190"/>
      <c r="D134" s="175"/>
      <c r="E134" s="175"/>
    </row>
    <row r="135" spans="1:6" ht="18" customHeight="1" x14ac:dyDescent="0.35">
      <c r="A135" s="173"/>
      <c r="B135" s="173"/>
      <c r="C135" s="190"/>
      <c r="D135" s="175"/>
      <c r="E135" s="175"/>
    </row>
    <row r="136" spans="1:6" ht="12.65" customHeight="1" x14ac:dyDescent="0.35">
      <c r="A136" s="207" t="s">
        <v>1240</v>
      </c>
      <c r="B136" s="206"/>
      <c r="C136" s="206"/>
      <c r="D136" s="206"/>
      <c r="E136" s="206"/>
    </row>
    <row r="137" spans="1:6" ht="12.65" customHeight="1" x14ac:dyDescent="0.35">
      <c r="A137" s="256" t="s">
        <v>295</v>
      </c>
      <c r="B137" s="176" t="s">
        <v>296</v>
      </c>
      <c r="C137" s="191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290">
        <v>412</v>
      </c>
      <c r="C138" s="291">
        <v>165</v>
      </c>
      <c r="D138" s="290">
        <v>180</v>
      </c>
      <c r="E138" s="175">
        <f>SUM(B138:D138)</f>
        <v>757</v>
      </c>
    </row>
    <row r="139" spans="1:6" ht="12.65" customHeight="1" x14ac:dyDescent="0.35">
      <c r="A139" s="173" t="s">
        <v>215</v>
      </c>
      <c r="B139" s="290">
        <v>695</v>
      </c>
      <c r="C139" s="291">
        <v>355</v>
      </c>
      <c r="D139" s="290">
        <v>2017</v>
      </c>
      <c r="E139" s="175">
        <f>SUM(B139:D139)</f>
        <v>3067</v>
      </c>
    </row>
    <row r="140" spans="1:6" ht="12.65" customHeight="1" x14ac:dyDescent="0.35">
      <c r="A140" s="173" t="s">
        <v>298</v>
      </c>
      <c r="B140" s="290">
        <v>6293</v>
      </c>
      <c r="C140" s="290">
        <v>3489</v>
      </c>
      <c r="D140" s="290">
        <v>26317</v>
      </c>
      <c r="E140" s="175">
        <f>SUM(B140:D140)</f>
        <v>36099</v>
      </c>
    </row>
    <row r="141" spans="1:6" ht="12.65" customHeight="1" x14ac:dyDescent="0.35">
      <c r="A141" s="173" t="s">
        <v>245</v>
      </c>
      <c r="B141" s="290">
        <v>7093557</v>
      </c>
      <c r="C141" s="291">
        <v>2629564</v>
      </c>
      <c r="D141" s="290">
        <v>17690981</v>
      </c>
      <c r="E141" s="175">
        <f>SUM(B141:D141)</f>
        <v>27414102</v>
      </c>
      <c r="F141" s="198"/>
    </row>
    <row r="142" spans="1:6" ht="12.65" customHeight="1" x14ac:dyDescent="0.35">
      <c r="A142" s="173" t="s">
        <v>246</v>
      </c>
      <c r="B142" s="290">
        <v>12535316</v>
      </c>
      <c r="C142" s="291">
        <v>10595036</v>
      </c>
      <c r="D142" s="290">
        <v>65104143</v>
      </c>
      <c r="E142" s="175">
        <f>SUM(B142:D142)</f>
        <v>88234495</v>
      </c>
      <c r="F142" s="198"/>
    </row>
    <row r="143" spans="1:6" ht="12.65" customHeight="1" x14ac:dyDescent="0.35">
      <c r="A143" s="256" t="s">
        <v>299</v>
      </c>
      <c r="B143" s="176" t="s">
        <v>296</v>
      </c>
      <c r="C143" s="191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8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8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8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8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8"/>
      <c r="D148" s="174"/>
      <c r="E148" s="175">
        <f>SUM(B148:D148)</f>
        <v>0</v>
      </c>
    </row>
    <row r="149" spans="1:5" ht="12.65" customHeight="1" x14ac:dyDescent="0.35">
      <c r="A149" s="256" t="s">
        <v>300</v>
      </c>
      <c r="B149" s="176" t="s">
        <v>296</v>
      </c>
      <c r="C149" s="191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290">
        <v>27</v>
      </c>
      <c r="C150" s="291">
        <v>11</v>
      </c>
      <c r="D150" s="290">
        <v>466</v>
      </c>
      <c r="E150" s="175">
        <f>SUM(B150:D150)</f>
        <v>504</v>
      </c>
    </row>
    <row r="151" spans="1:5" ht="12.65" customHeight="1" x14ac:dyDescent="0.35">
      <c r="A151" s="173" t="s">
        <v>215</v>
      </c>
      <c r="B151" s="290">
        <v>292</v>
      </c>
      <c r="C151" s="291">
        <v>196</v>
      </c>
      <c r="D151" s="290">
        <v>3940</v>
      </c>
      <c r="E151" s="175">
        <f>SUM(B151:D151)</f>
        <v>4428</v>
      </c>
    </row>
    <row r="152" spans="1:5" ht="12.65" customHeight="1" x14ac:dyDescent="0.35">
      <c r="A152" s="173" t="s">
        <v>298</v>
      </c>
      <c r="B152" s="290">
        <v>0</v>
      </c>
      <c r="C152" s="291">
        <v>0</v>
      </c>
      <c r="D152" s="290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290">
        <v>217258</v>
      </c>
      <c r="C153" s="291">
        <v>418306</v>
      </c>
      <c r="D153" s="290">
        <v>3702004</v>
      </c>
      <c r="E153" s="175">
        <f>SUM(B153:D153)</f>
        <v>4337568</v>
      </c>
    </row>
    <row r="154" spans="1:5" ht="12.65" customHeight="1" x14ac:dyDescent="0.35">
      <c r="A154" s="173" t="s">
        <v>246</v>
      </c>
      <c r="B154" s="290">
        <v>0</v>
      </c>
      <c r="C154" s="291">
        <v>0</v>
      </c>
      <c r="D154" s="290">
        <v>486596</v>
      </c>
      <c r="E154" s="175">
        <f>SUM(B154:D154)</f>
        <v>486596</v>
      </c>
    </row>
    <row r="155" spans="1:5" ht="12.65" customHeight="1" x14ac:dyDescent="0.35">
      <c r="A155" s="177"/>
      <c r="B155" s="177"/>
      <c r="C155" s="192"/>
      <c r="D155" s="178"/>
      <c r="E155" s="175"/>
    </row>
    <row r="156" spans="1:5" ht="12.65" customHeight="1" x14ac:dyDescent="0.35">
      <c r="A156" s="256" t="s">
        <v>301</v>
      </c>
      <c r="B156" s="176" t="s">
        <v>302</v>
      </c>
      <c r="C156" s="191" t="s">
        <v>303</v>
      </c>
      <c r="D156" s="175"/>
      <c r="E156" s="175"/>
    </row>
    <row r="157" spans="1:5" ht="12.65" customHeight="1" x14ac:dyDescent="0.35">
      <c r="A157" s="177" t="s">
        <v>304</v>
      </c>
      <c r="B157" s="290">
        <v>2695165</v>
      </c>
      <c r="C157" s="290">
        <v>1472683</v>
      </c>
      <c r="D157" s="175"/>
      <c r="E157" s="175"/>
    </row>
    <row r="158" spans="1:5" ht="12.65" customHeight="1" x14ac:dyDescent="0.35">
      <c r="A158" s="177"/>
      <c r="B158" s="178"/>
      <c r="C158" s="192"/>
      <c r="D158" s="175"/>
      <c r="E158" s="175"/>
    </row>
    <row r="159" spans="1:5" ht="12.65" customHeight="1" x14ac:dyDescent="0.35">
      <c r="A159" s="177"/>
      <c r="B159" s="177"/>
      <c r="C159" s="192"/>
      <c r="D159" s="178"/>
      <c r="E159" s="175"/>
    </row>
    <row r="160" spans="1:5" ht="12.65" customHeight="1" x14ac:dyDescent="0.35">
      <c r="A160" s="177"/>
      <c r="B160" s="177"/>
      <c r="C160" s="192"/>
      <c r="D160" s="178"/>
      <c r="E160" s="175"/>
    </row>
    <row r="161" spans="1:5" ht="12.65" customHeight="1" x14ac:dyDescent="0.35">
      <c r="A161" s="177"/>
      <c r="B161" s="177"/>
      <c r="C161" s="192"/>
      <c r="D161" s="178"/>
      <c r="E161" s="175"/>
    </row>
    <row r="162" spans="1:5" ht="21.75" customHeight="1" x14ac:dyDescent="0.35">
      <c r="A162" s="177"/>
      <c r="B162" s="177"/>
      <c r="C162" s="192"/>
      <c r="D162" s="178"/>
      <c r="E162" s="175"/>
    </row>
    <row r="163" spans="1:5" ht="11.5" customHeight="1" x14ac:dyDescent="0.35">
      <c r="A163" s="206" t="s">
        <v>305</v>
      </c>
      <c r="B163" s="207"/>
      <c r="C163" s="207"/>
      <c r="D163" s="207"/>
      <c r="E163" s="207"/>
    </row>
    <row r="164" spans="1:5" ht="11.5" customHeight="1" x14ac:dyDescent="0.35">
      <c r="A164" s="255" t="s">
        <v>306</v>
      </c>
      <c r="B164" s="255"/>
      <c r="C164" s="255"/>
      <c r="D164" s="255"/>
      <c r="E164" s="255"/>
    </row>
    <row r="165" spans="1:5" ht="11.5" customHeight="1" x14ac:dyDescent="0.35">
      <c r="A165" s="173" t="s">
        <v>307</v>
      </c>
      <c r="B165" s="172" t="s">
        <v>256</v>
      </c>
      <c r="C165" s="291">
        <v>1611220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291">
        <v>342345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291">
        <v>246556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291">
        <v>2458005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291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291">
        <f>29398+485026</f>
        <v>514424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291">
        <v>1512967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291">
        <f>31081+1443+7494+166785+1</f>
        <v>206804</v>
      </c>
      <c r="D172" s="175"/>
      <c r="E172" s="175"/>
    </row>
    <row r="173" spans="1:5" ht="11.5" customHeight="1" x14ac:dyDescent="0.35">
      <c r="A173" s="173" t="s">
        <v>203</v>
      </c>
      <c r="B173" s="175"/>
      <c r="C173" s="190"/>
      <c r="D173" s="175">
        <f>SUM(C165:C172)</f>
        <v>6892321</v>
      </c>
      <c r="E173" s="175"/>
    </row>
    <row r="174" spans="1:5" ht="11.5" customHeight="1" x14ac:dyDescent="0.35">
      <c r="A174" s="255" t="s">
        <v>314</v>
      </c>
      <c r="B174" s="255"/>
      <c r="C174" s="255"/>
      <c r="D174" s="255"/>
      <c r="E174" s="255"/>
    </row>
    <row r="175" spans="1:5" ht="11.5" customHeight="1" x14ac:dyDescent="0.35">
      <c r="A175" s="173" t="s">
        <v>315</v>
      </c>
      <c r="B175" s="172" t="s">
        <v>256</v>
      </c>
      <c r="C175" s="291">
        <v>863047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291">
        <v>321575</v>
      </c>
      <c r="D176" s="175"/>
      <c r="E176" s="175"/>
    </row>
    <row r="177" spans="1:5" ht="11.5" customHeight="1" x14ac:dyDescent="0.35">
      <c r="A177" s="173" t="s">
        <v>203</v>
      </c>
      <c r="B177" s="175"/>
      <c r="C177" s="190"/>
      <c r="D177" s="175">
        <f>SUM(C175:C176)</f>
        <v>1184622</v>
      </c>
      <c r="E177" s="175"/>
    </row>
    <row r="178" spans="1:5" ht="11.5" customHeight="1" x14ac:dyDescent="0.35">
      <c r="A178" s="255" t="s">
        <v>317</v>
      </c>
      <c r="B178" s="255"/>
      <c r="C178" s="255"/>
      <c r="D178" s="255"/>
      <c r="E178" s="255"/>
    </row>
    <row r="179" spans="1:5" ht="11.5" customHeight="1" x14ac:dyDescent="0.35">
      <c r="A179" s="173" t="s">
        <v>318</v>
      </c>
      <c r="B179" s="172" t="s">
        <v>256</v>
      </c>
      <c r="C179" s="291">
        <v>29983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291">
        <f>9339+123516</f>
        <v>132855</v>
      </c>
      <c r="D180" s="175"/>
      <c r="E180" s="175"/>
    </row>
    <row r="181" spans="1:5" ht="11.5" customHeight="1" x14ac:dyDescent="0.35">
      <c r="A181" s="173" t="s">
        <v>203</v>
      </c>
      <c r="B181" s="175"/>
      <c r="C181" s="190"/>
      <c r="D181" s="175">
        <f>SUM(C179:C180)</f>
        <v>162838</v>
      </c>
      <c r="E181" s="175"/>
    </row>
    <row r="182" spans="1:5" ht="11.5" customHeight="1" x14ac:dyDescent="0.35">
      <c r="A182" s="255" t="s">
        <v>320</v>
      </c>
      <c r="B182" s="255"/>
      <c r="C182" s="255"/>
      <c r="D182" s="255"/>
      <c r="E182" s="255"/>
    </row>
    <row r="183" spans="1:5" ht="11.5" customHeight="1" x14ac:dyDescent="0.35">
      <c r="A183" s="173" t="s">
        <v>321</v>
      </c>
      <c r="B183" s="172" t="s">
        <v>256</v>
      </c>
      <c r="C183" s="291">
        <f>3507+49536</f>
        <v>53043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291">
        <v>342555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8"/>
      <c r="D185" s="175"/>
      <c r="E185" s="175"/>
    </row>
    <row r="186" spans="1:5" ht="11.5" customHeight="1" x14ac:dyDescent="0.35">
      <c r="A186" s="173" t="s">
        <v>203</v>
      </c>
      <c r="B186" s="175"/>
      <c r="C186" s="190"/>
      <c r="D186" s="175">
        <f>SUM(C183:C185)</f>
        <v>395598</v>
      </c>
      <c r="E186" s="175"/>
    </row>
    <row r="187" spans="1:5" ht="11.5" customHeight="1" x14ac:dyDescent="0.35">
      <c r="A187" s="255" t="s">
        <v>323</v>
      </c>
      <c r="B187" s="255"/>
      <c r="C187" s="255"/>
      <c r="D187" s="255"/>
      <c r="E187" s="255"/>
    </row>
    <row r="188" spans="1:5" ht="11.5" customHeight="1" x14ac:dyDescent="0.35">
      <c r="A188" s="173" t="s">
        <v>324</v>
      </c>
      <c r="B188" s="172" t="s">
        <v>256</v>
      </c>
      <c r="C188" s="188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291">
        <f>806619.26</f>
        <v>806619.26</v>
      </c>
      <c r="D189" s="175"/>
      <c r="E189" s="175"/>
    </row>
    <row r="190" spans="1:5" ht="11.5" customHeight="1" x14ac:dyDescent="0.35">
      <c r="A190" s="173" t="s">
        <v>203</v>
      </c>
      <c r="B190" s="175"/>
      <c r="C190" s="190"/>
      <c r="D190" s="175">
        <f>SUM(C188:C189)</f>
        <v>806619.26</v>
      </c>
      <c r="E190" s="175"/>
    </row>
    <row r="191" spans="1:5" ht="18" customHeight="1" x14ac:dyDescent="0.35">
      <c r="A191" s="173"/>
      <c r="B191" s="175"/>
      <c r="C191" s="190"/>
      <c r="D191" s="175"/>
      <c r="E191" s="175"/>
    </row>
    <row r="192" spans="1:5" ht="12.65" customHeight="1" x14ac:dyDescent="0.35">
      <c r="A192" s="207" t="s">
        <v>326</v>
      </c>
      <c r="B192" s="207"/>
      <c r="C192" s="207"/>
      <c r="D192" s="207"/>
      <c r="E192" s="207"/>
    </row>
    <row r="193" spans="1:8" ht="12.65" customHeight="1" x14ac:dyDescent="0.35">
      <c r="A193" s="206" t="s">
        <v>327</v>
      </c>
      <c r="B193" s="207"/>
      <c r="C193" s="207"/>
      <c r="D193" s="207"/>
      <c r="E193" s="207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290">
        <v>1878610</v>
      </c>
      <c r="C195" s="291">
        <v>0</v>
      </c>
      <c r="D195" s="290">
        <v>0</v>
      </c>
      <c r="E195" s="175">
        <f t="shared" ref="E195:E203" si="10">SUM(B195:C195)-D195</f>
        <v>1878610</v>
      </c>
    </row>
    <row r="196" spans="1:8" ht="12.65" customHeight="1" x14ac:dyDescent="0.35">
      <c r="A196" s="173" t="s">
        <v>333</v>
      </c>
      <c r="B196" s="290">
        <v>1233752</v>
      </c>
      <c r="C196" s="291">
        <v>0</v>
      </c>
      <c r="D196" s="290">
        <v>0</v>
      </c>
      <c r="E196" s="175">
        <f t="shared" si="10"/>
        <v>1233752</v>
      </c>
    </row>
    <row r="197" spans="1:8" ht="12.65" customHeight="1" x14ac:dyDescent="0.35">
      <c r="A197" s="173" t="s">
        <v>334</v>
      </c>
      <c r="B197" s="290">
        <v>24076262</v>
      </c>
      <c r="C197" s="291">
        <f>109303+2817993</f>
        <v>2927296</v>
      </c>
      <c r="D197" s="290">
        <v>0</v>
      </c>
      <c r="E197" s="175">
        <f t="shared" si="10"/>
        <v>27003558</v>
      </c>
    </row>
    <row r="198" spans="1:8" ht="12.65" customHeight="1" x14ac:dyDescent="0.35">
      <c r="A198" s="173" t="s">
        <v>335</v>
      </c>
      <c r="B198" s="290">
        <v>2730523</v>
      </c>
      <c r="C198" s="291">
        <v>21862</v>
      </c>
      <c r="D198" s="290">
        <v>20982</v>
      </c>
      <c r="E198" s="175">
        <f t="shared" si="10"/>
        <v>2731403</v>
      </c>
    </row>
    <row r="199" spans="1:8" ht="12.65" customHeight="1" x14ac:dyDescent="0.35">
      <c r="A199" s="173" t="s">
        <v>336</v>
      </c>
      <c r="B199" s="290">
        <v>0</v>
      </c>
      <c r="C199" s="291">
        <v>0</v>
      </c>
      <c r="D199" s="290">
        <v>0</v>
      </c>
      <c r="E199" s="175">
        <f t="shared" si="10"/>
        <v>0</v>
      </c>
    </row>
    <row r="200" spans="1:8" ht="12.65" customHeight="1" x14ac:dyDescent="0.35">
      <c r="A200" s="173" t="s">
        <v>337</v>
      </c>
      <c r="B200" s="290">
        <v>19541875</v>
      </c>
      <c r="C200" s="291">
        <f>719470+1489575</f>
        <v>2209045</v>
      </c>
      <c r="D200" s="290">
        <v>2368626</v>
      </c>
      <c r="E200" s="175">
        <f t="shared" si="10"/>
        <v>19382294</v>
      </c>
    </row>
    <row r="201" spans="1:8" ht="12.65" customHeight="1" x14ac:dyDescent="0.35">
      <c r="A201" s="173" t="s">
        <v>338</v>
      </c>
      <c r="B201" s="290">
        <v>0</v>
      </c>
      <c r="C201" s="291">
        <v>0</v>
      </c>
      <c r="D201" s="290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290">
        <v>3098250</v>
      </c>
      <c r="C202" s="291">
        <v>10880</v>
      </c>
      <c r="D202" s="290">
        <v>0</v>
      </c>
      <c r="E202" s="175">
        <f t="shared" si="10"/>
        <v>3109130</v>
      </c>
    </row>
    <row r="203" spans="1:8" ht="12.65" customHeight="1" x14ac:dyDescent="0.35">
      <c r="A203" s="173" t="s">
        <v>340</v>
      </c>
      <c r="B203" s="290">
        <v>4508526</v>
      </c>
      <c r="C203" s="291">
        <f>109869-4416871</f>
        <v>-4307002</v>
      </c>
      <c r="D203" s="290">
        <v>0</v>
      </c>
      <c r="E203" s="175">
        <f t="shared" si="10"/>
        <v>201524</v>
      </c>
    </row>
    <row r="204" spans="1:8" ht="12.65" customHeight="1" x14ac:dyDescent="0.35">
      <c r="A204" s="173" t="s">
        <v>203</v>
      </c>
      <c r="B204" s="175">
        <f>SUM(B195:B203)</f>
        <v>57067798</v>
      </c>
      <c r="C204" s="190">
        <f>SUM(C195:C203)</f>
        <v>862081</v>
      </c>
      <c r="D204" s="175">
        <f>SUM(D195:D203)</f>
        <v>2389608</v>
      </c>
      <c r="E204" s="175">
        <f>SUM(E195:E203)</f>
        <v>55540271</v>
      </c>
    </row>
    <row r="205" spans="1:8" ht="12.65" customHeight="1" x14ac:dyDescent="0.35">
      <c r="A205" s="173"/>
      <c r="B205" s="173"/>
      <c r="C205" s="190"/>
      <c r="D205" s="175"/>
      <c r="E205" s="175"/>
    </row>
    <row r="206" spans="1:8" ht="12.65" customHeight="1" x14ac:dyDescent="0.35">
      <c r="A206" s="206" t="s">
        <v>341</v>
      </c>
      <c r="B206" s="206"/>
      <c r="C206" s="206"/>
      <c r="D206" s="206"/>
      <c r="E206" s="206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5" customHeight="1" x14ac:dyDescent="0.35">
      <c r="A208" s="173" t="s">
        <v>332</v>
      </c>
      <c r="B208" s="178"/>
      <c r="C208" s="192"/>
      <c r="D208" s="178"/>
      <c r="E208" s="175"/>
      <c r="H208" s="257"/>
    </row>
    <row r="209" spans="1:8" ht="12.65" customHeight="1" x14ac:dyDescent="0.35">
      <c r="A209" s="173" t="s">
        <v>333</v>
      </c>
      <c r="B209" s="290">
        <v>883098</v>
      </c>
      <c r="C209" s="291">
        <v>55263</v>
      </c>
      <c r="D209" s="290">
        <v>0</v>
      </c>
      <c r="E209" s="175">
        <f t="shared" ref="E209:E216" si="11">SUM(B209:C209)-D209</f>
        <v>938361</v>
      </c>
      <c r="H209" s="257"/>
    </row>
    <row r="210" spans="1:8" ht="12.65" customHeight="1" x14ac:dyDescent="0.35">
      <c r="A210" s="173" t="s">
        <v>334</v>
      </c>
      <c r="B210" s="290">
        <v>18490939</v>
      </c>
      <c r="C210" s="291">
        <v>1008797</v>
      </c>
      <c r="D210" s="290">
        <v>0</v>
      </c>
      <c r="E210" s="175">
        <f t="shared" si="11"/>
        <v>19499736</v>
      </c>
      <c r="H210" s="257"/>
    </row>
    <row r="211" spans="1:8" ht="12.65" customHeight="1" x14ac:dyDescent="0.35">
      <c r="A211" s="173" t="s">
        <v>335</v>
      </c>
      <c r="B211" s="290">
        <v>2412944</v>
      </c>
      <c r="C211" s="291">
        <v>70156</v>
      </c>
      <c r="D211" s="290">
        <v>19683</v>
      </c>
      <c r="E211" s="175">
        <f t="shared" si="11"/>
        <v>2463417</v>
      </c>
      <c r="H211" s="257"/>
    </row>
    <row r="212" spans="1:8" ht="12.65" customHeight="1" x14ac:dyDescent="0.35">
      <c r="A212" s="173" t="s">
        <v>336</v>
      </c>
      <c r="B212" s="290">
        <v>0</v>
      </c>
      <c r="C212" s="291">
        <v>0</v>
      </c>
      <c r="D212" s="290">
        <v>0</v>
      </c>
      <c r="E212" s="175">
        <f t="shared" si="11"/>
        <v>0</v>
      </c>
      <c r="H212" s="257"/>
    </row>
    <row r="213" spans="1:8" ht="12.65" customHeight="1" x14ac:dyDescent="0.35">
      <c r="A213" s="173" t="s">
        <v>337</v>
      </c>
      <c r="B213" s="290">
        <v>16431622</v>
      </c>
      <c r="C213" s="291">
        <v>1162354</v>
      </c>
      <c r="D213" s="290">
        <v>2237074</v>
      </c>
      <c r="E213" s="175">
        <f t="shared" si="11"/>
        <v>15356902</v>
      </c>
      <c r="H213" s="257"/>
    </row>
    <row r="214" spans="1:8" ht="12.65" customHeight="1" x14ac:dyDescent="0.35">
      <c r="A214" s="173" t="s">
        <v>338</v>
      </c>
      <c r="B214" s="290">
        <v>0</v>
      </c>
      <c r="C214" s="291">
        <v>0</v>
      </c>
      <c r="D214" s="290">
        <v>0</v>
      </c>
      <c r="E214" s="175">
        <f t="shared" si="11"/>
        <v>0</v>
      </c>
      <c r="H214" s="257"/>
    </row>
    <row r="215" spans="1:8" ht="12.65" customHeight="1" x14ac:dyDescent="0.35">
      <c r="A215" s="173" t="s">
        <v>339</v>
      </c>
      <c r="B215" s="290">
        <v>2169141</v>
      </c>
      <c r="C215" s="291">
        <v>122260</v>
      </c>
      <c r="D215" s="290">
        <v>0</v>
      </c>
      <c r="E215" s="175">
        <f t="shared" si="11"/>
        <v>2291401</v>
      </c>
      <c r="H215" s="257"/>
    </row>
    <row r="216" spans="1:8" ht="12.65" customHeight="1" x14ac:dyDescent="0.35">
      <c r="A216" s="173" t="s">
        <v>340</v>
      </c>
      <c r="B216" s="290">
        <v>0</v>
      </c>
      <c r="C216" s="291">
        <v>0</v>
      </c>
      <c r="D216" s="290">
        <v>0</v>
      </c>
      <c r="E216" s="175">
        <f t="shared" si="11"/>
        <v>0</v>
      </c>
      <c r="H216" s="257"/>
    </row>
    <row r="217" spans="1:8" ht="12.65" customHeight="1" x14ac:dyDescent="0.35">
      <c r="A217" s="173" t="s">
        <v>203</v>
      </c>
      <c r="B217" s="175">
        <f>SUM(B208:B216)</f>
        <v>40387744</v>
      </c>
      <c r="C217" s="190">
        <f>SUM(C208:C216)</f>
        <v>2418830</v>
      </c>
      <c r="D217" s="175">
        <f>SUM(D208:D216)</f>
        <v>2256757</v>
      </c>
      <c r="E217" s="175">
        <f>SUM(E208:E216)</f>
        <v>40549817</v>
      </c>
    </row>
    <row r="218" spans="1:8" ht="21.75" customHeight="1" x14ac:dyDescent="0.35">
      <c r="A218" s="173"/>
      <c r="B218" s="175"/>
      <c r="C218" s="190"/>
      <c r="D218" s="175"/>
      <c r="E218" s="175"/>
    </row>
    <row r="219" spans="1:8" ht="12.65" customHeight="1" x14ac:dyDescent="0.35">
      <c r="A219" s="207" t="s">
        <v>342</v>
      </c>
      <c r="B219" s="207"/>
      <c r="C219" s="207"/>
      <c r="D219" s="207"/>
      <c r="E219" s="207"/>
    </row>
    <row r="220" spans="1:8" ht="12.65" customHeight="1" x14ac:dyDescent="0.35">
      <c r="A220" s="207"/>
      <c r="B220" s="293" t="s">
        <v>1255</v>
      </c>
      <c r="C220" s="293"/>
      <c r="D220" s="207"/>
      <c r="E220" s="207"/>
    </row>
    <row r="221" spans="1:8" ht="12.65" customHeight="1" x14ac:dyDescent="0.35">
      <c r="A221" s="269" t="s">
        <v>1255</v>
      </c>
      <c r="B221" s="207"/>
      <c r="C221" s="291">
        <v>4421060.63</v>
      </c>
      <c r="D221" s="172">
        <f>C221</f>
        <v>4421060.63</v>
      </c>
      <c r="E221" s="207"/>
    </row>
    <row r="222" spans="1:8" ht="12.65" customHeight="1" x14ac:dyDescent="0.35">
      <c r="A222" s="255" t="s">
        <v>343</v>
      </c>
      <c r="B222" s="255"/>
      <c r="C222" s="255"/>
      <c r="D222" s="255"/>
      <c r="E222" s="255"/>
    </row>
    <row r="223" spans="1:8" ht="12.65" customHeight="1" x14ac:dyDescent="0.35">
      <c r="A223" s="173" t="s">
        <v>344</v>
      </c>
      <c r="B223" s="172" t="s">
        <v>256</v>
      </c>
      <c r="C223" s="188">
        <v>28567904.890000001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8">
        <v>23967335.239999998</v>
      </c>
      <c r="D224" s="175"/>
      <c r="E224" s="175"/>
    </row>
    <row r="225" spans="1:10" ht="12.65" customHeight="1" x14ac:dyDescent="0.35">
      <c r="A225" s="173" t="s">
        <v>346</v>
      </c>
      <c r="B225" s="172" t="s">
        <v>256</v>
      </c>
      <c r="C225" s="188">
        <v>1917599.62</v>
      </c>
      <c r="D225" s="175"/>
      <c r="E225" s="175"/>
      <c r="J225" s="284"/>
    </row>
    <row r="226" spans="1:10" ht="12.65" customHeight="1" x14ac:dyDescent="0.35">
      <c r="A226" s="173" t="s">
        <v>347</v>
      </c>
      <c r="B226" s="172" t="s">
        <v>256</v>
      </c>
      <c r="C226" s="188">
        <v>1775965.56</v>
      </c>
      <c r="D226" s="175"/>
      <c r="E226" s="175"/>
      <c r="J226" s="284"/>
    </row>
    <row r="227" spans="1:10" ht="12.65" customHeight="1" x14ac:dyDescent="0.35">
      <c r="A227" s="173" t="s">
        <v>348</v>
      </c>
      <c r="B227" s="172" t="s">
        <v>256</v>
      </c>
      <c r="C227" s="188">
        <f>75840790.46-56228805</f>
        <v>19611985.459999993</v>
      </c>
      <c r="D227" s="175"/>
      <c r="E227" s="175"/>
    </row>
    <row r="228" spans="1:10" ht="12.65" customHeight="1" x14ac:dyDescent="0.35">
      <c r="A228" s="173" t="s">
        <v>349</v>
      </c>
      <c r="B228" s="172" t="s">
        <v>256</v>
      </c>
      <c r="C228" s="188"/>
      <c r="D228" s="175"/>
      <c r="E228" s="175"/>
    </row>
    <row r="229" spans="1:10" ht="12.65" customHeight="1" x14ac:dyDescent="0.35">
      <c r="A229" s="173" t="s">
        <v>350</v>
      </c>
      <c r="B229" s="175"/>
      <c r="C229" s="190"/>
      <c r="D229" s="175">
        <f>SUM(C223:C228)</f>
        <v>75840790.769999981</v>
      </c>
      <c r="E229" s="175"/>
    </row>
    <row r="230" spans="1:10" ht="12.65" customHeight="1" x14ac:dyDescent="0.35">
      <c r="A230" s="255" t="s">
        <v>351</v>
      </c>
      <c r="B230" s="255"/>
      <c r="C230" s="255"/>
      <c r="D230" s="255"/>
      <c r="E230" s="255"/>
    </row>
    <row r="231" spans="1:10" ht="12.65" customHeight="1" x14ac:dyDescent="0.35">
      <c r="A231" s="171" t="s">
        <v>352</v>
      </c>
      <c r="B231" s="172" t="s">
        <v>256</v>
      </c>
      <c r="C231" s="291">
        <v>873</v>
      </c>
      <c r="D231" s="175"/>
      <c r="E231" s="175"/>
    </row>
    <row r="232" spans="1:10" ht="12.65" customHeight="1" x14ac:dyDescent="0.35">
      <c r="A232" s="171"/>
      <c r="B232" s="172"/>
      <c r="C232" s="190"/>
      <c r="D232" s="175"/>
      <c r="E232" s="175"/>
    </row>
    <row r="233" spans="1:10" ht="12.65" customHeight="1" x14ac:dyDescent="0.35">
      <c r="A233" s="171" t="s">
        <v>353</v>
      </c>
      <c r="B233" s="172" t="s">
        <v>256</v>
      </c>
      <c r="C233" s="291">
        <v>122861.45</v>
      </c>
      <c r="D233" s="175"/>
      <c r="E233" s="175"/>
    </row>
    <row r="234" spans="1:10" ht="12.65" customHeight="1" x14ac:dyDescent="0.35">
      <c r="A234" s="171" t="s">
        <v>354</v>
      </c>
      <c r="B234" s="172" t="s">
        <v>256</v>
      </c>
      <c r="C234" s="291">
        <f>686469.51+100000</f>
        <v>786469.51</v>
      </c>
      <c r="D234" s="175"/>
      <c r="E234" s="175"/>
    </row>
    <row r="235" spans="1:10" ht="12.65" customHeight="1" x14ac:dyDescent="0.35">
      <c r="A235" s="173"/>
      <c r="B235" s="175"/>
      <c r="C235" s="190"/>
      <c r="D235" s="175"/>
      <c r="E235" s="175"/>
    </row>
    <row r="236" spans="1:10" ht="12.65" customHeight="1" x14ac:dyDescent="0.35">
      <c r="A236" s="171" t="s">
        <v>355</v>
      </c>
      <c r="B236" s="175"/>
      <c r="C236" s="190"/>
      <c r="D236" s="175">
        <f>SUM(C233:C235)</f>
        <v>909330.96</v>
      </c>
      <c r="E236" s="175"/>
    </row>
    <row r="237" spans="1:10" ht="12.65" customHeight="1" x14ac:dyDescent="0.35">
      <c r="A237" s="255" t="s">
        <v>356</v>
      </c>
      <c r="B237" s="255"/>
      <c r="C237" s="255"/>
      <c r="D237" s="255"/>
      <c r="E237" s="255"/>
    </row>
    <row r="238" spans="1:10" ht="12.65" customHeight="1" x14ac:dyDescent="0.35">
      <c r="A238" s="173" t="s">
        <v>357</v>
      </c>
      <c r="B238" s="172" t="s">
        <v>256</v>
      </c>
      <c r="C238" s="291">
        <v>1074467.8</v>
      </c>
      <c r="D238" s="175"/>
      <c r="E238" s="175"/>
    </row>
    <row r="239" spans="1:10" ht="12.65" customHeight="1" x14ac:dyDescent="0.35">
      <c r="A239" s="173" t="s">
        <v>356</v>
      </c>
      <c r="B239" s="172" t="s">
        <v>256</v>
      </c>
      <c r="C239" s="188"/>
      <c r="D239" s="175"/>
      <c r="E239" s="175"/>
    </row>
    <row r="240" spans="1:10" ht="12.65" customHeight="1" x14ac:dyDescent="0.35">
      <c r="A240" s="173" t="s">
        <v>358</v>
      </c>
      <c r="B240" s="175"/>
      <c r="C240" s="190"/>
      <c r="D240" s="175">
        <f>SUM(C238:C239)</f>
        <v>1074467.8</v>
      </c>
      <c r="E240" s="175"/>
    </row>
    <row r="241" spans="1:5" ht="12.65" customHeight="1" x14ac:dyDescent="0.35">
      <c r="A241" s="173"/>
      <c r="B241" s="175"/>
      <c r="C241" s="190"/>
      <c r="D241" s="175"/>
      <c r="E241" s="175"/>
    </row>
    <row r="242" spans="1:5" ht="12.65" customHeight="1" x14ac:dyDescent="0.35">
      <c r="A242" s="173" t="s">
        <v>359</v>
      </c>
      <c r="B242" s="175"/>
      <c r="C242" s="190"/>
      <c r="D242" s="175">
        <f>D221+D229+D236+D240</f>
        <v>82245650.159999967</v>
      </c>
      <c r="E242" s="175"/>
    </row>
    <row r="243" spans="1:5" ht="12.65" customHeight="1" x14ac:dyDescent="0.35">
      <c r="A243" s="173"/>
      <c r="B243" s="173"/>
      <c r="C243" s="190"/>
      <c r="D243" s="175"/>
      <c r="E243" s="175"/>
    </row>
    <row r="244" spans="1:5" ht="12.65" customHeight="1" x14ac:dyDescent="0.35">
      <c r="A244" s="173"/>
      <c r="B244" s="173"/>
      <c r="C244" s="190"/>
      <c r="D244" s="175"/>
      <c r="E244" s="175"/>
    </row>
    <row r="245" spans="1:5" ht="12.65" customHeight="1" x14ac:dyDescent="0.35">
      <c r="A245" s="173"/>
      <c r="B245" s="173"/>
      <c r="C245" s="190"/>
      <c r="D245" s="175"/>
      <c r="E245" s="175"/>
    </row>
    <row r="246" spans="1:5" ht="12.65" customHeight="1" x14ac:dyDescent="0.35">
      <c r="A246" s="173"/>
      <c r="B246" s="173"/>
      <c r="C246" s="190"/>
      <c r="D246" s="175"/>
      <c r="E246" s="175"/>
    </row>
    <row r="247" spans="1:5" ht="21.75" customHeight="1" x14ac:dyDescent="0.35">
      <c r="A247" s="173"/>
      <c r="B247" s="173"/>
      <c r="C247" s="190"/>
      <c r="D247" s="175"/>
      <c r="E247" s="175"/>
    </row>
    <row r="248" spans="1:5" ht="12.45" customHeight="1" x14ac:dyDescent="0.35">
      <c r="A248" s="207" t="s">
        <v>360</v>
      </c>
      <c r="B248" s="207"/>
      <c r="C248" s="207"/>
      <c r="D248" s="207"/>
      <c r="E248" s="207"/>
    </row>
    <row r="249" spans="1:5" ht="11.25" customHeight="1" x14ac:dyDescent="0.35">
      <c r="A249" s="255" t="s">
        <v>361</v>
      </c>
      <c r="B249" s="255"/>
      <c r="C249" s="255"/>
      <c r="D249" s="255"/>
      <c r="E249" s="255"/>
    </row>
    <row r="250" spans="1:5" ht="12.45" customHeight="1" x14ac:dyDescent="0.35">
      <c r="A250" s="173" t="s">
        <v>362</v>
      </c>
      <c r="B250" s="172" t="s">
        <v>256</v>
      </c>
      <c r="C250" s="291">
        <v>11430686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8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291">
        <v>21098928.879999999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291">
        <v>13400073.73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291">
        <v>212255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291">
        <v>745670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291">
        <v>1970106</v>
      </c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291">
        <v>1017164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291">
        <v>401410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8"/>
      <c r="D259" s="175"/>
      <c r="E259" s="175"/>
    </row>
    <row r="260" spans="1:5" ht="12.45" customHeight="1" x14ac:dyDescent="0.35">
      <c r="A260" s="173" t="s">
        <v>371</v>
      </c>
      <c r="B260" s="175"/>
      <c r="C260" s="190"/>
      <c r="D260" s="175">
        <f>SUM(C250:C252)-C253+SUM(C254:C259)</f>
        <v>23476146.149999999</v>
      </c>
      <c r="E260" s="175"/>
    </row>
    <row r="261" spans="1:5" ht="11.25" customHeight="1" x14ac:dyDescent="0.35">
      <c r="A261" s="255" t="s">
        <v>372</v>
      </c>
      <c r="B261" s="255"/>
      <c r="C261" s="255"/>
      <c r="D261" s="255"/>
      <c r="E261" s="255"/>
    </row>
    <row r="262" spans="1:5" ht="12.45" customHeight="1" x14ac:dyDescent="0.35">
      <c r="A262" s="173" t="s">
        <v>362</v>
      </c>
      <c r="B262" s="172" t="s">
        <v>256</v>
      </c>
      <c r="C262" s="188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8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8">
        <v>0</v>
      </c>
      <c r="D264" s="175"/>
      <c r="E264" s="175"/>
    </row>
    <row r="265" spans="1:5" ht="12.45" customHeight="1" x14ac:dyDescent="0.35">
      <c r="A265" s="173" t="s">
        <v>374</v>
      </c>
      <c r="B265" s="175"/>
      <c r="C265" s="190"/>
      <c r="D265" s="175">
        <f>SUM(C262:C264)</f>
        <v>0</v>
      </c>
      <c r="E265" s="175"/>
    </row>
    <row r="266" spans="1:5" ht="11.25" customHeight="1" x14ac:dyDescent="0.35">
      <c r="A266" s="255" t="s">
        <v>375</v>
      </c>
      <c r="B266" s="255"/>
      <c r="C266" s="255"/>
      <c r="D266" s="255"/>
      <c r="E266" s="255"/>
    </row>
    <row r="267" spans="1:5" ht="12.45" customHeight="1" x14ac:dyDescent="0.35">
      <c r="A267" s="173" t="s">
        <v>332</v>
      </c>
      <c r="B267" s="172" t="s">
        <v>256</v>
      </c>
      <c r="C267" s="291">
        <v>1878610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291">
        <v>1233752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291">
        <v>27003558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8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291">
        <v>2731403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291">
        <v>19382293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291">
        <v>3109130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291">
        <v>201524</v>
      </c>
      <c r="D274" s="175"/>
      <c r="E274" s="175"/>
    </row>
    <row r="275" spans="1:5" ht="12.45" customHeight="1" x14ac:dyDescent="0.35">
      <c r="A275" s="173" t="s">
        <v>379</v>
      </c>
      <c r="B275" s="175"/>
      <c r="C275" s="190"/>
      <c r="D275" s="175">
        <f>SUM(C267:C274)</f>
        <v>55540270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291">
        <v>40549817</v>
      </c>
      <c r="D276" s="175"/>
      <c r="E276" s="175"/>
    </row>
    <row r="277" spans="1:5" ht="12.65" customHeight="1" x14ac:dyDescent="0.35">
      <c r="A277" s="173" t="s">
        <v>381</v>
      </c>
      <c r="B277" s="175"/>
      <c r="C277" s="190"/>
      <c r="D277" s="175">
        <f>D275-C276</f>
        <v>14990453</v>
      </c>
      <c r="E277" s="175"/>
    </row>
    <row r="278" spans="1:5" ht="12.65" customHeight="1" x14ac:dyDescent="0.35">
      <c r="A278" s="255" t="s">
        <v>382</v>
      </c>
      <c r="B278" s="255"/>
      <c r="C278" s="255"/>
      <c r="D278" s="255"/>
      <c r="E278" s="255"/>
    </row>
    <row r="279" spans="1:5" ht="12.65" customHeight="1" x14ac:dyDescent="0.35">
      <c r="A279" s="173" t="s">
        <v>383</v>
      </c>
      <c r="B279" s="172" t="s">
        <v>256</v>
      </c>
      <c r="C279" s="188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8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8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8"/>
      <c r="D282" s="175"/>
      <c r="E282" s="175"/>
    </row>
    <row r="283" spans="1:5" ht="12.65" customHeight="1" x14ac:dyDescent="0.35">
      <c r="A283" s="173" t="s">
        <v>386</v>
      </c>
      <c r="B283" s="175"/>
      <c r="C283" s="190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0"/>
      <c r="D284" s="175"/>
      <c r="E284" s="175"/>
    </row>
    <row r="285" spans="1:5" ht="12.65" customHeight="1" x14ac:dyDescent="0.35">
      <c r="A285" s="255" t="s">
        <v>387</v>
      </c>
      <c r="B285" s="255"/>
      <c r="C285" s="255"/>
      <c r="D285" s="255"/>
      <c r="E285" s="255"/>
    </row>
    <row r="286" spans="1:5" ht="12.65" customHeight="1" x14ac:dyDescent="0.35">
      <c r="A286" s="173" t="s">
        <v>388</v>
      </c>
      <c r="B286" s="172" t="s">
        <v>256</v>
      </c>
      <c r="C286" s="188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8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8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8"/>
      <c r="D289" s="175"/>
      <c r="E289" s="175"/>
    </row>
    <row r="290" spans="1:5" ht="12.65" customHeight="1" x14ac:dyDescent="0.35">
      <c r="A290" s="173" t="s">
        <v>392</v>
      </c>
      <c r="B290" s="175"/>
      <c r="C290" s="190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0"/>
      <c r="D291" s="175"/>
      <c r="E291" s="175"/>
    </row>
    <row r="292" spans="1:5" ht="12.65" customHeight="1" x14ac:dyDescent="0.35">
      <c r="A292" s="173" t="s">
        <v>393</v>
      </c>
      <c r="B292" s="175"/>
      <c r="C292" s="190"/>
      <c r="D292" s="175">
        <f>D260+D265+D277+D283+D290</f>
        <v>38466599.149999999</v>
      </c>
      <c r="E292" s="175"/>
    </row>
    <row r="293" spans="1:5" ht="12.65" customHeight="1" x14ac:dyDescent="0.35">
      <c r="A293" s="173"/>
      <c r="B293" s="173"/>
      <c r="C293" s="190"/>
      <c r="D293" s="175"/>
      <c r="E293" s="175"/>
    </row>
    <row r="294" spans="1:5" ht="12.65" customHeight="1" x14ac:dyDescent="0.35">
      <c r="A294" s="173"/>
      <c r="B294" s="173"/>
      <c r="C294" s="190"/>
      <c r="D294" s="175"/>
      <c r="E294" s="175"/>
    </row>
    <row r="295" spans="1:5" ht="12.65" customHeight="1" x14ac:dyDescent="0.35">
      <c r="A295" s="173"/>
      <c r="B295" s="173"/>
      <c r="C295" s="190"/>
      <c r="D295" s="175"/>
      <c r="E295" s="175"/>
    </row>
    <row r="296" spans="1:5" ht="12.65" customHeight="1" x14ac:dyDescent="0.35">
      <c r="A296" s="173"/>
      <c r="B296" s="173"/>
      <c r="C296" s="190"/>
      <c r="D296" s="175"/>
      <c r="E296" s="175"/>
    </row>
    <row r="297" spans="1:5" ht="12.65" customHeight="1" x14ac:dyDescent="0.35">
      <c r="A297" s="173"/>
      <c r="B297" s="173"/>
      <c r="C297" s="190"/>
      <c r="D297" s="175"/>
      <c r="E297" s="175"/>
    </row>
    <row r="298" spans="1:5" ht="12.65" customHeight="1" x14ac:dyDescent="0.35">
      <c r="A298" s="173"/>
      <c r="B298" s="173"/>
      <c r="C298" s="190"/>
      <c r="D298" s="175"/>
      <c r="E298" s="175"/>
    </row>
    <row r="299" spans="1:5" ht="12.65" customHeight="1" x14ac:dyDescent="0.35">
      <c r="A299" s="173"/>
      <c r="B299" s="173"/>
      <c r="C299" s="190"/>
      <c r="D299" s="175"/>
      <c r="E299" s="175"/>
    </row>
    <row r="300" spans="1:5" ht="12.65" customHeight="1" x14ac:dyDescent="0.35">
      <c r="A300" s="173"/>
      <c r="B300" s="173"/>
      <c r="C300" s="190"/>
      <c r="D300" s="175"/>
      <c r="E300" s="175"/>
    </row>
    <row r="301" spans="1:5" ht="20.25" customHeight="1" x14ac:dyDescent="0.35">
      <c r="A301" s="173"/>
      <c r="B301" s="173"/>
      <c r="C301" s="190"/>
      <c r="D301" s="175"/>
      <c r="E301" s="175"/>
    </row>
    <row r="302" spans="1:5" ht="12.65" customHeight="1" x14ac:dyDescent="0.35">
      <c r="A302" s="207" t="s">
        <v>394</v>
      </c>
      <c r="B302" s="207"/>
      <c r="C302" s="207"/>
      <c r="D302" s="207"/>
      <c r="E302" s="207"/>
    </row>
    <row r="303" spans="1:5" ht="14.25" customHeight="1" x14ac:dyDescent="0.35">
      <c r="A303" s="255" t="s">
        <v>395</v>
      </c>
      <c r="B303" s="255"/>
      <c r="C303" s="255"/>
      <c r="D303" s="255"/>
      <c r="E303" s="255"/>
    </row>
    <row r="304" spans="1:5" ht="12.65" customHeight="1" x14ac:dyDescent="0.35">
      <c r="A304" s="173" t="s">
        <v>396</v>
      </c>
      <c r="B304" s="172" t="s">
        <v>256</v>
      </c>
      <c r="C304" s="291">
        <v>2504768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291">
        <v>1528742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291">
        <v>3230100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291">
        <f>55313+1322143</f>
        <v>1377456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291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291">
        <v>1437648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291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291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291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291"/>
      <c r="D313" s="175"/>
      <c r="E313" s="175"/>
    </row>
    <row r="314" spans="1:5" ht="12.65" customHeight="1" x14ac:dyDescent="0.35">
      <c r="A314" s="173" t="s">
        <v>405</v>
      </c>
      <c r="B314" s="175"/>
      <c r="C314" s="190"/>
      <c r="D314" s="175">
        <f>SUM(C304:C313)</f>
        <v>10078714</v>
      </c>
      <c r="E314" s="175"/>
    </row>
    <row r="315" spans="1:5" ht="12.65" customHeight="1" x14ac:dyDescent="0.35">
      <c r="A315" s="255" t="s">
        <v>406</v>
      </c>
      <c r="B315" s="255"/>
      <c r="C315" s="255"/>
      <c r="D315" s="255"/>
      <c r="E315" s="255"/>
    </row>
    <row r="316" spans="1:5" ht="12.65" customHeight="1" x14ac:dyDescent="0.35">
      <c r="A316" s="173" t="s">
        <v>407</v>
      </c>
      <c r="B316" s="172" t="s">
        <v>256</v>
      </c>
      <c r="C316" s="188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8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8"/>
      <c r="D318" s="175"/>
      <c r="E318" s="175"/>
    </row>
    <row r="319" spans="1:5" ht="12.65" customHeight="1" x14ac:dyDescent="0.35">
      <c r="A319" s="173" t="s">
        <v>410</v>
      </c>
      <c r="B319" s="175"/>
      <c r="C319" s="190"/>
      <c r="D319" s="175">
        <f>SUM(C316:C318)</f>
        <v>0</v>
      </c>
      <c r="E319" s="175"/>
    </row>
    <row r="320" spans="1:5" ht="12.65" customHeight="1" x14ac:dyDescent="0.35">
      <c r="A320" s="255" t="s">
        <v>411</v>
      </c>
      <c r="B320" s="255"/>
      <c r="C320" s="255"/>
      <c r="D320" s="255"/>
      <c r="E320" s="255"/>
    </row>
    <row r="321" spans="1:5" ht="12.65" customHeight="1" x14ac:dyDescent="0.35">
      <c r="A321" s="173" t="s">
        <v>412</v>
      </c>
      <c r="B321" s="172" t="s">
        <v>256</v>
      </c>
      <c r="C321" s="188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8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8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291">
        <v>29222.49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291">
        <v>23473759.829999998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291">
        <v>1669827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291">
        <v>2332071</v>
      </c>
      <c r="D327" s="175"/>
      <c r="E327" s="175"/>
    </row>
    <row r="328" spans="1:5" ht="19.5" customHeight="1" x14ac:dyDescent="0.35">
      <c r="A328" s="173" t="s">
        <v>203</v>
      </c>
      <c r="B328" s="175"/>
      <c r="C328" s="190"/>
      <c r="D328" s="175">
        <f>SUM(C321:C327)</f>
        <v>27504880.319999997</v>
      </c>
      <c r="E328" s="175"/>
    </row>
    <row r="329" spans="1:5" ht="12.65" customHeight="1" x14ac:dyDescent="0.35">
      <c r="A329" s="173" t="s">
        <v>419</v>
      </c>
      <c r="B329" s="175"/>
      <c r="C329" s="190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0"/>
      <c r="D330" s="175">
        <f>D328-D329</f>
        <v>27504880.319999997</v>
      </c>
      <c r="E330" s="175"/>
    </row>
    <row r="331" spans="1:5" ht="12.65" customHeight="1" x14ac:dyDescent="0.35">
      <c r="A331" s="173"/>
      <c r="B331" s="175"/>
      <c r="C331" s="190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1"/>
      <c r="D332" s="175"/>
      <c r="E332" s="175"/>
    </row>
    <row r="333" spans="1:5" ht="12.65" customHeight="1" x14ac:dyDescent="0.35">
      <c r="A333" s="173"/>
      <c r="B333" s="172"/>
      <c r="C333" s="230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1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1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1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291">
        <v>883005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8"/>
      <c r="D338" s="175"/>
      <c r="E338" s="175"/>
    </row>
    <row r="339" spans="1:5" ht="12.65" customHeight="1" x14ac:dyDescent="0.35">
      <c r="A339" s="173" t="s">
        <v>424</v>
      </c>
      <c r="B339" s="175"/>
      <c r="C339" s="190"/>
      <c r="D339" s="175">
        <f>D314+D319+D330+C332+C336+C337</f>
        <v>38466599.319999993</v>
      </c>
      <c r="E339" s="175"/>
    </row>
    <row r="340" spans="1:5" ht="12.65" customHeight="1" x14ac:dyDescent="0.35">
      <c r="A340" s="173"/>
      <c r="B340" s="175"/>
      <c r="C340" s="190"/>
      <c r="D340" s="175"/>
      <c r="E340" s="175"/>
    </row>
    <row r="341" spans="1:5" ht="12.65" customHeight="1" x14ac:dyDescent="0.35">
      <c r="A341" s="173" t="s">
        <v>425</v>
      </c>
      <c r="B341" s="175"/>
      <c r="C341" s="190"/>
      <c r="D341" s="175">
        <f>D292</f>
        <v>38466599.149999999</v>
      </c>
      <c r="E341" s="175"/>
    </row>
    <row r="342" spans="1:5" ht="12.65" customHeight="1" x14ac:dyDescent="0.35">
      <c r="A342" s="173"/>
      <c r="B342" s="173"/>
      <c r="C342" s="190"/>
      <c r="D342" s="175"/>
      <c r="E342" s="175"/>
    </row>
    <row r="343" spans="1:5" ht="12.65" customHeight="1" x14ac:dyDescent="0.35">
      <c r="A343" s="173"/>
      <c r="B343" s="173"/>
      <c r="C343" s="190"/>
      <c r="D343" s="175"/>
      <c r="E343" s="175"/>
    </row>
    <row r="344" spans="1:5" ht="12.65" customHeight="1" x14ac:dyDescent="0.35">
      <c r="A344" s="173"/>
      <c r="B344" s="173"/>
      <c r="C344" s="190"/>
      <c r="D344" s="175"/>
      <c r="E344" s="175"/>
    </row>
    <row r="345" spans="1:5" ht="12.65" customHeight="1" x14ac:dyDescent="0.35">
      <c r="A345" s="173"/>
      <c r="B345" s="173"/>
      <c r="C345" s="190"/>
      <c r="D345" s="175"/>
      <c r="E345" s="175"/>
    </row>
    <row r="346" spans="1:5" ht="12.65" customHeight="1" x14ac:dyDescent="0.35">
      <c r="A346" s="173"/>
      <c r="B346" s="173"/>
      <c r="C346" s="190"/>
      <c r="D346" s="175"/>
      <c r="E346" s="175"/>
    </row>
    <row r="347" spans="1:5" ht="12.65" customHeight="1" x14ac:dyDescent="0.35">
      <c r="A347" s="173"/>
      <c r="B347" s="173"/>
      <c r="C347" s="190"/>
      <c r="D347" s="175"/>
      <c r="E347" s="175"/>
    </row>
    <row r="348" spans="1:5" ht="12.65" customHeight="1" x14ac:dyDescent="0.35">
      <c r="A348" s="173"/>
      <c r="B348" s="173"/>
      <c r="C348" s="190"/>
      <c r="D348" s="175"/>
      <c r="E348" s="175"/>
    </row>
    <row r="349" spans="1:5" ht="12.65" customHeight="1" x14ac:dyDescent="0.35">
      <c r="A349" s="173"/>
      <c r="B349" s="173"/>
      <c r="C349" s="190"/>
      <c r="D349" s="175"/>
      <c r="E349" s="175"/>
    </row>
    <row r="350" spans="1:5" ht="12.65" customHeight="1" x14ac:dyDescent="0.35">
      <c r="A350" s="173"/>
      <c r="B350" s="173"/>
      <c r="C350" s="190"/>
      <c r="D350" s="175"/>
      <c r="E350" s="175"/>
    </row>
    <row r="351" spans="1:5" ht="12.65" customHeight="1" x14ac:dyDescent="0.35">
      <c r="A351" s="173"/>
      <c r="B351" s="173"/>
      <c r="C351" s="190"/>
      <c r="D351" s="175"/>
      <c r="E351" s="175"/>
    </row>
    <row r="352" spans="1:5" ht="12.65" customHeight="1" x14ac:dyDescent="0.35">
      <c r="A352" s="173"/>
      <c r="B352" s="173"/>
      <c r="C352" s="190"/>
      <c r="D352" s="175"/>
      <c r="E352" s="175"/>
    </row>
    <row r="353" spans="1:5" ht="12.65" customHeight="1" x14ac:dyDescent="0.35">
      <c r="A353" s="173"/>
      <c r="B353" s="173"/>
      <c r="C353" s="190"/>
      <c r="D353" s="175"/>
      <c r="E353" s="175"/>
    </row>
    <row r="354" spans="1:5" ht="12.65" customHeight="1" x14ac:dyDescent="0.35">
      <c r="A354" s="173"/>
      <c r="B354" s="173"/>
      <c r="C354" s="190"/>
      <c r="D354" s="175"/>
      <c r="E354" s="175"/>
    </row>
    <row r="355" spans="1:5" ht="12.65" customHeight="1" x14ac:dyDescent="0.35">
      <c r="A355" s="173"/>
      <c r="B355" s="173"/>
      <c r="C355" s="190"/>
      <c r="D355" s="175"/>
      <c r="E355" s="175"/>
    </row>
    <row r="356" spans="1:5" ht="20.25" customHeight="1" x14ac:dyDescent="0.35">
      <c r="A356" s="173"/>
      <c r="B356" s="173"/>
      <c r="C356" s="190"/>
      <c r="D356" s="175"/>
      <c r="E356" s="175"/>
    </row>
    <row r="357" spans="1:5" ht="12.65" customHeight="1" x14ac:dyDescent="0.35">
      <c r="A357" s="207" t="s">
        <v>426</v>
      </c>
      <c r="B357" s="207"/>
      <c r="C357" s="207"/>
      <c r="D357" s="207"/>
      <c r="E357" s="207"/>
    </row>
    <row r="358" spans="1:5" ht="12.65" customHeight="1" x14ac:dyDescent="0.35">
      <c r="A358" s="255" t="s">
        <v>427</v>
      </c>
      <c r="B358" s="255"/>
      <c r="C358" s="255"/>
      <c r="D358" s="255"/>
      <c r="E358" s="255"/>
    </row>
    <row r="359" spans="1:5" ht="12.65" customHeight="1" x14ac:dyDescent="0.35">
      <c r="A359" s="173" t="s">
        <v>428</v>
      </c>
      <c r="B359" s="172" t="s">
        <v>256</v>
      </c>
      <c r="C359" s="291">
        <f>27414102.22+4337568</f>
        <v>31751670.219999999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291">
        <f>88234495.39+486596</f>
        <v>88721091.390000001</v>
      </c>
      <c r="D360" s="175"/>
      <c r="E360" s="175"/>
    </row>
    <row r="361" spans="1:5" ht="12.65" customHeight="1" x14ac:dyDescent="0.35">
      <c r="A361" s="173" t="s">
        <v>430</v>
      </c>
      <c r="B361" s="175"/>
      <c r="C361" s="190"/>
      <c r="D361" s="175">
        <f>SUM(C359:C360)</f>
        <v>120472761.61</v>
      </c>
      <c r="E361" s="175"/>
    </row>
    <row r="362" spans="1:5" ht="12.65" customHeight="1" x14ac:dyDescent="0.35">
      <c r="A362" s="255" t="s">
        <v>431</v>
      </c>
      <c r="B362" s="255"/>
      <c r="C362" s="255"/>
      <c r="D362" s="255"/>
      <c r="E362" s="255"/>
    </row>
    <row r="363" spans="1:5" ht="12.65" customHeight="1" x14ac:dyDescent="0.35">
      <c r="A363" s="173" t="s">
        <v>1255</v>
      </c>
      <c r="B363" s="255"/>
      <c r="C363" s="291">
        <v>4421060.63</v>
      </c>
      <c r="D363" s="175"/>
      <c r="E363" s="255"/>
    </row>
    <row r="364" spans="1:5" ht="12.65" customHeight="1" x14ac:dyDescent="0.35">
      <c r="A364" s="173" t="s">
        <v>432</v>
      </c>
      <c r="B364" s="172" t="s">
        <v>256</v>
      </c>
      <c r="C364" s="291">
        <v>75210971.459999993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291">
        <v>909330.96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291">
        <v>1074467.8</v>
      </c>
      <c r="D366" s="175"/>
      <c r="E366" s="175"/>
    </row>
    <row r="367" spans="1:5" ht="12.65" customHeight="1" x14ac:dyDescent="0.35">
      <c r="A367" s="173" t="s">
        <v>359</v>
      </c>
      <c r="B367" s="175"/>
      <c r="C367" s="190"/>
      <c r="D367" s="175">
        <f>SUM(C363:C366)</f>
        <v>81615830.849999979</v>
      </c>
      <c r="E367" s="175"/>
    </row>
    <row r="368" spans="1:5" ht="12.65" customHeight="1" x14ac:dyDescent="0.35">
      <c r="A368" s="173" t="s">
        <v>435</v>
      </c>
      <c r="B368" s="175"/>
      <c r="C368" s="190"/>
      <c r="D368" s="175">
        <f>D361-D367</f>
        <v>38856930.76000002</v>
      </c>
      <c r="E368" s="175"/>
    </row>
    <row r="369" spans="1:5" ht="12.65" customHeight="1" x14ac:dyDescent="0.35">
      <c r="A369" s="255" t="s">
        <v>436</v>
      </c>
      <c r="B369" s="255"/>
      <c r="C369" s="255"/>
      <c r="D369" s="255"/>
      <c r="E369" s="255"/>
    </row>
    <row r="370" spans="1:5" ht="12.65" customHeight="1" x14ac:dyDescent="0.35">
      <c r="A370" s="173" t="s">
        <v>437</v>
      </c>
      <c r="B370" s="172" t="s">
        <v>256</v>
      </c>
      <c r="C370" s="291">
        <v>2637109.69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8"/>
      <c r="D371" s="175"/>
      <c r="E371" s="175"/>
    </row>
    <row r="372" spans="1:5" ht="12.65" customHeight="1" x14ac:dyDescent="0.35">
      <c r="A372" s="173" t="s">
        <v>439</v>
      </c>
      <c r="B372" s="175"/>
      <c r="C372" s="190"/>
      <c r="D372" s="175">
        <f>SUM(C370:C371)</f>
        <v>2637109.69</v>
      </c>
      <c r="E372" s="175"/>
    </row>
    <row r="373" spans="1:5" ht="12.65" customHeight="1" x14ac:dyDescent="0.35">
      <c r="A373" s="173" t="s">
        <v>440</v>
      </c>
      <c r="B373" s="175"/>
      <c r="C373" s="190"/>
      <c r="D373" s="175">
        <f>D368+D372</f>
        <v>41494040.450000018</v>
      </c>
      <c r="E373" s="175"/>
    </row>
    <row r="374" spans="1:5" ht="12.65" customHeight="1" x14ac:dyDescent="0.35">
      <c r="A374" s="173"/>
      <c r="B374" s="175"/>
      <c r="C374" s="190"/>
      <c r="D374" s="175"/>
      <c r="E374" s="175"/>
    </row>
    <row r="375" spans="1:5" ht="12.65" customHeight="1" x14ac:dyDescent="0.35">
      <c r="A375" s="173"/>
      <c r="B375" s="175"/>
      <c r="C375" s="190"/>
      <c r="D375" s="175"/>
      <c r="E375" s="175"/>
    </row>
    <row r="376" spans="1:5" ht="12.65" customHeight="1" x14ac:dyDescent="0.35">
      <c r="A376" s="173"/>
      <c r="B376" s="175"/>
      <c r="C376" s="190"/>
      <c r="D376" s="175"/>
      <c r="E376" s="175"/>
    </row>
    <row r="377" spans="1:5" ht="12.65" customHeight="1" x14ac:dyDescent="0.35">
      <c r="A377" s="255" t="s">
        <v>441</v>
      </c>
      <c r="B377" s="255"/>
      <c r="C377" s="255"/>
      <c r="D377" s="255"/>
      <c r="E377" s="255"/>
    </row>
    <row r="378" spans="1:5" ht="12.65" customHeight="1" x14ac:dyDescent="0.35">
      <c r="A378" s="173" t="s">
        <v>442</v>
      </c>
      <c r="B378" s="172" t="s">
        <v>256</v>
      </c>
      <c r="C378" s="188">
        <v>24193471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291">
        <v>6892322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291">
        <v>2143814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291">
        <v>6133176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291">
        <v>608427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291">
        <v>6751617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291">
        <v>2418830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291">
        <v>1184622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291">
        <v>162838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291">
        <v>396561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291">
        <v>0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291">
        <v>156845</v>
      </c>
      <c r="D389" s="175"/>
      <c r="E389" s="175"/>
    </row>
    <row r="390" spans="1:6" ht="12.65" customHeight="1" x14ac:dyDescent="0.35">
      <c r="A390" s="173" t="s">
        <v>452</v>
      </c>
      <c r="B390" s="175"/>
      <c r="C390" s="190"/>
      <c r="D390" s="175">
        <f>SUM(C378:C389)</f>
        <v>51042523</v>
      </c>
      <c r="E390" s="175"/>
    </row>
    <row r="391" spans="1:6" ht="12.65" customHeight="1" x14ac:dyDescent="0.35">
      <c r="A391" s="173" t="s">
        <v>453</v>
      </c>
      <c r="B391" s="175"/>
      <c r="C391" s="190"/>
      <c r="D391" s="175">
        <f>D373-D390</f>
        <v>-9548482.5499999821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291">
        <v>10288174</v>
      </c>
      <c r="D392" s="175"/>
      <c r="E392" s="175"/>
    </row>
    <row r="393" spans="1:6" ht="12.65" customHeight="1" x14ac:dyDescent="0.35">
      <c r="A393" s="173" t="s">
        <v>455</v>
      </c>
      <c r="B393" s="175"/>
      <c r="C393" s="190"/>
      <c r="D393" s="194">
        <f>D391+C392</f>
        <v>739691.45000001788</v>
      </c>
      <c r="E393" s="175"/>
      <c r="F393" s="196"/>
    </row>
    <row r="394" spans="1:6" ht="12.65" customHeight="1" x14ac:dyDescent="0.35">
      <c r="A394" s="173" t="s">
        <v>456</v>
      </c>
      <c r="B394" s="172" t="s">
        <v>256</v>
      </c>
      <c r="C394" s="291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8"/>
      <c r="D395" s="175"/>
      <c r="E395" s="175"/>
    </row>
    <row r="396" spans="1:6" ht="12.65" customHeight="1" x14ac:dyDescent="0.35">
      <c r="A396" s="173" t="s">
        <v>458</v>
      </c>
      <c r="B396" s="175"/>
      <c r="C396" s="190"/>
      <c r="D396" s="175">
        <f>D393+C394-C395</f>
        <v>739691.45000001788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8"/>
    </row>
    <row r="412" spans="1:5" ht="12.65" customHeight="1" x14ac:dyDescent="0.35">
      <c r="A412" s="179" t="str">
        <f>C84&amp;"   "&amp;"H-"&amp;FIXED(C83,0,TRUE)&amp;"     FYE "&amp;C82</f>
        <v>EvergreenHealth Monroe   H-0     FYE 12/31/2020</v>
      </c>
      <c r="B412" s="179"/>
      <c r="C412" s="179"/>
      <c r="D412" s="179"/>
      <c r="E412" s="258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692</v>
      </c>
      <c r="C414" s="193">
        <f>E138</f>
        <v>757</v>
      </c>
      <c r="D414" s="179"/>
    </row>
    <row r="415" spans="1:5" ht="12.65" customHeight="1" x14ac:dyDescent="0.35">
      <c r="A415" s="179" t="s">
        <v>464</v>
      </c>
      <c r="B415" s="179">
        <f>D111</f>
        <v>2719</v>
      </c>
      <c r="C415" s="179">
        <f>E139</f>
        <v>3067</v>
      </c>
      <c r="D415" s="193">
        <f>SUM(C59:H59)+N59</f>
        <v>7763</v>
      </c>
    </row>
    <row r="416" spans="1:5" ht="12.65" customHeight="1" x14ac:dyDescent="0.35">
      <c r="A416" s="179"/>
      <c r="B416" s="179"/>
      <c r="C416" s="193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3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3"/>
      <c r="D419" s="179"/>
    </row>
    <row r="420" spans="1:7" ht="12.65" customHeight="1" x14ac:dyDescent="0.35">
      <c r="A420" s="179" t="s">
        <v>467</v>
      </c>
      <c r="B420" s="179">
        <f>C113</f>
        <v>459</v>
      </c>
      <c r="C420" s="179">
        <f>E150</f>
        <v>504</v>
      </c>
      <c r="D420" s="179"/>
    </row>
    <row r="421" spans="1:7" ht="12.65" customHeight="1" x14ac:dyDescent="0.35">
      <c r="A421" s="179" t="s">
        <v>468</v>
      </c>
      <c r="B421" s="179">
        <f>D113</f>
        <v>4077</v>
      </c>
      <c r="C421" s="179">
        <f>E151</f>
        <v>4428</v>
      </c>
      <c r="D421" s="179">
        <f>I59</f>
        <v>4428</v>
      </c>
    </row>
    <row r="422" spans="1:7" ht="12.65" customHeight="1" x14ac:dyDescent="0.35">
      <c r="A422" s="205"/>
      <c r="B422" s="205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5"/>
      <c r="B425" s="205"/>
      <c r="C425" s="205"/>
      <c r="D425" s="205"/>
      <c r="F425" s="205"/>
      <c r="G425" s="205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24193471</v>
      </c>
      <c r="C427" s="179">
        <f t="shared" ref="C427:C434" si="13">CE61</f>
        <v>24193471</v>
      </c>
      <c r="D427" s="179"/>
    </row>
    <row r="428" spans="1:7" ht="12.65" customHeight="1" x14ac:dyDescent="0.35">
      <c r="A428" s="179" t="s">
        <v>3</v>
      </c>
      <c r="B428" s="179">
        <f t="shared" si="12"/>
        <v>6892322</v>
      </c>
      <c r="C428" s="179">
        <f t="shared" si="13"/>
        <v>6892322</v>
      </c>
      <c r="D428" s="179">
        <f>D173</f>
        <v>6892321</v>
      </c>
    </row>
    <row r="429" spans="1:7" ht="12.65" customHeight="1" x14ac:dyDescent="0.35">
      <c r="A429" s="179" t="s">
        <v>236</v>
      </c>
      <c r="B429" s="179">
        <f t="shared" si="12"/>
        <v>2143814</v>
      </c>
      <c r="C429" s="179">
        <f t="shared" si="13"/>
        <v>2143814</v>
      </c>
      <c r="D429" s="179"/>
    </row>
    <row r="430" spans="1:7" ht="12.65" customHeight="1" x14ac:dyDescent="0.35">
      <c r="A430" s="179" t="s">
        <v>237</v>
      </c>
      <c r="B430" s="179">
        <f t="shared" si="12"/>
        <v>6133176</v>
      </c>
      <c r="C430" s="179">
        <f t="shared" si="13"/>
        <v>6133176</v>
      </c>
      <c r="D430" s="179"/>
    </row>
    <row r="431" spans="1:7" ht="12.65" customHeight="1" x14ac:dyDescent="0.35">
      <c r="A431" s="179" t="s">
        <v>444</v>
      </c>
      <c r="B431" s="179">
        <f>C382</f>
        <v>608427</v>
      </c>
      <c r="C431" s="179">
        <f t="shared" si="13"/>
        <v>608427</v>
      </c>
      <c r="D431" s="179"/>
    </row>
    <row r="432" spans="1:7" ht="12.65" customHeight="1" x14ac:dyDescent="0.35">
      <c r="A432" s="179" t="s">
        <v>445</v>
      </c>
      <c r="B432" s="179">
        <f>C383</f>
        <v>6751617</v>
      </c>
      <c r="C432" s="179">
        <f t="shared" si="13"/>
        <v>6751616.5300000003</v>
      </c>
      <c r="D432" s="179"/>
    </row>
    <row r="433" spans="1:7" ht="12.65" customHeight="1" x14ac:dyDescent="0.35">
      <c r="A433" s="179" t="s">
        <v>6</v>
      </c>
      <c r="B433" s="179">
        <f t="shared" si="12"/>
        <v>2418830</v>
      </c>
      <c r="C433" s="179">
        <f t="shared" si="13"/>
        <v>2418830</v>
      </c>
      <c r="D433" s="179">
        <f>C217</f>
        <v>2418830</v>
      </c>
    </row>
    <row r="434" spans="1:7" ht="12.65" customHeight="1" x14ac:dyDescent="0.35">
      <c r="A434" s="179" t="s">
        <v>474</v>
      </c>
      <c r="B434" s="179">
        <f t="shared" si="12"/>
        <v>1184622</v>
      </c>
      <c r="C434" s="179">
        <f t="shared" si="13"/>
        <v>1184622</v>
      </c>
      <c r="D434" s="179">
        <f>D177</f>
        <v>1184622</v>
      </c>
    </row>
    <row r="435" spans="1:7" ht="12.65" customHeight="1" x14ac:dyDescent="0.35">
      <c r="A435" s="179" t="s">
        <v>447</v>
      </c>
      <c r="B435" s="179">
        <f t="shared" si="12"/>
        <v>162838</v>
      </c>
      <c r="C435" s="179"/>
      <c r="D435" s="179">
        <f>D181</f>
        <v>162838</v>
      </c>
    </row>
    <row r="436" spans="1:7" ht="12.65" customHeight="1" x14ac:dyDescent="0.35">
      <c r="A436" s="179" t="s">
        <v>475</v>
      </c>
      <c r="B436" s="179">
        <f t="shared" si="12"/>
        <v>396561</v>
      </c>
      <c r="C436" s="179"/>
      <c r="D436" s="179">
        <f>D186</f>
        <v>395598</v>
      </c>
    </row>
    <row r="437" spans="1:7" ht="12.65" customHeight="1" x14ac:dyDescent="0.35">
      <c r="A437" s="193" t="s">
        <v>449</v>
      </c>
      <c r="B437" s="193">
        <f t="shared" si="12"/>
        <v>0</v>
      </c>
      <c r="C437" s="193"/>
      <c r="D437" s="193">
        <f>D190</f>
        <v>806619.26</v>
      </c>
    </row>
    <row r="438" spans="1:7" ht="12.65" customHeight="1" x14ac:dyDescent="0.35">
      <c r="A438" s="193" t="s">
        <v>476</v>
      </c>
      <c r="B438" s="193">
        <f>C386+C387+C388</f>
        <v>559399</v>
      </c>
      <c r="C438" s="193">
        <f>CD69</f>
        <v>0</v>
      </c>
      <c r="D438" s="193">
        <f>D181+D186+D190</f>
        <v>1365055.26</v>
      </c>
    </row>
    <row r="439" spans="1:7" ht="12.65" customHeight="1" x14ac:dyDescent="0.35">
      <c r="A439" s="179" t="s">
        <v>451</v>
      </c>
      <c r="B439" s="193">
        <f>C389</f>
        <v>156845</v>
      </c>
      <c r="C439" s="193">
        <f>SUM(C69:CC69)</f>
        <v>716244</v>
      </c>
      <c r="D439" s="179"/>
    </row>
    <row r="440" spans="1:7" ht="12.65" customHeight="1" x14ac:dyDescent="0.35">
      <c r="A440" s="179" t="s">
        <v>477</v>
      </c>
      <c r="B440" s="193">
        <f>B438+B439</f>
        <v>716244</v>
      </c>
      <c r="C440" s="193">
        <f>CE69</f>
        <v>716244</v>
      </c>
      <c r="D440" s="179"/>
    </row>
    <row r="441" spans="1:7" ht="12.65" customHeight="1" x14ac:dyDescent="0.35">
      <c r="A441" s="179" t="s">
        <v>478</v>
      </c>
      <c r="B441" s="179">
        <f>D390</f>
        <v>51042523</v>
      </c>
      <c r="C441" s="179">
        <f>SUM(C427:C437)+C440</f>
        <v>51042522.530000001</v>
      </c>
      <c r="D441" s="179"/>
    </row>
    <row r="442" spans="1:7" ht="12.65" customHeight="1" x14ac:dyDescent="0.35">
      <c r="A442" s="205"/>
      <c r="B442" s="205"/>
      <c r="C442" s="205"/>
      <c r="D442" s="205"/>
      <c r="F442" s="205"/>
      <c r="G442" s="205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4421060.63</v>
      </c>
      <c r="C444" s="179">
        <f>C363</f>
        <v>4421060.63</v>
      </c>
      <c r="D444" s="179"/>
    </row>
    <row r="445" spans="1:7" ht="12.65" customHeight="1" x14ac:dyDescent="0.35">
      <c r="A445" s="179" t="s">
        <v>343</v>
      </c>
      <c r="B445" s="179">
        <f>D229</f>
        <v>75840790.769999981</v>
      </c>
      <c r="C445" s="179">
        <f>C364</f>
        <v>75210971.459999993</v>
      </c>
      <c r="D445" s="179"/>
    </row>
    <row r="446" spans="1:7" ht="12.65" customHeight="1" x14ac:dyDescent="0.35">
      <c r="A446" s="179" t="s">
        <v>351</v>
      </c>
      <c r="B446" s="179">
        <f>D236</f>
        <v>909330.96</v>
      </c>
      <c r="C446" s="179">
        <f>C365</f>
        <v>909330.96</v>
      </c>
      <c r="D446" s="179"/>
    </row>
    <row r="447" spans="1:7" ht="12.65" customHeight="1" x14ac:dyDescent="0.35">
      <c r="A447" s="179" t="s">
        <v>356</v>
      </c>
      <c r="B447" s="179">
        <f>D240</f>
        <v>1074467.8</v>
      </c>
      <c r="C447" s="179">
        <f>C366</f>
        <v>1074467.8</v>
      </c>
      <c r="D447" s="179"/>
    </row>
    <row r="448" spans="1:7" ht="12.65" customHeight="1" x14ac:dyDescent="0.35">
      <c r="A448" s="179" t="s">
        <v>358</v>
      </c>
      <c r="B448" s="179">
        <f>D242</f>
        <v>82245650.159999967</v>
      </c>
      <c r="C448" s="179">
        <f>D367</f>
        <v>81615830.849999979</v>
      </c>
      <c r="D448" s="179"/>
    </row>
    <row r="449" spans="1:7" ht="12.65" customHeight="1" x14ac:dyDescent="0.35">
      <c r="A449" s="205"/>
      <c r="B449" s="205"/>
      <c r="C449" s="205"/>
      <c r="D449" s="205"/>
      <c r="F449" s="205"/>
      <c r="G449" s="205"/>
    </row>
    <row r="450" spans="1:7" ht="12.65" customHeight="1" x14ac:dyDescent="0.35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8" t="s">
        <v>484</v>
      </c>
      <c r="B453" s="180">
        <f>C231</f>
        <v>873</v>
      </c>
    </row>
    <row r="454" spans="1:7" ht="12.65" customHeight="1" x14ac:dyDescent="0.35">
      <c r="A454" s="179" t="s">
        <v>168</v>
      </c>
      <c r="B454" s="179">
        <f>C233</f>
        <v>122861.45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786469.51</v>
      </c>
      <c r="C455" s="179"/>
      <c r="D455" s="179"/>
    </row>
    <row r="456" spans="1:7" ht="12.65" customHeight="1" x14ac:dyDescent="0.35">
      <c r="A456" s="205"/>
      <c r="B456" s="205"/>
      <c r="C456" s="205"/>
      <c r="D456" s="205"/>
      <c r="F456" s="205"/>
      <c r="G456" s="205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3">
        <f>C370</f>
        <v>2637109.69</v>
      </c>
      <c r="C458" s="193">
        <f>CE70</f>
        <v>0</v>
      </c>
      <c r="D458" s="193"/>
    </row>
    <row r="459" spans="1:7" ht="12.65" customHeight="1" x14ac:dyDescent="0.35">
      <c r="A459" s="179" t="s">
        <v>244</v>
      </c>
      <c r="B459" s="193">
        <f>C371</f>
        <v>0</v>
      </c>
      <c r="C459" s="193">
        <f>CE72</f>
        <v>0</v>
      </c>
      <c r="D459" s="193"/>
    </row>
    <row r="460" spans="1:7" ht="12.65" customHeight="1" x14ac:dyDescent="0.35">
      <c r="A460" s="205"/>
      <c r="B460" s="205"/>
      <c r="C460" s="205"/>
      <c r="D460" s="205"/>
      <c r="F460" s="205"/>
      <c r="G460" s="205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3">
        <f>C359</f>
        <v>31751670.219999999</v>
      </c>
      <c r="C463" s="193">
        <f>CE73</f>
        <v>31751671</v>
      </c>
      <c r="D463" s="193">
        <f>E141+E147+E153</f>
        <v>31751670</v>
      </c>
    </row>
    <row r="464" spans="1:7" ht="12.65" customHeight="1" x14ac:dyDescent="0.35">
      <c r="A464" s="179" t="s">
        <v>246</v>
      </c>
      <c r="B464" s="193">
        <f>C360</f>
        <v>88721091.390000001</v>
      </c>
      <c r="C464" s="193">
        <f>CE74</f>
        <v>88721091</v>
      </c>
      <c r="D464" s="193">
        <f>E142+E148+E154</f>
        <v>88721091</v>
      </c>
    </row>
    <row r="465" spans="1:7" ht="12.65" customHeight="1" x14ac:dyDescent="0.35">
      <c r="A465" s="179" t="s">
        <v>247</v>
      </c>
      <c r="B465" s="193">
        <f>D361</f>
        <v>120472761.61</v>
      </c>
      <c r="C465" s="193">
        <f>CE75</f>
        <v>120472762</v>
      </c>
      <c r="D465" s="193">
        <f>D463+D464</f>
        <v>120472761</v>
      </c>
    </row>
    <row r="466" spans="1:7" ht="12.65" customHeight="1" x14ac:dyDescent="0.35">
      <c r="A466" s="205"/>
      <c r="B466" s="205"/>
      <c r="C466" s="205"/>
      <c r="D466" s="205"/>
      <c r="F466" s="205"/>
      <c r="G466" s="205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1878610</v>
      </c>
      <c r="C468" s="179">
        <f>E195</f>
        <v>1878610</v>
      </c>
      <c r="D468" s="179"/>
    </row>
    <row r="469" spans="1:7" ht="12.65" customHeight="1" x14ac:dyDescent="0.35">
      <c r="A469" s="179" t="s">
        <v>333</v>
      </c>
      <c r="B469" s="179">
        <f t="shared" si="14"/>
        <v>1233752</v>
      </c>
      <c r="C469" s="179">
        <f>E196</f>
        <v>1233752</v>
      </c>
      <c r="D469" s="179"/>
    </row>
    <row r="470" spans="1:7" ht="12.65" customHeight="1" x14ac:dyDescent="0.35">
      <c r="A470" s="179" t="s">
        <v>334</v>
      </c>
      <c r="B470" s="179">
        <f t="shared" si="14"/>
        <v>27003558</v>
      </c>
      <c r="C470" s="179">
        <f>E197</f>
        <v>27003558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2731403</v>
      </c>
      <c r="D471" s="179"/>
    </row>
    <row r="472" spans="1:7" ht="12.65" customHeight="1" x14ac:dyDescent="0.35">
      <c r="A472" s="179" t="s">
        <v>377</v>
      </c>
      <c r="B472" s="179">
        <f t="shared" si="14"/>
        <v>2731403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19382293</v>
      </c>
      <c r="C473" s="179">
        <f>SUM(E200:E201)</f>
        <v>19382294</v>
      </c>
      <c r="D473" s="179"/>
    </row>
    <row r="474" spans="1:7" ht="12.65" customHeight="1" x14ac:dyDescent="0.35">
      <c r="A474" s="179" t="s">
        <v>339</v>
      </c>
      <c r="B474" s="179">
        <f t="shared" si="14"/>
        <v>3109130</v>
      </c>
      <c r="C474" s="179">
        <f>E202</f>
        <v>3109130</v>
      </c>
      <c r="D474" s="179"/>
    </row>
    <row r="475" spans="1:7" ht="12.65" customHeight="1" x14ac:dyDescent="0.35">
      <c r="A475" s="179" t="s">
        <v>340</v>
      </c>
      <c r="B475" s="179">
        <f t="shared" si="14"/>
        <v>201524</v>
      </c>
      <c r="C475" s="179">
        <f>E203</f>
        <v>201524</v>
      </c>
      <c r="D475" s="179"/>
    </row>
    <row r="476" spans="1:7" ht="12.65" customHeight="1" x14ac:dyDescent="0.35">
      <c r="A476" s="179" t="s">
        <v>203</v>
      </c>
      <c r="B476" s="179">
        <f>D275</f>
        <v>55540270</v>
      </c>
      <c r="C476" s="179">
        <f>E204</f>
        <v>55540271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40549817</v>
      </c>
      <c r="C478" s="179">
        <f>E217</f>
        <v>40549817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38466599.149999999</v>
      </c>
    </row>
    <row r="482" spans="1:12" ht="12.65" customHeight="1" x14ac:dyDescent="0.35">
      <c r="A482" s="180" t="s">
        <v>499</v>
      </c>
      <c r="C482" s="180">
        <f>D339</f>
        <v>38466599.319999993</v>
      </c>
    </row>
    <row r="485" spans="1:12" ht="12.65" customHeight="1" x14ac:dyDescent="0.35">
      <c r="A485" s="198" t="s">
        <v>500</v>
      </c>
    </row>
    <row r="486" spans="1:12" ht="12.65" customHeight="1" x14ac:dyDescent="0.35">
      <c r="A486" s="198" t="s">
        <v>501</v>
      </c>
    </row>
    <row r="487" spans="1:12" ht="12.65" customHeight="1" x14ac:dyDescent="0.35">
      <c r="A487" s="198" t="s">
        <v>502</v>
      </c>
    </row>
    <row r="488" spans="1:12" ht="12.65" customHeight="1" x14ac:dyDescent="0.35">
      <c r="A488" s="198"/>
    </row>
    <row r="489" spans="1:12" ht="12.65" customHeight="1" x14ac:dyDescent="0.35">
      <c r="A489" s="197" t="s">
        <v>503</v>
      </c>
    </row>
    <row r="490" spans="1:12" ht="12.65" customHeight="1" x14ac:dyDescent="0.35">
      <c r="A490" s="198" t="s">
        <v>504</v>
      </c>
    </row>
    <row r="491" spans="1:12" ht="12.65" customHeight="1" x14ac:dyDescent="0.35">
      <c r="A491" s="198"/>
    </row>
    <row r="493" spans="1:12" ht="12.65" customHeight="1" x14ac:dyDescent="0.35">
      <c r="A493" s="180" t="str">
        <f>C83</f>
        <v>104</v>
      </c>
      <c r="B493" s="259" t="str">
        <f>RIGHT('Prior Year 2019'!C82,4)</f>
        <v>2019</v>
      </c>
      <c r="C493" s="259" t="str">
        <f>RIGHT(C82,4)</f>
        <v>2020</v>
      </c>
      <c r="D493" s="259" t="str">
        <f>RIGHT('Prior Year 2019'!C82,4)</f>
        <v>2019</v>
      </c>
      <c r="E493" s="259" t="str">
        <f>RIGHT(C82,4)</f>
        <v>2020</v>
      </c>
      <c r="F493" s="259" t="str">
        <f>RIGHT('Prior Year 2019'!C82,4)</f>
        <v>2019</v>
      </c>
      <c r="G493" s="259" t="str">
        <f>RIGHT(C82,4)</f>
        <v>2020</v>
      </c>
      <c r="H493" s="259"/>
      <c r="K493" s="259"/>
      <c r="L493" s="259"/>
    </row>
    <row r="494" spans="1:12" ht="12.65" customHeight="1" x14ac:dyDescent="0.35">
      <c r="A494" s="197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5" customHeight="1" x14ac:dyDescent="0.35">
      <c r="A496" s="180" t="s">
        <v>512</v>
      </c>
      <c r="B496" s="238">
        <f>'Prior Year 2019'!C71</f>
        <v>1454120</v>
      </c>
      <c r="C496" s="238">
        <f>C71</f>
        <v>1288492</v>
      </c>
      <c r="D496" s="238">
        <f>'Prior Year 2019'!C59</f>
        <v>709</v>
      </c>
      <c r="E496" s="180">
        <f>C59</f>
        <v>626</v>
      </c>
      <c r="F496" s="261">
        <f t="shared" ref="F496:G511" si="15">IF(B496=0,"",IF(D496=0,"",B496/D496))</f>
        <v>2050.9449929478137</v>
      </c>
      <c r="G496" s="262">
        <f t="shared" si="15"/>
        <v>2058.2939297124599</v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5" customHeight="1" x14ac:dyDescent="0.35">
      <c r="A497" s="180" t="s">
        <v>513</v>
      </c>
      <c r="B497" s="238">
        <f>'Prior Year 2019'!D71</f>
        <v>0</v>
      </c>
      <c r="C497" s="238">
        <f>D71</f>
        <v>0</v>
      </c>
      <c r="D497" s="238">
        <f>'Prior Year 2019'!D59</f>
        <v>0</v>
      </c>
      <c r="E497" s="180">
        <f>D59</f>
        <v>0</v>
      </c>
      <c r="F497" s="261" t="str">
        <f t="shared" si="15"/>
        <v/>
      </c>
      <c r="G497" s="261" t="str">
        <f t="shared" si="15"/>
        <v/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5" customHeight="1" x14ac:dyDescent="0.35">
      <c r="A498" s="180" t="s">
        <v>514</v>
      </c>
      <c r="B498" s="238">
        <f>'Prior Year 2019'!E71</f>
        <v>3080169</v>
      </c>
      <c r="C498" s="238">
        <f>E71</f>
        <v>3519806</v>
      </c>
      <c r="D498" s="238">
        <f>'Prior Year 2019'!E59</f>
        <v>2666</v>
      </c>
      <c r="E498" s="180">
        <f>E59</f>
        <v>2441</v>
      </c>
      <c r="F498" s="261">
        <f t="shared" si="15"/>
        <v>1155.3522130532633</v>
      </c>
      <c r="G498" s="261">
        <f t="shared" si="15"/>
        <v>1441.9524784924211</v>
      </c>
      <c r="H498" s="263" t="str">
        <f t="shared" si="16"/>
        <v/>
      </c>
      <c r="I498" s="265"/>
      <c r="K498" s="259"/>
      <c r="L498" s="259"/>
    </row>
    <row r="499" spans="1:12" ht="12.65" customHeight="1" x14ac:dyDescent="0.35">
      <c r="A499" s="180" t="s">
        <v>515</v>
      </c>
      <c r="B499" s="238">
        <f>'Prior Year 2019'!F71</f>
        <v>0</v>
      </c>
      <c r="C499" s="238">
        <f>F71</f>
        <v>0</v>
      </c>
      <c r="D499" s="238">
        <f>'Prior Year 2019'!F59</f>
        <v>0</v>
      </c>
      <c r="E499" s="180">
        <f>F59</f>
        <v>0</v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5" customHeight="1" x14ac:dyDescent="0.35">
      <c r="A500" s="180" t="s">
        <v>516</v>
      </c>
      <c r="B500" s="238">
        <f>'Prior Year 2019'!G71</f>
        <v>210593</v>
      </c>
      <c r="C500" s="238">
        <f>G71</f>
        <v>241590</v>
      </c>
      <c r="D500" s="238">
        <f>'Prior Year 2019'!G59</f>
        <v>4870</v>
      </c>
      <c r="E500" s="180">
        <f>G59</f>
        <v>4696</v>
      </c>
      <c r="F500" s="261">
        <f t="shared" si="15"/>
        <v>43.242915811088295</v>
      </c>
      <c r="G500" s="261">
        <f t="shared" si="15"/>
        <v>51.445911413969334</v>
      </c>
      <c r="H500" s="263" t="str">
        <f t="shared" si="16"/>
        <v/>
      </c>
      <c r="I500" s="265"/>
      <c r="K500" s="259"/>
      <c r="L500" s="259"/>
    </row>
    <row r="501" spans="1:12" ht="12.65" customHeight="1" x14ac:dyDescent="0.35">
      <c r="A501" s="180" t="s">
        <v>517</v>
      </c>
      <c r="B501" s="238">
        <f>'Prior Year 2019'!H71</f>
        <v>0</v>
      </c>
      <c r="C501" s="238">
        <f>H71</f>
        <v>0</v>
      </c>
      <c r="D501" s="238">
        <f>'Prior Year 2019'!H59</f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5" customHeight="1" x14ac:dyDescent="0.35">
      <c r="A502" s="180" t="s">
        <v>518</v>
      </c>
      <c r="B502" s="238">
        <f>'Prior Year 2019'!I71</f>
        <v>4337541</v>
      </c>
      <c r="C502" s="238">
        <f>I71</f>
        <v>3618340</v>
      </c>
      <c r="D502" s="238">
        <f>'Prior Year 2019'!I59</f>
        <v>7319</v>
      </c>
      <c r="E502" s="180">
        <f>I59</f>
        <v>4428</v>
      </c>
      <c r="F502" s="261">
        <f t="shared" si="15"/>
        <v>592.64120781527527</v>
      </c>
      <c r="G502" s="261">
        <f t="shared" si="15"/>
        <v>817.14995483288169</v>
      </c>
      <c r="H502" s="263">
        <f t="shared" si="16"/>
        <v>0.37882743227599724</v>
      </c>
      <c r="I502" s="265"/>
      <c r="K502" s="259"/>
      <c r="L502" s="259"/>
    </row>
    <row r="503" spans="1:12" ht="12.65" customHeight="1" x14ac:dyDescent="0.35">
      <c r="A503" s="180" t="s">
        <v>519</v>
      </c>
      <c r="B503" s="238">
        <f>'Prior Year 2019'!J71</f>
        <v>0</v>
      </c>
      <c r="C503" s="238">
        <f>J71</f>
        <v>0</v>
      </c>
      <c r="D503" s="238">
        <f>'Prior Year 2019'!J59</f>
        <v>0</v>
      </c>
      <c r="E503" s="180">
        <f>J59</f>
        <v>0</v>
      </c>
      <c r="F503" s="261" t="str">
        <f t="shared" si="15"/>
        <v/>
      </c>
      <c r="G503" s="261" t="str">
        <f t="shared" si="15"/>
        <v/>
      </c>
      <c r="H503" s="263" t="str">
        <f t="shared" si="16"/>
        <v/>
      </c>
      <c r="I503" s="265"/>
      <c r="K503" s="259"/>
      <c r="L503" s="259"/>
    </row>
    <row r="504" spans="1:12" ht="12.65" customHeight="1" x14ac:dyDescent="0.35">
      <c r="A504" s="180" t="s">
        <v>520</v>
      </c>
      <c r="B504" s="238">
        <f>'Prior Year 2019'!K71</f>
        <v>0</v>
      </c>
      <c r="C504" s="238">
        <f>K71</f>
        <v>0</v>
      </c>
      <c r="D504" s="238">
        <f>'Prior Year 2019'!K59</f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5" customHeight="1" x14ac:dyDescent="0.35">
      <c r="A505" s="180" t="s">
        <v>521</v>
      </c>
      <c r="B505" s="238">
        <f>'Prior Year 2019'!L71</f>
        <v>0</v>
      </c>
      <c r="C505" s="238">
        <f>L71</f>
        <v>0</v>
      </c>
      <c r="D505" s="238">
        <f>'Prior Year 2019'!L59</f>
        <v>0</v>
      </c>
      <c r="E505" s="180">
        <f>L59</f>
        <v>0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5" customHeight="1" x14ac:dyDescent="0.35">
      <c r="A506" s="180" t="s">
        <v>522</v>
      </c>
      <c r="B506" s="238">
        <f>'Prior Year 2019'!M71</f>
        <v>0</v>
      </c>
      <c r="C506" s="238">
        <f>M71</f>
        <v>0</v>
      </c>
      <c r="D506" s="238">
        <f>'Prior Year 2019'!M59</f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5" customHeight="1" x14ac:dyDescent="0.35">
      <c r="A507" s="180" t="s">
        <v>523</v>
      </c>
      <c r="B507" s="238">
        <f>'Prior Year 2019'!N71</f>
        <v>925352</v>
      </c>
      <c r="C507" s="238">
        <f>N71</f>
        <v>1972652</v>
      </c>
      <c r="D507" s="238">
        <f>'Prior Year 2019'!N59</f>
        <v>743</v>
      </c>
      <c r="E507" s="180">
        <f>N59</f>
        <v>0</v>
      </c>
      <c r="F507" s="261">
        <f t="shared" si="15"/>
        <v>1245.4266487213997</v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5" customHeight="1" x14ac:dyDescent="0.35">
      <c r="A508" s="180" t="s">
        <v>524</v>
      </c>
      <c r="B508" s="238">
        <f>'Prior Year 2019'!O71</f>
        <v>0</v>
      </c>
      <c r="C508" s="238">
        <f>O71</f>
        <v>121068</v>
      </c>
      <c r="D508" s="238">
        <f>'Prior Year 2019'!O59</f>
        <v>0</v>
      </c>
      <c r="E508" s="180">
        <f>O59</f>
        <v>0</v>
      </c>
      <c r="F508" s="261" t="str">
        <f t="shared" si="15"/>
        <v/>
      </c>
      <c r="G508" s="261" t="str">
        <f t="shared" si="15"/>
        <v/>
      </c>
      <c r="H508" s="263" t="str">
        <f t="shared" si="16"/>
        <v/>
      </c>
      <c r="I508" s="265"/>
      <c r="K508" s="259"/>
      <c r="L508" s="259"/>
    </row>
    <row r="509" spans="1:12" ht="12.65" customHeight="1" x14ac:dyDescent="0.35">
      <c r="A509" s="180" t="s">
        <v>525</v>
      </c>
      <c r="B509" s="238">
        <f>'Prior Year 2019'!P71</f>
        <v>4511514</v>
      </c>
      <c r="C509" s="238">
        <f>P71</f>
        <v>3880590</v>
      </c>
      <c r="D509" s="238">
        <f>'Prior Year 2019'!P59</f>
        <v>103428</v>
      </c>
      <c r="E509" s="180">
        <f>P59</f>
        <v>91268</v>
      </c>
      <c r="F509" s="261">
        <f t="shared" si="15"/>
        <v>43.619851490892216</v>
      </c>
      <c r="G509" s="261">
        <f t="shared" si="15"/>
        <v>42.518626462725159</v>
      </c>
      <c r="H509" s="263" t="str">
        <f t="shared" si="16"/>
        <v/>
      </c>
      <c r="I509" s="265"/>
      <c r="K509" s="259"/>
      <c r="L509" s="259"/>
    </row>
    <row r="510" spans="1:12" ht="12.65" customHeight="1" x14ac:dyDescent="0.35">
      <c r="A510" s="180" t="s">
        <v>526</v>
      </c>
      <c r="B510" s="238">
        <f>'Prior Year 2019'!Q71</f>
        <v>496924</v>
      </c>
      <c r="C510" s="238">
        <f>Q71</f>
        <v>439766</v>
      </c>
      <c r="D510" s="238">
        <f>'Prior Year 2019'!Q59</f>
        <v>65374</v>
      </c>
      <c r="E510" s="180">
        <f>Q59</f>
        <v>0</v>
      </c>
      <c r="F510" s="261">
        <f t="shared" si="15"/>
        <v>7.6012482026493711</v>
      </c>
      <c r="G510" s="261" t="str">
        <f t="shared" si="15"/>
        <v/>
      </c>
      <c r="H510" s="263" t="str">
        <f t="shared" si="16"/>
        <v/>
      </c>
      <c r="I510" s="265"/>
      <c r="K510" s="259"/>
      <c r="L510" s="259"/>
    </row>
    <row r="511" spans="1:12" ht="12.65" customHeight="1" x14ac:dyDescent="0.35">
      <c r="A511" s="180" t="s">
        <v>527</v>
      </c>
      <c r="B511" s="238">
        <f>'Prior Year 2019'!R71</f>
        <v>480227</v>
      </c>
      <c r="C511" s="238">
        <f>R71</f>
        <v>519144</v>
      </c>
      <c r="D511" s="238">
        <f>'Prior Year 2019'!R59</f>
        <v>103428</v>
      </c>
      <c r="E511" s="180">
        <f>R59</f>
        <v>0</v>
      </c>
      <c r="F511" s="261">
        <f t="shared" si="15"/>
        <v>4.6431043817921642</v>
      </c>
      <c r="G511" s="261" t="str">
        <f t="shared" si="15"/>
        <v/>
      </c>
      <c r="H511" s="263" t="str">
        <f t="shared" si="16"/>
        <v/>
      </c>
      <c r="I511" s="265"/>
      <c r="K511" s="259"/>
      <c r="L511" s="259"/>
    </row>
    <row r="512" spans="1:12" ht="12.65" customHeight="1" x14ac:dyDescent="0.35">
      <c r="A512" s="180" t="s">
        <v>528</v>
      </c>
      <c r="B512" s="238">
        <f>'Prior Year 2019'!S71</f>
        <v>195193</v>
      </c>
      <c r="C512" s="238">
        <f>S71</f>
        <v>331194.53000000003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5" customHeight="1" x14ac:dyDescent="0.35">
      <c r="A513" s="180" t="s">
        <v>1246</v>
      </c>
      <c r="B513" s="238">
        <f>'Prior Year 2019'!T71</f>
        <v>0</v>
      </c>
      <c r="C513" s="238">
        <f>T71</f>
        <v>0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5" customHeight="1" x14ac:dyDescent="0.35">
      <c r="A514" s="180" t="s">
        <v>530</v>
      </c>
      <c r="B514" s="238">
        <f>'Prior Year 2019'!U71</f>
        <v>2642555</v>
      </c>
      <c r="C514" s="238">
        <f>U71</f>
        <v>2953432</v>
      </c>
      <c r="D514" s="238">
        <f>'Prior Year 2019'!U59</f>
        <v>127100</v>
      </c>
      <c r="E514" s="180">
        <f>U59</f>
        <v>114209</v>
      </c>
      <c r="F514" s="261">
        <f t="shared" si="17"/>
        <v>20.7911487018096</v>
      </c>
      <c r="G514" s="261">
        <f t="shared" si="17"/>
        <v>25.859888450122146</v>
      </c>
      <c r="H514" s="263" t="str">
        <f t="shared" si="16"/>
        <v/>
      </c>
      <c r="I514" s="265"/>
      <c r="K514" s="259"/>
      <c r="L514" s="259"/>
    </row>
    <row r="515" spans="1:12" ht="12.65" customHeight="1" x14ac:dyDescent="0.35">
      <c r="A515" s="180" t="s">
        <v>531</v>
      </c>
      <c r="B515" s="238">
        <f>'Prior Year 2019'!V71</f>
        <v>0</v>
      </c>
      <c r="C515" s="238">
        <f>V71</f>
        <v>0</v>
      </c>
      <c r="D515" s="238">
        <f>'Prior Year 2019'!V59</f>
        <v>4095</v>
      </c>
      <c r="E515" s="180">
        <f>V59</f>
        <v>3935</v>
      </c>
      <c r="F515" s="261" t="str">
        <f t="shared" si="17"/>
        <v/>
      </c>
      <c r="G515" s="261" t="str">
        <f t="shared" si="17"/>
        <v/>
      </c>
      <c r="H515" s="263" t="str">
        <f t="shared" si="16"/>
        <v/>
      </c>
      <c r="I515" s="265"/>
      <c r="K515" s="259"/>
      <c r="L515" s="259"/>
    </row>
    <row r="516" spans="1:12" ht="12.65" customHeight="1" x14ac:dyDescent="0.35">
      <c r="A516" s="180" t="s">
        <v>532</v>
      </c>
      <c r="B516" s="238">
        <f>'Prior Year 2019'!W71</f>
        <v>508215</v>
      </c>
      <c r="C516" s="238">
        <f>W71</f>
        <v>636550</v>
      </c>
      <c r="D516" s="238">
        <f>'Prior Year 2019'!W59</f>
        <v>1142</v>
      </c>
      <c r="E516" s="180">
        <f>W59</f>
        <v>0</v>
      </c>
      <c r="F516" s="261">
        <f t="shared" si="17"/>
        <v>445.02189141856394</v>
      </c>
      <c r="G516" s="261" t="str">
        <f t="shared" si="17"/>
        <v/>
      </c>
      <c r="H516" s="263" t="str">
        <f t="shared" si="16"/>
        <v/>
      </c>
      <c r="I516" s="265"/>
      <c r="K516" s="259"/>
      <c r="L516" s="259"/>
    </row>
    <row r="517" spans="1:12" ht="12.65" customHeight="1" x14ac:dyDescent="0.35">
      <c r="A517" s="180" t="s">
        <v>533</v>
      </c>
      <c r="B517" s="238">
        <f>'Prior Year 2019'!X71</f>
        <v>956581</v>
      </c>
      <c r="C517" s="238">
        <f>X71</f>
        <v>916230</v>
      </c>
      <c r="D517" s="238">
        <f>'Prior Year 2019'!X59</f>
        <v>5093</v>
      </c>
      <c r="E517" s="180">
        <f>X59</f>
        <v>0</v>
      </c>
      <c r="F517" s="261">
        <f t="shared" si="17"/>
        <v>187.822697820538</v>
      </c>
      <c r="G517" s="261" t="str">
        <f t="shared" si="17"/>
        <v/>
      </c>
      <c r="H517" s="263" t="str">
        <f t="shared" si="16"/>
        <v/>
      </c>
      <c r="I517" s="265"/>
      <c r="K517" s="259"/>
      <c r="L517" s="259"/>
    </row>
    <row r="518" spans="1:12" ht="12.65" customHeight="1" x14ac:dyDescent="0.35">
      <c r="A518" s="180" t="s">
        <v>534</v>
      </c>
      <c r="B518" s="238">
        <f>'Prior Year 2019'!Y71</f>
        <v>513097</v>
      </c>
      <c r="C518" s="238">
        <f>Y71</f>
        <v>1287138</v>
      </c>
      <c r="D518" s="238">
        <f>'Prior Year 2019'!Y59</f>
        <v>9425</v>
      </c>
      <c r="E518" s="180">
        <f>Y59</f>
        <v>0</v>
      </c>
      <c r="F518" s="261">
        <f t="shared" si="17"/>
        <v>54.44</v>
      </c>
      <c r="G518" s="261" t="str">
        <f t="shared" si="17"/>
        <v/>
      </c>
      <c r="H518" s="263" t="str">
        <f t="shared" si="16"/>
        <v/>
      </c>
      <c r="I518" s="265"/>
      <c r="K518" s="259"/>
      <c r="L518" s="259"/>
    </row>
    <row r="519" spans="1:12" ht="12.65" customHeight="1" x14ac:dyDescent="0.35">
      <c r="A519" s="180" t="s">
        <v>535</v>
      </c>
      <c r="B519" s="238">
        <f>'Prior Year 2019'!Z71</f>
        <v>0</v>
      </c>
      <c r="C519" s="238">
        <f>Z71</f>
        <v>0</v>
      </c>
      <c r="D519" s="238">
        <f>'Prior Year 2019'!Z59</f>
        <v>0</v>
      </c>
      <c r="E519" s="180">
        <f>Z59</f>
        <v>0</v>
      </c>
      <c r="F519" s="261" t="str">
        <f t="shared" si="17"/>
        <v/>
      </c>
      <c r="G519" s="261" t="str">
        <f t="shared" si="17"/>
        <v/>
      </c>
      <c r="H519" s="263" t="str">
        <f t="shared" si="16"/>
        <v/>
      </c>
      <c r="I519" s="265"/>
      <c r="K519" s="259"/>
      <c r="L519" s="259"/>
    </row>
    <row r="520" spans="1:12" ht="12.65" customHeight="1" x14ac:dyDescent="0.35">
      <c r="A520" s="180" t="s">
        <v>536</v>
      </c>
      <c r="B520" s="238">
        <f>'Prior Year 2019'!AA71</f>
        <v>116062</v>
      </c>
      <c r="C520" s="238">
        <f>AA71</f>
        <v>21298</v>
      </c>
      <c r="D520" s="238">
        <f>'Prior Year 2019'!AA59</f>
        <v>50</v>
      </c>
      <c r="E520" s="180">
        <f>AA59</f>
        <v>0</v>
      </c>
      <c r="F520" s="261">
        <f t="shared" si="17"/>
        <v>2321.2399999999998</v>
      </c>
      <c r="G520" s="261" t="str">
        <f t="shared" si="17"/>
        <v/>
      </c>
      <c r="H520" s="263" t="str">
        <f t="shared" si="16"/>
        <v/>
      </c>
      <c r="I520" s="265"/>
      <c r="K520" s="259"/>
      <c r="L520" s="259"/>
    </row>
    <row r="521" spans="1:12" ht="12.65" customHeight="1" x14ac:dyDescent="0.35">
      <c r="A521" s="180" t="s">
        <v>537</v>
      </c>
      <c r="B521" s="238">
        <f>'Prior Year 2019'!AB71</f>
        <v>2212772</v>
      </c>
      <c r="C521" s="238">
        <f>AB71</f>
        <v>2203351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5" customHeight="1" x14ac:dyDescent="0.35">
      <c r="A522" s="180" t="s">
        <v>538</v>
      </c>
      <c r="B522" s="238">
        <f>'Prior Year 2019'!AC71</f>
        <v>582966</v>
      </c>
      <c r="C522" s="238">
        <f>AC71</f>
        <v>475778</v>
      </c>
      <c r="D522" s="238">
        <f>'Prior Year 2019'!AC59</f>
        <v>3513</v>
      </c>
      <c r="E522" s="180">
        <f>AC59</f>
        <v>0</v>
      </c>
      <c r="F522" s="261">
        <f t="shared" si="17"/>
        <v>165.94534585824081</v>
      </c>
      <c r="G522" s="261" t="str">
        <f t="shared" si="17"/>
        <v/>
      </c>
      <c r="H522" s="263" t="str">
        <f t="shared" si="16"/>
        <v/>
      </c>
      <c r="I522" s="265"/>
      <c r="K522" s="259"/>
      <c r="L522" s="259"/>
    </row>
    <row r="523" spans="1:12" ht="12.65" customHeight="1" x14ac:dyDescent="0.35">
      <c r="A523" s="180" t="s">
        <v>539</v>
      </c>
      <c r="B523" s="238">
        <f>'Prior Year 2019'!AD71</f>
        <v>0</v>
      </c>
      <c r="C523" s="238">
        <f>AD71</f>
        <v>0</v>
      </c>
      <c r="D523" s="238">
        <f>'Prior Year 2019'!AD59</f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5" customHeight="1" x14ac:dyDescent="0.35">
      <c r="A524" s="180" t="s">
        <v>540</v>
      </c>
      <c r="B524" s="238">
        <f>'Prior Year 2019'!AE71</f>
        <v>645453</v>
      </c>
      <c r="C524" s="238">
        <f>AE71</f>
        <v>711877</v>
      </c>
      <c r="D524" s="238">
        <f>'Prior Year 2019'!AE59</f>
        <v>16743</v>
      </c>
      <c r="E524" s="180">
        <f>AE59</f>
        <v>14470</v>
      </c>
      <c r="F524" s="261">
        <f t="shared" si="17"/>
        <v>38.550618168786954</v>
      </c>
      <c r="G524" s="261">
        <f t="shared" si="17"/>
        <v>49.196751900483761</v>
      </c>
      <c r="H524" s="263">
        <f t="shared" si="16"/>
        <v>0.27615987077261961</v>
      </c>
      <c r="I524" s="265"/>
      <c r="K524" s="259"/>
      <c r="L524" s="259"/>
    </row>
    <row r="525" spans="1:12" ht="12.65" customHeight="1" x14ac:dyDescent="0.35">
      <c r="A525" s="180" t="s">
        <v>541</v>
      </c>
      <c r="B525" s="238">
        <f>'Prior Year 2019'!AF71</f>
        <v>0</v>
      </c>
      <c r="C525" s="238">
        <f>AF71</f>
        <v>0</v>
      </c>
      <c r="D525" s="238">
        <f>'Prior Year 2019'!AF59</f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5" customHeight="1" x14ac:dyDescent="0.35">
      <c r="A526" s="180" t="s">
        <v>542</v>
      </c>
      <c r="B526" s="238">
        <f>'Prior Year 2019'!AG71</f>
        <v>4921907</v>
      </c>
      <c r="C526" s="238">
        <f>AG71</f>
        <v>4842167</v>
      </c>
      <c r="D526" s="238">
        <f>'Prior Year 2019'!AG59</f>
        <v>15712</v>
      </c>
      <c r="E526" s="180">
        <f>AG59</f>
        <v>13586</v>
      </c>
      <c r="F526" s="261">
        <f t="shared" si="17"/>
        <v>313.25782841140528</v>
      </c>
      <c r="G526" s="261">
        <f t="shared" si="17"/>
        <v>356.40858236419842</v>
      </c>
      <c r="H526" s="263" t="str">
        <f t="shared" si="16"/>
        <v/>
      </c>
      <c r="I526" s="265"/>
      <c r="K526" s="259"/>
      <c r="L526" s="259"/>
    </row>
    <row r="527" spans="1:12" ht="12.65" customHeight="1" x14ac:dyDescent="0.35">
      <c r="A527" s="180" t="s">
        <v>543</v>
      </c>
      <c r="B527" s="238">
        <f>'Prior Year 2019'!AH71</f>
        <v>0</v>
      </c>
      <c r="C527" s="238">
        <f>AH71</f>
        <v>0</v>
      </c>
      <c r="D527" s="238">
        <f>'Prior Year 2019'!AH59</f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5" customHeight="1" x14ac:dyDescent="0.35">
      <c r="A528" s="180" t="s">
        <v>544</v>
      </c>
      <c r="B528" s="238">
        <f>'Prior Year 2019'!AI71</f>
        <v>1072160</v>
      </c>
      <c r="C528" s="238">
        <f>AI71</f>
        <v>0</v>
      </c>
      <c r="D528" s="238">
        <f>'Prior Year 2019'!AI59</f>
        <v>874</v>
      </c>
      <c r="E528" s="180">
        <f>AI59</f>
        <v>0</v>
      </c>
      <c r="F528" s="261">
        <f t="shared" ref="F528:G540" si="18">IF(B528=0,"",IF(D528=0,"",B528/D528))</f>
        <v>1226.7276887871853</v>
      </c>
      <c r="G528" s="261" t="str">
        <f t="shared" si="18"/>
        <v/>
      </c>
      <c r="H528" s="263" t="str">
        <f t="shared" si="16"/>
        <v/>
      </c>
      <c r="I528" s="265"/>
      <c r="K528" s="259"/>
      <c r="L528" s="259"/>
    </row>
    <row r="529" spans="1:12" ht="12.65" customHeight="1" x14ac:dyDescent="0.35">
      <c r="A529" s="180" t="s">
        <v>545</v>
      </c>
      <c r="B529" s="238">
        <f>'Prior Year 2019'!AJ71</f>
        <v>0</v>
      </c>
      <c r="C529" s="238">
        <f>AJ71</f>
        <v>2170385</v>
      </c>
      <c r="D529" s="238">
        <f>'Prior Year 2019'!AJ59</f>
        <v>0</v>
      </c>
      <c r="E529" s="180">
        <f>AJ59</f>
        <v>931</v>
      </c>
      <c r="F529" s="261" t="str">
        <f t="shared" si="18"/>
        <v/>
      </c>
      <c r="G529" s="261">
        <f t="shared" si="18"/>
        <v>2331.2406015037595</v>
      </c>
      <c r="H529" s="263" t="str">
        <f t="shared" si="16"/>
        <v/>
      </c>
      <c r="I529" s="265"/>
      <c r="K529" s="259"/>
      <c r="L529" s="259"/>
    </row>
    <row r="530" spans="1:12" ht="12.65" customHeight="1" x14ac:dyDescent="0.35">
      <c r="A530" s="180" t="s">
        <v>546</v>
      </c>
      <c r="B530" s="238">
        <f>'Prior Year 2019'!AK71</f>
        <v>0</v>
      </c>
      <c r="C530" s="238">
        <f>AK71</f>
        <v>0</v>
      </c>
      <c r="D530" s="238">
        <f>'Prior Year 2019'!AK59</f>
        <v>0</v>
      </c>
      <c r="E530" s="180">
        <f>AK59</f>
        <v>0</v>
      </c>
      <c r="F530" s="261" t="str">
        <f t="shared" si="18"/>
        <v/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5" customHeight="1" x14ac:dyDescent="0.35">
      <c r="A531" s="180" t="s">
        <v>547</v>
      </c>
      <c r="B531" s="238">
        <f>'Prior Year 2019'!AL71</f>
        <v>0</v>
      </c>
      <c r="C531" s="238">
        <f>AL71</f>
        <v>0</v>
      </c>
      <c r="D531" s="238">
        <f>'Prior Year 2019'!AL59</f>
        <v>0</v>
      </c>
      <c r="E531" s="180">
        <f>AL59</f>
        <v>0</v>
      </c>
      <c r="F531" s="261" t="str">
        <f t="shared" si="18"/>
        <v/>
      </c>
      <c r="G531" s="261" t="str">
        <f t="shared" si="18"/>
        <v/>
      </c>
      <c r="H531" s="263" t="str">
        <f t="shared" si="16"/>
        <v/>
      </c>
      <c r="I531" s="265"/>
      <c r="K531" s="259"/>
      <c r="L531" s="259"/>
    </row>
    <row r="532" spans="1:12" ht="12.65" customHeight="1" x14ac:dyDescent="0.35">
      <c r="A532" s="180" t="s">
        <v>548</v>
      </c>
      <c r="B532" s="238">
        <f>'Prior Year 2019'!AM71</f>
        <v>0</v>
      </c>
      <c r="C532" s="238">
        <f>AM71</f>
        <v>0</v>
      </c>
      <c r="D532" s="238">
        <f>'Prior Year 2019'!AM59</f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5" customHeight="1" x14ac:dyDescent="0.35">
      <c r="A533" s="180" t="s">
        <v>1247</v>
      </c>
      <c r="B533" s="238">
        <f>'Prior Year 2019'!AN71</f>
        <v>0</v>
      </c>
      <c r="C533" s="238">
        <f>AN71</f>
        <v>0</v>
      </c>
      <c r="D533" s="238">
        <f>'Prior Year 2019'!AN59</f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5" customHeight="1" x14ac:dyDescent="0.35">
      <c r="A534" s="180" t="s">
        <v>549</v>
      </c>
      <c r="B534" s="238">
        <f>'Prior Year 2019'!AO71</f>
        <v>0</v>
      </c>
      <c r="C534" s="238">
        <f>AO71</f>
        <v>0</v>
      </c>
      <c r="D534" s="238">
        <f>'Prior Year 2019'!AO59</f>
        <v>0</v>
      </c>
      <c r="E534" s="180">
        <f>AO59</f>
        <v>0</v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5" customHeight="1" x14ac:dyDescent="0.35">
      <c r="A535" s="180" t="s">
        <v>550</v>
      </c>
      <c r="B535" s="238">
        <f>'Prior Year 2019'!AP71</f>
        <v>0</v>
      </c>
      <c r="C535" s="238">
        <f>AP71</f>
        <v>0</v>
      </c>
      <c r="D535" s="238">
        <f>'Prior Year 2019'!AP59</f>
        <v>0</v>
      </c>
      <c r="E535" s="180">
        <f>AP59</f>
        <v>0</v>
      </c>
      <c r="F535" s="261" t="str">
        <f t="shared" si="18"/>
        <v/>
      </c>
      <c r="G535" s="261" t="str">
        <f t="shared" si="18"/>
        <v/>
      </c>
      <c r="H535" s="263" t="str">
        <f t="shared" si="16"/>
        <v/>
      </c>
      <c r="I535" s="265"/>
      <c r="K535" s="259"/>
      <c r="L535" s="259"/>
    </row>
    <row r="536" spans="1:12" ht="12.65" customHeight="1" x14ac:dyDescent="0.35">
      <c r="A536" s="180" t="s">
        <v>551</v>
      </c>
      <c r="B536" s="238">
        <f>'Prior Year 2019'!AQ71</f>
        <v>0</v>
      </c>
      <c r="C536" s="238">
        <f>AQ71</f>
        <v>0</v>
      </c>
      <c r="D536" s="238">
        <f>'Prior Year 2019'!AQ59</f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5" customHeight="1" x14ac:dyDescent="0.35">
      <c r="A537" s="180" t="s">
        <v>552</v>
      </c>
      <c r="B537" s="238">
        <f>'Prior Year 2019'!AR71</f>
        <v>0</v>
      </c>
      <c r="C537" s="238">
        <f>AR71</f>
        <v>0</v>
      </c>
      <c r="D537" s="238">
        <f>'Prior Year 2019'!AR59</f>
        <v>0</v>
      </c>
      <c r="E537" s="180">
        <f>AR59</f>
        <v>0</v>
      </c>
      <c r="F537" s="261" t="str">
        <f t="shared" si="18"/>
        <v/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5" customHeight="1" x14ac:dyDescent="0.35">
      <c r="A538" s="180" t="s">
        <v>553</v>
      </c>
      <c r="B538" s="238">
        <f>'Prior Year 2019'!AS71</f>
        <v>0</v>
      </c>
      <c r="C538" s="238">
        <f>AS71</f>
        <v>0</v>
      </c>
      <c r="D538" s="238">
        <f>'Prior Year 2019'!AS59</f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5" customHeight="1" x14ac:dyDescent="0.35">
      <c r="A539" s="180" t="s">
        <v>554</v>
      </c>
      <c r="B539" s="238">
        <f>'Prior Year 2019'!AT71</f>
        <v>0</v>
      </c>
      <c r="C539" s="238">
        <f>AT71</f>
        <v>0</v>
      </c>
      <c r="D539" s="238">
        <f>'Prior Year 2019'!AT59</f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5" customHeight="1" x14ac:dyDescent="0.35">
      <c r="A540" s="180" t="s">
        <v>555</v>
      </c>
      <c r="B540" s="238">
        <f>'Prior Year 2019'!AU71</f>
        <v>0</v>
      </c>
      <c r="C540" s="238">
        <f>AU71</f>
        <v>0</v>
      </c>
      <c r="D540" s="238">
        <f>'Prior Year 2019'!AU59</f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5" customHeight="1" x14ac:dyDescent="0.35">
      <c r="A541" s="180" t="s">
        <v>556</v>
      </c>
      <c r="B541" s="238">
        <f>'Prior Year 2019'!AV71</f>
        <v>4655015</v>
      </c>
      <c r="C541" s="238">
        <f>AV71</f>
        <v>0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5" customHeight="1" x14ac:dyDescent="0.35">
      <c r="A542" s="180" t="s">
        <v>1248</v>
      </c>
      <c r="B542" s="238">
        <f>'Prior Year 2019'!AW71</f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5" customHeight="1" x14ac:dyDescent="0.35">
      <c r="A543" s="180" t="s">
        <v>557</v>
      </c>
      <c r="B543" s="238">
        <f>'Prior Year 2019'!AX71</f>
        <v>0</v>
      </c>
      <c r="C543" s="238">
        <f>AX71</f>
        <v>136854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5" customHeight="1" x14ac:dyDescent="0.35">
      <c r="A544" s="180" t="s">
        <v>558</v>
      </c>
      <c r="B544" s="238">
        <f>'Prior Year 2019'!AY71</f>
        <v>1384580</v>
      </c>
      <c r="C544" s="238">
        <f>AY71</f>
        <v>0</v>
      </c>
      <c r="D544" s="238">
        <f>'Prior Year 2019'!AY59</f>
        <v>104241</v>
      </c>
      <c r="E544" s="180">
        <f>AY59</f>
        <v>0</v>
      </c>
      <c r="F544" s="261">
        <f t="shared" ref="F544:G550" si="19">IF(B544=0,"",IF(D544=0,"",B544/D544))</f>
        <v>13.282489615410443</v>
      </c>
      <c r="G544" s="261" t="str">
        <f t="shared" si="19"/>
        <v/>
      </c>
      <c r="H544" s="263" t="str">
        <f t="shared" si="16"/>
        <v/>
      </c>
      <c r="I544" s="265"/>
      <c r="K544" s="259"/>
      <c r="L544" s="259"/>
    </row>
    <row r="545" spans="1:13" ht="12.65" customHeight="1" x14ac:dyDescent="0.35">
      <c r="A545" s="180" t="s">
        <v>559</v>
      </c>
      <c r="B545" s="238">
        <f>'Prior Year 2019'!AZ71</f>
        <v>0</v>
      </c>
      <c r="C545" s="238">
        <f>AZ71</f>
        <v>1376555</v>
      </c>
      <c r="D545" s="238">
        <f>'Prior Year 2019'!AZ59</f>
        <v>0</v>
      </c>
      <c r="E545" s="180">
        <f>AZ59</f>
        <v>79937</v>
      </c>
      <c r="F545" s="261" t="str">
        <f t="shared" si="19"/>
        <v/>
      </c>
      <c r="G545" s="261">
        <f t="shared" si="19"/>
        <v>17.220498642681111</v>
      </c>
      <c r="H545" s="263" t="str">
        <f t="shared" si="16"/>
        <v/>
      </c>
      <c r="I545" s="265"/>
      <c r="K545" s="259"/>
      <c r="L545" s="259"/>
    </row>
    <row r="546" spans="1:13" ht="12.65" customHeight="1" x14ac:dyDescent="0.35">
      <c r="A546" s="180" t="s">
        <v>560</v>
      </c>
      <c r="B546" s="238">
        <f>'Prior Year 2019'!BA71</f>
        <v>252102</v>
      </c>
      <c r="C546" s="238">
        <f>BA71</f>
        <v>296129</v>
      </c>
      <c r="D546" s="238">
        <f>'Prior Year 2019'!BA59</f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5" customHeight="1" x14ac:dyDescent="0.35">
      <c r="A547" s="180" t="s">
        <v>561</v>
      </c>
      <c r="B547" s="238">
        <f>'Prior Year 2019'!BB71</f>
        <v>0</v>
      </c>
      <c r="C547" s="238">
        <f>BB71</f>
        <v>0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5" customHeight="1" x14ac:dyDescent="0.35">
      <c r="A548" s="180" t="s">
        <v>562</v>
      </c>
      <c r="B548" s="238">
        <f>'Prior Year 2019'!BC71</f>
        <v>0</v>
      </c>
      <c r="C548" s="238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5" customHeight="1" x14ac:dyDescent="0.35">
      <c r="A549" s="180" t="s">
        <v>563</v>
      </c>
      <c r="B549" s="238">
        <f>'Prior Year 2019'!BD71</f>
        <v>302873</v>
      </c>
      <c r="C549" s="238">
        <f>BD71</f>
        <v>288221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5" customHeight="1" x14ac:dyDescent="0.35">
      <c r="A550" s="180" t="s">
        <v>564</v>
      </c>
      <c r="B550" s="238">
        <f>'Prior Year 2019'!BE71</f>
        <v>1673088</v>
      </c>
      <c r="C550" s="238">
        <f>BE71</f>
        <v>2294600</v>
      </c>
      <c r="D550" s="238">
        <f>'Prior Year 2019'!BE59</f>
        <v>99240</v>
      </c>
      <c r="E550" s="180">
        <f>BE59</f>
        <v>83637</v>
      </c>
      <c r="F550" s="261">
        <f t="shared" si="19"/>
        <v>16.859008464328898</v>
      </c>
      <c r="G550" s="261">
        <f t="shared" si="19"/>
        <v>27.435226036323638</v>
      </c>
      <c r="H550" s="263">
        <f t="shared" si="16"/>
        <v>0.62733330933265785</v>
      </c>
      <c r="I550" s="265"/>
      <c r="K550" s="259"/>
      <c r="L550" s="259"/>
    </row>
    <row r="551" spans="1:13" ht="12.65" customHeight="1" x14ac:dyDescent="0.35">
      <c r="A551" s="180" t="s">
        <v>565</v>
      </c>
      <c r="B551" s="238">
        <f>'Prior Year 2019'!BF71</f>
        <v>1057129</v>
      </c>
      <c r="C551" s="238">
        <f>BF71</f>
        <v>1032595</v>
      </c>
      <c r="D551" s="181" t="s">
        <v>529</v>
      </c>
      <c r="E551" s="181" t="s">
        <v>529</v>
      </c>
      <c r="F551" s="261"/>
      <c r="G551" s="261"/>
      <c r="H551" s="263"/>
      <c r="I551" s="265"/>
      <c r="J551" s="198"/>
      <c r="M551" s="263"/>
    </row>
    <row r="552" spans="1:13" ht="12.65" customHeight="1" x14ac:dyDescent="0.35">
      <c r="A552" s="180" t="s">
        <v>566</v>
      </c>
      <c r="B552" s="238">
        <f>'Prior Year 2019'!BG71</f>
        <v>106588</v>
      </c>
      <c r="C552" s="238">
        <f>BG71</f>
        <v>104890</v>
      </c>
      <c r="D552" s="181" t="s">
        <v>529</v>
      </c>
      <c r="E552" s="181" t="s">
        <v>529</v>
      </c>
      <c r="F552" s="261"/>
      <c r="G552" s="261"/>
      <c r="H552" s="263"/>
      <c r="J552" s="198"/>
      <c r="M552" s="263"/>
    </row>
    <row r="553" spans="1:13" ht="12.65" customHeight="1" x14ac:dyDescent="0.35">
      <c r="A553" s="180" t="s">
        <v>567</v>
      </c>
      <c r="B553" s="238">
        <f>'Prior Year 2019'!BH71</f>
        <v>0</v>
      </c>
      <c r="C553" s="238">
        <f>BH71</f>
        <v>1816010</v>
      </c>
      <c r="D553" s="181" t="s">
        <v>529</v>
      </c>
      <c r="E553" s="181" t="s">
        <v>529</v>
      </c>
      <c r="F553" s="261"/>
      <c r="G553" s="261"/>
      <c r="H553" s="263"/>
      <c r="J553" s="198"/>
      <c r="M553" s="263"/>
    </row>
    <row r="554" spans="1:13" ht="12.65" customHeight="1" x14ac:dyDescent="0.35">
      <c r="A554" s="180" t="s">
        <v>568</v>
      </c>
      <c r="B554" s="238">
        <f>'Prior Year 2019'!BI71</f>
        <v>277209</v>
      </c>
      <c r="C554" s="238">
        <f>BI71</f>
        <v>1870894</v>
      </c>
      <c r="D554" s="181" t="s">
        <v>529</v>
      </c>
      <c r="E554" s="181" t="s">
        <v>529</v>
      </c>
      <c r="F554" s="261"/>
      <c r="G554" s="261"/>
      <c r="H554" s="263"/>
      <c r="J554" s="198"/>
      <c r="M554" s="263"/>
    </row>
    <row r="555" spans="1:13" ht="12.65" customHeight="1" x14ac:dyDescent="0.35">
      <c r="A555" s="180" t="s">
        <v>569</v>
      </c>
      <c r="B555" s="238">
        <f>'Prior Year 2019'!BJ71</f>
        <v>308694</v>
      </c>
      <c r="C555" s="238">
        <f>BJ71</f>
        <v>433515</v>
      </c>
      <c r="D555" s="181" t="s">
        <v>529</v>
      </c>
      <c r="E555" s="181" t="s">
        <v>529</v>
      </c>
      <c r="F555" s="261"/>
      <c r="G555" s="261"/>
      <c r="H555" s="263"/>
      <c r="J555" s="198"/>
      <c r="M555" s="263"/>
    </row>
    <row r="556" spans="1:13" ht="12.65" customHeight="1" x14ac:dyDescent="0.35">
      <c r="A556" s="180" t="s">
        <v>570</v>
      </c>
      <c r="B556" s="238">
        <f>'Prior Year 2019'!BK71</f>
        <v>790764</v>
      </c>
      <c r="C556" s="238">
        <f>BK71</f>
        <v>787246</v>
      </c>
      <c r="D556" s="181" t="s">
        <v>529</v>
      </c>
      <c r="E556" s="181" t="s">
        <v>529</v>
      </c>
      <c r="F556" s="261"/>
      <c r="G556" s="261"/>
      <c r="H556" s="263"/>
      <c r="J556" s="198"/>
      <c r="M556" s="263"/>
    </row>
    <row r="557" spans="1:13" ht="12.65" customHeight="1" x14ac:dyDescent="0.35">
      <c r="A557" s="180" t="s">
        <v>571</v>
      </c>
      <c r="B557" s="238">
        <f>'Prior Year 2019'!BL71</f>
        <v>826754</v>
      </c>
      <c r="C557" s="238">
        <f>BL71</f>
        <v>690982</v>
      </c>
      <c r="D557" s="181" t="s">
        <v>529</v>
      </c>
      <c r="E557" s="181" t="s">
        <v>529</v>
      </c>
      <c r="F557" s="261"/>
      <c r="G557" s="261"/>
      <c r="H557" s="263"/>
      <c r="J557" s="198"/>
      <c r="M557" s="263"/>
    </row>
    <row r="558" spans="1:13" ht="12.65" customHeight="1" x14ac:dyDescent="0.35">
      <c r="A558" s="180" t="s">
        <v>572</v>
      </c>
      <c r="B558" s="238">
        <f>'Prior Year 2019'!BM71</f>
        <v>1640933</v>
      </c>
      <c r="C558" s="238">
        <f>BM71</f>
        <v>0</v>
      </c>
      <c r="D558" s="181" t="s">
        <v>529</v>
      </c>
      <c r="E558" s="181" t="s">
        <v>529</v>
      </c>
      <c r="F558" s="261"/>
      <c r="G558" s="261"/>
      <c r="H558" s="263"/>
      <c r="J558" s="198"/>
      <c r="M558" s="263"/>
    </row>
    <row r="559" spans="1:13" ht="12.65" customHeight="1" x14ac:dyDescent="0.35">
      <c r="A559" s="180" t="s">
        <v>573</v>
      </c>
      <c r="B559" s="238">
        <f>'Prior Year 2019'!BN71</f>
        <v>5097924</v>
      </c>
      <c r="C559" s="238">
        <f>BN71</f>
        <v>4244278</v>
      </c>
      <c r="D559" s="181" t="s">
        <v>529</v>
      </c>
      <c r="E559" s="181" t="s">
        <v>529</v>
      </c>
      <c r="F559" s="261"/>
      <c r="G559" s="261"/>
      <c r="H559" s="263"/>
      <c r="J559" s="198"/>
      <c r="M559" s="263"/>
    </row>
    <row r="560" spans="1:13" ht="12.65" customHeight="1" x14ac:dyDescent="0.35">
      <c r="A560" s="180" t="s">
        <v>574</v>
      </c>
      <c r="B560" s="238">
        <f>'Prior Year 2019'!BO71</f>
        <v>0</v>
      </c>
      <c r="C560" s="238">
        <f>BO71</f>
        <v>54237</v>
      </c>
      <c r="D560" s="181" t="s">
        <v>529</v>
      </c>
      <c r="E560" s="181" t="s">
        <v>529</v>
      </c>
      <c r="F560" s="261"/>
      <c r="G560" s="261"/>
      <c r="H560" s="263"/>
      <c r="J560" s="198"/>
      <c r="M560" s="263"/>
    </row>
    <row r="561" spans="1:13" ht="12.65" customHeight="1" x14ac:dyDescent="0.35">
      <c r="A561" s="180" t="s">
        <v>575</v>
      </c>
      <c r="B561" s="238">
        <f>'Prior Year 2019'!BP71</f>
        <v>142557</v>
      </c>
      <c r="C561" s="238">
        <f>BP71</f>
        <v>15985</v>
      </c>
      <c r="D561" s="181" t="s">
        <v>529</v>
      </c>
      <c r="E561" s="181" t="s">
        <v>529</v>
      </c>
      <c r="F561" s="261"/>
      <c r="G561" s="261"/>
      <c r="H561" s="263"/>
      <c r="J561" s="198"/>
      <c r="M561" s="263"/>
    </row>
    <row r="562" spans="1:13" ht="12.65" customHeight="1" x14ac:dyDescent="0.35">
      <c r="A562" s="180" t="s">
        <v>576</v>
      </c>
      <c r="B562" s="238">
        <f>'Prior Year 2019'!BQ71</f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8"/>
      <c r="M562" s="263"/>
    </row>
    <row r="563" spans="1:13" ht="12.65" customHeight="1" x14ac:dyDescent="0.35">
      <c r="A563" s="180" t="s">
        <v>577</v>
      </c>
      <c r="B563" s="238">
        <f>'Prior Year 2019'!BR71</f>
        <v>422515</v>
      </c>
      <c r="C563" s="238">
        <f>BR71</f>
        <v>515623</v>
      </c>
      <c r="D563" s="181" t="s">
        <v>529</v>
      </c>
      <c r="E563" s="181" t="s">
        <v>529</v>
      </c>
      <c r="F563" s="261"/>
      <c r="G563" s="261"/>
      <c r="H563" s="263"/>
      <c r="J563" s="198"/>
      <c r="M563" s="263"/>
    </row>
    <row r="564" spans="1:13" ht="12.65" customHeight="1" x14ac:dyDescent="0.35">
      <c r="A564" s="180" t="s">
        <v>1249</v>
      </c>
      <c r="B564" s="238">
        <f>'Prior Year 2019'!BS71</f>
        <v>0</v>
      </c>
      <c r="C564" s="238">
        <f>BS71</f>
        <v>153</v>
      </c>
      <c r="D564" s="181" t="s">
        <v>529</v>
      </c>
      <c r="E564" s="181" t="s">
        <v>529</v>
      </c>
      <c r="F564" s="261"/>
      <c r="G564" s="261"/>
      <c r="H564" s="263"/>
      <c r="J564" s="198"/>
      <c r="M564" s="263"/>
    </row>
    <row r="565" spans="1:13" ht="12.65" customHeight="1" x14ac:dyDescent="0.35">
      <c r="A565" s="180" t="s">
        <v>578</v>
      </c>
      <c r="B565" s="238">
        <f>'Prior Year 2019'!BT71</f>
        <v>0</v>
      </c>
      <c r="C565" s="238">
        <f>BT71</f>
        <v>0</v>
      </c>
      <c r="D565" s="181" t="s">
        <v>529</v>
      </c>
      <c r="E565" s="181" t="s">
        <v>529</v>
      </c>
      <c r="F565" s="261"/>
      <c r="G565" s="261"/>
      <c r="H565" s="263"/>
      <c r="J565" s="198"/>
      <c r="M565" s="263"/>
    </row>
    <row r="566" spans="1:13" ht="12.65" customHeight="1" x14ac:dyDescent="0.35">
      <c r="A566" s="180" t="s">
        <v>579</v>
      </c>
      <c r="B566" s="238">
        <f>'Prior Year 2019'!BU71</f>
        <v>0</v>
      </c>
      <c r="C566" s="238">
        <f>BU71</f>
        <v>0</v>
      </c>
      <c r="D566" s="181" t="s">
        <v>529</v>
      </c>
      <c r="E566" s="181" t="s">
        <v>529</v>
      </c>
      <c r="F566" s="261"/>
      <c r="G566" s="261"/>
      <c r="H566" s="263"/>
      <c r="J566" s="198"/>
      <c r="M566" s="263"/>
    </row>
    <row r="567" spans="1:13" ht="12.65" customHeight="1" x14ac:dyDescent="0.35">
      <c r="A567" s="180" t="s">
        <v>580</v>
      </c>
      <c r="B567" s="238">
        <f>'Prior Year 2019'!BV71</f>
        <v>824327</v>
      </c>
      <c r="C567" s="238">
        <f>BV71</f>
        <v>899761</v>
      </c>
      <c r="D567" s="181" t="s">
        <v>529</v>
      </c>
      <c r="E567" s="181" t="s">
        <v>529</v>
      </c>
      <c r="F567" s="261"/>
      <c r="G567" s="261"/>
      <c r="H567" s="263"/>
      <c r="J567" s="198"/>
      <c r="M567" s="263"/>
    </row>
    <row r="568" spans="1:13" ht="12.65" customHeight="1" x14ac:dyDescent="0.35">
      <c r="A568" s="180" t="s">
        <v>581</v>
      </c>
      <c r="B568" s="238">
        <f>'Prior Year 2019'!BW71</f>
        <v>110655</v>
      </c>
      <c r="C568" s="238">
        <f>BW71</f>
        <v>116408</v>
      </c>
      <c r="D568" s="181" t="s">
        <v>529</v>
      </c>
      <c r="E568" s="181" t="s">
        <v>529</v>
      </c>
      <c r="F568" s="261"/>
      <c r="G568" s="261"/>
      <c r="H568" s="263"/>
      <c r="J568" s="198"/>
      <c r="M568" s="263"/>
    </row>
    <row r="569" spans="1:13" ht="12.65" customHeight="1" x14ac:dyDescent="0.35">
      <c r="A569" s="180" t="s">
        <v>582</v>
      </c>
      <c r="B569" s="238">
        <f>'Prior Year 2019'!BX71</f>
        <v>0</v>
      </c>
      <c r="C569" s="238">
        <f>BX71</f>
        <v>883874</v>
      </c>
      <c r="D569" s="181" t="s">
        <v>529</v>
      </c>
      <c r="E569" s="181" t="s">
        <v>529</v>
      </c>
      <c r="F569" s="261"/>
      <c r="G569" s="261"/>
      <c r="H569" s="263"/>
      <c r="J569" s="198"/>
      <c r="M569" s="263"/>
    </row>
    <row r="570" spans="1:13" ht="12.65" customHeight="1" x14ac:dyDescent="0.35">
      <c r="A570" s="180" t="s">
        <v>583</v>
      </c>
      <c r="B570" s="238">
        <f>'Prior Year 2019'!BY71</f>
        <v>444236</v>
      </c>
      <c r="C570" s="238">
        <f>BY71</f>
        <v>363925</v>
      </c>
      <c r="D570" s="181" t="s">
        <v>529</v>
      </c>
      <c r="E570" s="181" t="s">
        <v>529</v>
      </c>
      <c r="F570" s="261"/>
      <c r="G570" s="261"/>
      <c r="H570" s="263"/>
      <c r="J570" s="198"/>
      <c r="M570" s="263"/>
    </row>
    <row r="571" spans="1:13" ht="12.65" customHeight="1" x14ac:dyDescent="0.35">
      <c r="A571" s="180" t="s">
        <v>584</v>
      </c>
      <c r="B571" s="238">
        <f>'Prior Year 2019'!BZ71</f>
        <v>0</v>
      </c>
      <c r="C571" s="238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8"/>
      <c r="M571" s="263"/>
    </row>
    <row r="572" spans="1:13" ht="12.65" customHeight="1" x14ac:dyDescent="0.35">
      <c r="A572" s="180" t="s">
        <v>585</v>
      </c>
      <c r="B572" s="238">
        <f>'Prior Year 2019'!CA71</f>
        <v>0</v>
      </c>
      <c r="C572" s="238">
        <f>CA71</f>
        <v>13249</v>
      </c>
      <c r="D572" s="181" t="s">
        <v>529</v>
      </c>
      <c r="E572" s="181" t="s">
        <v>529</v>
      </c>
      <c r="F572" s="261"/>
      <c r="G572" s="261"/>
      <c r="H572" s="263"/>
      <c r="J572" s="198"/>
      <c r="M572" s="263"/>
    </row>
    <row r="573" spans="1:13" ht="12.65" customHeight="1" x14ac:dyDescent="0.35">
      <c r="A573" s="180" t="s">
        <v>586</v>
      </c>
      <c r="B573" s="238">
        <f>'Prior Year 2019'!CB71</f>
        <v>0</v>
      </c>
      <c r="C573" s="238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8"/>
      <c r="M573" s="263"/>
    </row>
    <row r="574" spans="1:13" ht="12.65" customHeight="1" x14ac:dyDescent="0.35">
      <c r="A574" s="180" t="s">
        <v>587</v>
      </c>
      <c r="B574" s="238">
        <f>'Prior Year 2019'!CC71</f>
        <v>2257493</v>
      </c>
      <c r="C574" s="238">
        <f>CC71</f>
        <v>655690</v>
      </c>
      <c r="D574" s="181" t="s">
        <v>529</v>
      </c>
      <c r="E574" s="181" t="s">
        <v>529</v>
      </c>
      <c r="F574" s="261"/>
      <c r="G574" s="261"/>
      <c r="H574" s="263"/>
      <c r="J574" s="198"/>
      <c r="M574" s="263"/>
    </row>
    <row r="575" spans="1:13" ht="12.65" customHeight="1" x14ac:dyDescent="0.35">
      <c r="A575" s="180" t="s">
        <v>588</v>
      </c>
      <c r="B575" s="238">
        <f>'Prior Year 2019'!CD71</f>
        <v>1302327</v>
      </c>
      <c r="C575" s="238">
        <f>CD71</f>
        <v>0</v>
      </c>
      <c r="D575" s="181" t="s">
        <v>529</v>
      </c>
      <c r="E575" s="181" t="s">
        <v>529</v>
      </c>
      <c r="F575" s="261"/>
      <c r="G575" s="261"/>
      <c r="H575" s="263"/>
    </row>
    <row r="576" spans="1:13" ht="12.65" customHeight="1" x14ac:dyDescent="0.35">
      <c r="M576" s="263"/>
    </row>
    <row r="577" spans="13:13" ht="12.65" customHeight="1" x14ac:dyDescent="0.35">
      <c r="M577" s="263"/>
    </row>
    <row r="578" spans="13:13" ht="12.65" customHeight="1" x14ac:dyDescent="0.35">
      <c r="M578" s="263"/>
    </row>
    <row r="612" spans="1:14" ht="12.65" customHeight="1" x14ac:dyDescent="0.35">
      <c r="A612" s="195"/>
      <c r="C612" s="181" t="s">
        <v>589</v>
      </c>
      <c r="D612" s="180">
        <f>CE76-(BE76+CD76)</f>
        <v>73161</v>
      </c>
      <c r="E612" s="180">
        <f>SUM(C624:D647)+SUM(C668:D713)</f>
        <v>45215361.379496321</v>
      </c>
      <c r="F612" s="180">
        <f>CE64-(AX64+BD64+BE64+BG64+BJ64+BN64+BP64+BQ64+CB64+CC64+CD64)</f>
        <v>5933677</v>
      </c>
      <c r="G612" s="180">
        <f>CE77-(AX77+AY77+BD77+BE77+BG77+BJ77+BN77+BP77+BQ77+CB77+CC77+CD77)</f>
        <v>24022</v>
      </c>
      <c r="H612" s="196">
        <f>CE60-(AX60+AY60+AZ60+BD60+BE60+BG60+BJ60+BN60+BO60+BP60+BQ60+BR60+CB60+CC60+CD60)</f>
        <v>229.99</v>
      </c>
      <c r="I612" s="180">
        <f>CE78-(AX78+AY78+AZ78+BD78+BE78+BF78+BG78+BJ78+BN78+BO78+BP78+BQ78+BR78+CB78+CC78+CD78)</f>
        <v>21160</v>
      </c>
      <c r="J612" s="180">
        <f>CE79-(AX79+AY79+AZ79+BA79+BD79+BE79+BF79+BG79+BJ79+BN79+BO79+BP79+BQ79+BR79+CB79+CC79+CD79)</f>
        <v>138397</v>
      </c>
      <c r="K612" s="180">
        <f>CE75-(AW75+AX75+AY75+AZ75+BA75+BB75+BC75+BD75+BE75+BF75+BG75+BH75+BI75+BJ75+BK75+BL75+BM75+BN75+BO75+BP75+BQ75+BR75+BS75+BT75+BU75+BV75+BW75+BX75+CB75+CC75+CD75)</f>
        <v>120472762</v>
      </c>
      <c r="L612" s="196">
        <f>CE80-(AW80+AX80+AY80+AZ80+BA80+BB80+BC80+BD80+BE80+BF80+BG80+BH80+BI80+BJ80+BK80+BL80+BM80+BN80+BO80+BP80+BQ80+BR80+BS80+BT80+BU80+BV80+BW80+BX80+BY80+BZ80+CA80+CB80+CC80+CD80)</f>
        <v>69.34</v>
      </c>
    </row>
    <row r="613" spans="1:14" ht="12.65" customHeight="1" x14ac:dyDescent="0.35">
      <c r="A613" s="195"/>
      <c r="C613" s="181" t="s">
        <v>590</v>
      </c>
      <c r="D613" s="181" t="s">
        <v>591</v>
      </c>
      <c r="E613" s="197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7" t="s">
        <v>599</v>
      </c>
    </row>
    <row r="614" spans="1:14" ht="12.65" customHeight="1" x14ac:dyDescent="0.35">
      <c r="A614" s="195">
        <v>8430</v>
      </c>
      <c r="B614" s="197" t="s">
        <v>140</v>
      </c>
      <c r="C614" s="180">
        <f>BE71</f>
        <v>2294600</v>
      </c>
      <c r="N614" s="198" t="s">
        <v>600</v>
      </c>
    </row>
    <row r="615" spans="1:14" ht="12.65" customHeight="1" x14ac:dyDescent="0.35">
      <c r="A615" s="195"/>
      <c r="B615" s="197" t="s">
        <v>601</v>
      </c>
      <c r="C615" s="270">
        <f>CD69-CD70</f>
        <v>0</v>
      </c>
      <c r="D615" s="264">
        <f>SUM(C614:C615)</f>
        <v>2294600</v>
      </c>
      <c r="N615" s="198" t="s">
        <v>602</v>
      </c>
    </row>
    <row r="616" spans="1:14" ht="12.65" customHeight="1" x14ac:dyDescent="0.35">
      <c r="A616" s="195">
        <v>8310</v>
      </c>
      <c r="B616" s="199" t="s">
        <v>603</v>
      </c>
      <c r="C616" s="180">
        <f>AX71</f>
        <v>136854</v>
      </c>
      <c r="D616" s="180">
        <f>(D615/D612)*AX76</f>
        <v>0</v>
      </c>
      <c r="N616" s="198" t="s">
        <v>604</v>
      </c>
    </row>
    <row r="617" spans="1:14" ht="12.65" customHeight="1" x14ac:dyDescent="0.35">
      <c r="A617" s="195">
        <v>8510</v>
      </c>
      <c r="B617" s="199" t="s">
        <v>145</v>
      </c>
      <c r="C617" s="180">
        <f>BJ71</f>
        <v>433515</v>
      </c>
      <c r="D617" s="180">
        <f>(D615/D612)*BJ76</f>
        <v>0</v>
      </c>
      <c r="N617" s="198" t="s">
        <v>605</v>
      </c>
    </row>
    <row r="618" spans="1:14" ht="12.65" customHeight="1" x14ac:dyDescent="0.35">
      <c r="A618" s="195">
        <v>8470</v>
      </c>
      <c r="B618" s="199" t="s">
        <v>606</v>
      </c>
      <c r="C618" s="180">
        <f>BG71</f>
        <v>104890</v>
      </c>
      <c r="D618" s="180">
        <f>(D615/D612)*BG76</f>
        <v>0</v>
      </c>
      <c r="N618" s="198" t="s">
        <v>607</v>
      </c>
    </row>
    <row r="619" spans="1:14" ht="12.65" customHeight="1" x14ac:dyDescent="0.35">
      <c r="A619" s="195">
        <v>8610</v>
      </c>
      <c r="B619" s="199" t="s">
        <v>608</v>
      </c>
      <c r="C619" s="180">
        <f>BN71</f>
        <v>4244278</v>
      </c>
      <c r="D619" s="180">
        <f>(D615/D612)*BN76</f>
        <v>182787.67102691325</v>
      </c>
      <c r="N619" s="198" t="s">
        <v>609</v>
      </c>
    </row>
    <row r="620" spans="1:14" ht="12.65" customHeight="1" x14ac:dyDescent="0.35">
      <c r="A620" s="195">
        <v>8790</v>
      </c>
      <c r="B620" s="199" t="s">
        <v>610</v>
      </c>
      <c r="C620" s="180">
        <f>CC71</f>
        <v>655690</v>
      </c>
      <c r="D620" s="180">
        <f>(D615/D612)*CC76</f>
        <v>53161.479476770408</v>
      </c>
      <c r="N620" s="198" t="s">
        <v>611</v>
      </c>
    </row>
    <row r="621" spans="1:14" ht="12.65" customHeight="1" x14ac:dyDescent="0.35">
      <c r="A621" s="195">
        <v>8630</v>
      </c>
      <c r="B621" s="199" t="s">
        <v>612</v>
      </c>
      <c r="C621" s="180">
        <f>BP71</f>
        <v>15985</v>
      </c>
      <c r="D621" s="180">
        <f>(D615/D612)*BP76</f>
        <v>0</v>
      </c>
      <c r="N621" s="198" t="s">
        <v>613</v>
      </c>
    </row>
    <row r="622" spans="1:14" ht="12.65" customHeight="1" x14ac:dyDescent="0.35">
      <c r="A622" s="195">
        <v>8770</v>
      </c>
      <c r="B622" s="197" t="s">
        <v>614</v>
      </c>
      <c r="C622" s="180">
        <f>CB71</f>
        <v>0</v>
      </c>
      <c r="D622" s="180">
        <f>(D615/D612)*CB76</f>
        <v>0</v>
      </c>
      <c r="N622" s="198" t="s">
        <v>615</v>
      </c>
    </row>
    <row r="623" spans="1:14" ht="12.65" customHeight="1" x14ac:dyDescent="0.35">
      <c r="A623" s="195">
        <v>8640</v>
      </c>
      <c r="B623" s="199" t="s">
        <v>616</v>
      </c>
      <c r="C623" s="180">
        <f>BQ71</f>
        <v>0</v>
      </c>
      <c r="D623" s="180">
        <f>(D615/D612)*BQ76</f>
        <v>0</v>
      </c>
      <c r="E623" s="180">
        <f>SUM(C616:D623)</f>
        <v>5827161.1505036838</v>
      </c>
      <c r="N623" s="198" t="s">
        <v>617</v>
      </c>
    </row>
    <row r="624" spans="1:14" ht="12.65" customHeight="1" x14ac:dyDescent="0.35">
      <c r="A624" s="195">
        <v>8420</v>
      </c>
      <c r="B624" s="199" t="s">
        <v>139</v>
      </c>
      <c r="C624" s="180">
        <f>BD71</f>
        <v>288221</v>
      </c>
      <c r="D624" s="180">
        <f>(D615/D612)*BD76</f>
        <v>100991.12915351074</v>
      </c>
      <c r="E624" s="180">
        <f>(E623/E612)*SUM(C624:D624)</f>
        <v>50159.983888498224</v>
      </c>
      <c r="F624" s="180">
        <f>SUM(C624:E624)</f>
        <v>439372.11304200895</v>
      </c>
      <c r="N624" s="198" t="s">
        <v>618</v>
      </c>
    </row>
    <row r="625" spans="1:14" ht="12.65" customHeight="1" x14ac:dyDescent="0.35">
      <c r="A625" s="195">
        <v>8320</v>
      </c>
      <c r="B625" s="199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8" t="s">
        <v>619</v>
      </c>
    </row>
    <row r="626" spans="1:14" ht="12.65" customHeight="1" x14ac:dyDescent="0.35">
      <c r="A626" s="195">
        <v>8650</v>
      </c>
      <c r="B626" s="199" t="s">
        <v>152</v>
      </c>
      <c r="C626" s="180">
        <f>BR71</f>
        <v>515623</v>
      </c>
      <c r="D626" s="180">
        <f>(D615/D612)*BR76</f>
        <v>18818.222823635544</v>
      </c>
      <c r="E626" s="180">
        <f>(E623/E612)*SUM(C626:D626)</f>
        <v>68876.484359534355</v>
      </c>
      <c r="F626" s="180">
        <f>(F624/F612)*BR64</f>
        <v>220.66062862289044</v>
      </c>
      <c r="G626" s="180">
        <f>(G625/G612)*BR77</f>
        <v>0</v>
      </c>
      <c r="N626" s="198" t="s">
        <v>620</v>
      </c>
    </row>
    <row r="627" spans="1:14" ht="12.65" customHeight="1" x14ac:dyDescent="0.35">
      <c r="A627" s="195">
        <v>8620</v>
      </c>
      <c r="B627" s="197" t="s">
        <v>621</v>
      </c>
      <c r="C627" s="180">
        <f>BO71</f>
        <v>54237</v>
      </c>
      <c r="D627" s="180">
        <f>(D615/D612)*BO76</f>
        <v>0</v>
      </c>
      <c r="E627" s="180">
        <f>(E623/E612)*SUM(C627:D627)</f>
        <v>6989.8311033556301</v>
      </c>
      <c r="F627" s="180">
        <f>(F624/F612)*BO64</f>
        <v>229.91652747452176</v>
      </c>
      <c r="G627" s="180">
        <f>(G625/G612)*BO77</f>
        <v>0</v>
      </c>
      <c r="N627" s="198" t="s">
        <v>622</v>
      </c>
    </row>
    <row r="628" spans="1:14" ht="12.65" customHeight="1" x14ac:dyDescent="0.35">
      <c r="A628" s="195">
        <v>8330</v>
      </c>
      <c r="B628" s="199" t="s">
        <v>136</v>
      </c>
      <c r="C628" s="180">
        <f>AZ71</f>
        <v>1376555</v>
      </c>
      <c r="D628" s="180">
        <f>(D615/D612)*AZ76</f>
        <v>139129.39407607878</v>
      </c>
      <c r="E628" s="180">
        <f>(E623/E612)*SUM(C628:D628)</f>
        <v>195334.88062731543</v>
      </c>
      <c r="F628" s="180">
        <f>(F624/F612)*AZ64</f>
        <v>19150.824959979247</v>
      </c>
      <c r="G628" s="180">
        <f>(G625/G612)*AZ77</f>
        <v>0</v>
      </c>
      <c r="H628" s="180">
        <f>SUM(C626:G628)</f>
        <v>2395165.2151059965</v>
      </c>
      <c r="N628" s="198" t="s">
        <v>623</v>
      </c>
    </row>
    <row r="629" spans="1:14" ht="12.65" customHeight="1" x14ac:dyDescent="0.35">
      <c r="A629" s="195">
        <v>8460</v>
      </c>
      <c r="B629" s="199" t="s">
        <v>141</v>
      </c>
      <c r="C629" s="180">
        <f>BF71</f>
        <v>1032595</v>
      </c>
      <c r="D629" s="180">
        <f>(D615/D612)*BF76</f>
        <v>12075.026311832806</v>
      </c>
      <c r="E629" s="180">
        <f>(E623/E612)*SUM(C629:D629)</f>
        <v>134632.57633456486</v>
      </c>
      <c r="F629" s="180">
        <f>(F624/F612)*BF64</f>
        <v>4373.0049478463225</v>
      </c>
      <c r="G629" s="180">
        <f>(G625/G612)*BF77</f>
        <v>0</v>
      </c>
      <c r="H629" s="180">
        <f>(H628/H612)*BF60</f>
        <v>159962.33620604419</v>
      </c>
      <c r="I629" s="180">
        <f>SUM(C629:H629)</f>
        <v>1343637.9438002883</v>
      </c>
      <c r="N629" s="198" t="s">
        <v>624</v>
      </c>
    </row>
    <row r="630" spans="1:14" ht="12.65" customHeight="1" x14ac:dyDescent="0.35">
      <c r="A630" s="195">
        <v>8350</v>
      </c>
      <c r="B630" s="199" t="s">
        <v>625</v>
      </c>
      <c r="C630" s="180">
        <f>BA71</f>
        <v>296129</v>
      </c>
      <c r="D630" s="180">
        <f>(D615/D612)*BA76</f>
        <v>12953.210043602465</v>
      </c>
      <c r="E630" s="180">
        <f>(E623/E612)*SUM(C630:D630)</f>
        <v>39833.184823214237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348915.3948668167</v>
      </c>
      <c r="N630" s="198" t="s">
        <v>626</v>
      </c>
    </row>
    <row r="631" spans="1:14" ht="12.65" customHeight="1" x14ac:dyDescent="0.35">
      <c r="A631" s="195">
        <v>8200</v>
      </c>
      <c r="B631" s="199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8" t="s">
        <v>628</v>
      </c>
    </row>
    <row r="632" spans="1:14" ht="12.65" customHeight="1" x14ac:dyDescent="0.35">
      <c r="A632" s="195">
        <v>8360</v>
      </c>
      <c r="B632" s="199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8" t="s">
        <v>630</v>
      </c>
    </row>
    <row r="633" spans="1:14" ht="12.65" customHeight="1" x14ac:dyDescent="0.35">
      <c r="A633" s="195">
        <v>8370</v>
      </c>
      <c r="B633" s="199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8" t="s">
        <v>632</v>
      </c>
    </row>
    <row r="634" spans="1:14" ht="12.65" customHeight="1" x14ac:dyDescent="0.35">
      <c r="A634" s="195">
        <v>8490</v>
      </c>
      <c r="B634" s="199" t="s">
        <v>633</v>
      </c>
      <c r="C634" s="180">
        <f>BI71</f>
        <v>1870894</v>
      </c>
      <c r="D634" s="180">
        <f>(D615/D612)*BI76</f>
        <v>0</v>
      </c>
      <c r="E634" s="180">
        <f>(E623/E612)*SUM(C634:D634)</f>
        <v>241112.76568175651</v>
      </c>
      <c r="F634" s="180">
        <f>(F624/F612)*BI64</f>
        <v>12585.949116875818</v>
      </c>
      <c r="G634" s="180">
        <f>(G625/G612)*BI77</f>
        <v>0</v>
      </c>
      <c r="H634" s="180">
        <f>(H628/H612)*BI60</f>
        <v>24994.115032194404</v>
      </c>
      <c r="I634" s="180">
        <f>(I629/I612)*BI78</f>
        <v>0</v>
      </c>
      <c r="J634" s="180">
        <f>(J630/J612)*BI79</f>
        <v>0</v>
      </c>
      <c r="N634" s="198" t="s">
        <v>634</v>
      </c>
    </row>
    <row r="635" spans="1:14" ht="12.65" customHeight="1" x14ac:dyDescent="0.35">
      <c r="A635" s="195">
        <v>8530</v>
      </c>
      <c r="B635" s="199" t="s">
        <v>635</v>
      </c>
      <c r="C635" s="180">
        <f>BK71</f>
        <v>787246</v>
      </c>
      <c r="D635" s="180">
        <f>(D615/D612)*BK76</f>
        <v>37636.445647271088</v>
      </c>
      <c r="E635" s="180">
        <f>(E623/E612)*SUM(C635:D635)</f>
        <v>106307.29898772712</v>
      </c>
      <c r="F635" s="180">
        <f>(F624/F612)*BK64</f>
        <v>380.15827763420123</v>
      </c>
      <c r="G635" s="180">
        <f>(G625/G612)*BK77</f>
        <v>0</v>
      </c>
      <c r="H635" s="180">
        <f>(H628/H612)*BK60</f>
        <v>78939.746643347331</v>
      </c>
      <c r="I635" s="180">
        <f>(I629/I612)*BK78</f>
        <v>0</v>
      </c>
      <c r="J635" s="180">
        <f>(J630/J612)*BK79</f>
        <v>0</v>
      </c>
      <c r="N635" s="198" t="s">
        <v>636</v>
      </c>
    </row>
    <row r="636" spans="1:14" ht="12.65" customHeight="1" x14ac:dyDescent="0.35">
      <c r="A636" s="195">
        <v>8480</v>
      </c>
      <c r="B636" s="199" t="s">
        <v>637</v>
      </c>
      <c r="C636" s="180">
        <f>BH71</f>
        <v>1816010</v>
      </c>
      <c r="D636" s="180">
        <f>(D615/D612)*BH76</f>
        <v>40772.81611787701</v>
      </c>
      <c r="E636" s="180">
        <f>(E623/E612)*SUM(C636:D636)</f>
        <v>239294.17704292262</v>
      </c>
      <c r="F636" s="180">
        <f>(F624/F612)*BH64</f>
        <v>8368.2951753552752</v>
      </c>
      <c r="G636" s="180">
        <f>(G625/G612)*BH77</f>
        <v>0</v>
      </c>
      <c r="H636" s="180">
        <f>(H628/H612)*BH60</f>
        <v>62172.861142583577</v>
      </c>
      <c r="I636" s="180">
        <f>(I629/I612)*BH78</f>
        <v>0</v>
      </c>
      <c r="J636" s="180">
        <f>(J630/J612)*BH79</f>
        <v>0</v>
      </c>
      <c r="N636" s="198" t="s">
        <v>638</v>
      </c>
    </row>
    <row r="637" spans="1:14" ht="12.65" customHeight="1" x14ac:dyDescent="0.35">
      <c r="A637" s="195">
        <v>8560</v>
      </c>
      <c r="B637" s="199" t="s">
        <v>147</v>
      </c>
      <c r="C637" s="180">
        <f>BL71</f>
        <v>690982</v>
      </c>
      <c r="D637" s="180">
        <f>(D615/D612)*BL76</f>
        <v>13172.75597654488</v>
      </c>
      <c r="E637" s="180">
        <f>(E623/E612)*SUM(C637:D637)</f>
        <v>90748.434000786321</v>
      </c>
      <c r="F637" s="180">
        <f>(F624/F612)*BL64</f>
        <v>888.71438413823194</v>
      </c>
      <c r="G637" s="180">
        <f>(G625/G612)*BL77</f>
        <v>0</v>
      </c>
      <c r="H637" s="180">
        <f>(H628/H612)*BL60</f>
        <v>117993.05138115108</v>
      </c>
      <c r="I637" s="180">
        <f>(I629/I612)*BL78</f>
        <v>0</v>
      </c>
      <c r="J637" s="180">
        <f>(J630/J612)*BL79</f>
        <v>0</v>
      </c>
      <c r="N637" s="198" t="s">
        <v>639</v>
      </c>
    </row>
    <row r="638" spans="1:14" ht="12.65" customHeight="1" x14ac:dyDescent="0.35">
      <c r="A638" s="195">
        <v>8590</v>
      </c>
      <c r="B638" s="199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8" t="s">
        <v>641</v>
      </c>
    </row>
    <row r="639" spans="1:14" ht="12.65" customHeight="1" x14ac:dyDescent="0.35">
      <c r="A639" s="195">
        <v>8660</v>
      </c>
      <c r="B639" s="199" t="s">
        <v>642</v>
      </c>
      <c r="C639" s="180">
        <f>BS71</f>
        <v>153</v>
      </c>
      <c r="D639" s="180">
        <f>(D615/D612)*BS76</f>
        <v>0</v>
      </c>
      <c r="E639" s="180">
        <f>(E623/E612)*SUM(C639:D639)</f>
        <v>19.717981429898622</v>
      </c>
      <c r="F639" s="180">
        <f>(F624/F612)*BS64</f>
        <v>11.329220194396724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8" t="s">
        <v>643</v>
      </c>
    </row>
    <row r="640" spans="1:14" ht="12.65" customHeight="1" x14ac:dyDescent="0.35">
      <c r="A640" s="195">
        <v>8670</v>
      </c>
      <c r="B640" s="199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8" t="s">
        <v>645</v>
      </c>
    </row>
    <row r="641" spans="1:14" ht="12.65" customHeight="1" x14ac:dyDescent="0.35">
      <c r="A641" s="195">
        <v>8680</v>
      </c>
      <c r="B641" s="199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8" t="s">
        <v>647</v>
      </c>
    </row>
    <row r="642" spans="1:14" ht="12.65" customHeight="1" x14ac:dyDescent="0.35">
      <c r="A642" s="195">
        <v>8690</v>
      </c>
      <c r="B642" s="199" t="s">
        <v>648</v>
      </c>
      <c r="C642" s="180">
        <f>BV71</f>
        <v>899761</v>
      </c>
      <c r="D642" s="180">
        <f>(D615/D612)*BV76</f>
        <v>85528.822733423542</v>
      </c>
      <c r="E642" s="180">
        <f>(E623/E612)*SUM(C642:D642)</f>
        <v>126979.91129232515</v>
      </c>
      <c r="F642" s="180">
        <f>(F624/F612)*BV64</f>
        <v>175.34374784530354</v>
      </c>
      <c r="G642" s="180">
        <f>(G625/G612)*BV77</f>
        <v>0</v>
      </c>
      <c r="H642" s="180">
        <f>(H628/H612)*BV60</f>
        <v>105495.99386505388</v>
      </c>
      <c r="I642" s="180">
        <f>(I629/I612)*BV78</f>
        <v>0</v>
      </c>
      <c r="J642" s="180">
        <f>(J630/J612)*BV79</f>
        <v>0</v>
      </c>
      <c r="N642" s="198" t="s">
        <v>649</v>
      </c>
    </row>
    <row r="643" spans="1:14" ht="12.65" customHeight="1" x14ac:dyDescent="0.35">
      <c r="A643" s="195">
        <v>8700</v>
      </c>
      <c r="B643" s="199" t="s">
        <v>650</v>
      </c>
      <c r="C643" s="180">
        <f>BW71</f>
        <v>116408</v>
      </c>
      <c r="D643" s="180">
        <f>(D615/D612)*BW76</f>
        <v>0</v>
      </c>
      <c r="E643" s="180">
        <f>(E623/E612)*SUM(C643:D643)</f>
        <v>15002.161975762343</v>
      </c>
      <c r="F643" s="180">
        <f>(F624/F612)*BW64</f>
        <v>43.835936961325885</v>
      </c>
      <c r="G643" s="180">
        <f>(G625/G612)*BW77</f>
        <v>0</v>
      </c>
      <c r="H643" s="180">
        <f>(H628/H612)*BW60</f>
        <v>10518.356742715145</v>
      </c>
      <c r="I643" s="180">
        <f>(I629/I612)*BW78</f>
        <v>0</v>
      </c>
      <c r="J643" s="180">
        <f>(J630/J612)*BW79</f>
        <v>0</v>
      </c>
      <c r="N643" s="198" t="s">
        <v>651</v>
      </c>
    </row>
    <row r="644" spans="1:14" ht="12.65" customHeight="1" x14ac:dyDescent="0.35">
      <c r="A644" s="195">
        <v>8710</v>
      </c>
      <c r="B644" s="199" t="s">
        <v>652</v>
      </c>
      <c r="C644" s="180">
        <f>BX71</f>
        <v>883874</v>
      </c>
      <c r="D644" s="180">
        <f>(D615/D612)*BX76</f>
        <v>0</v>
      </c>
      <c r="E644" s="180">
        <f>(E623/E612)*SUM(C644:D644)</f>
        <v>113909.87659065498</v>
      </c>
      <c r="F644" s="180">
        <f>(F624/F612)*BX64</f>
        <v>157.05409171448008</v>
      </c>
      <c r="G644" s="180">
        <f>(G625/G612)*BX77</f>
        <v>0</v>
      </c>
      <c r="H644" s="180">
        <f>(H628/H612)*BX60</f>
        <v>66130.262689347684</v>
      </c>
      <c r="I644" s="180">
        <f>(I629/I612)*BX78</f>
        <v>0</v>
      </c>
      <c r="J644" s="180">
        <f>(J630/J612)*BX79</f>
        <v>0</v>
      </c>
      <c r="K644" s="180">
        <f>SUM(C631:J644)</f>
        <v>8664668.2514755949</v>
      </c>
      <c r="N644" s="198" t="s">
        <v>653</v>
      </c>
    </row>
    <row r="645" spans="1:14" ht="12.65" customHeight="1" x14ac:dyDescent="0.35">
      <c r="A645" s="195">
        <v>8720</v>
      </c>
      <c r="B645" s="199" t="s">
        <v>654</v>
      </c>
      <c r="C645" s="180">
        <f>BY71</f>
        <v>363925</v>
      </c>
      <c r="D645" s="180">
        <f>(D615/D612)*BY76</f>
        <v>23428.687415426251</v>
      </c>
      <c r="E645" s="180">
        <f>(E623/E612)*SUM(C645:D645)</f>
        <v>49920.475916732874</v>
      </c>
      <c r="F645" s="180">
        <f>(F624/F612)*BY64</f>
        <v>16.364429169684158</v>
      </c>
      <c r="G645" s="180">
        <f>(G625/G612)*BY77</f>
        <v>0</v>
      </c>
      <c r="H645" s="180">
        <f>(H628/H612)*BY60</f>
        <v>23640.267134617206</v>
      </c>
      <c r="I645" s="180">
        <f>(I629/I612)*BY78</f>
        <v>0</v>
      </c>
      <c r="J645" s="180">
        <f>(J630/J612)*BY79</f>
        <v>0</v>
      </c>
      <c r="K645" s="180">
        <v>0</v>
      </c>
      <c r="N645" s="198" t="s">
        <v>655</v>
      </c>
    </row>
    <row r="646" spans="1:14" ht="12.65" customHeight="1" x14ac:dyDescent="0.35">
      <c r="A646" s="195">
        <v>8730</v>
      </c>
      <c r="B646" s="199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8" t="s">
        <v>657</v>
      </c>
    </row>
    <row r="647" spans="1:14" ht="12.65" customHeight="1" x14ac:dyDescent="0.35">
      <c r="A647" s="195">
        <v>8740</v>
      </c>
      <c r="B647" s="199" t="s">
        <v>658</v>
      </c>
      <c r="C647" s="180">
        <f>CA71</f>
        <v>13249</v>
      </c>
      <c r="D647" s="180">
        <f>(D615/D612)*CA76</f>
        <v>0</v>
      </c>
      <c r="E647" s="180">
        <f>(E623/E612)*SUM(C647:D647)</f>
        <v>1707.4740912727243</v>
      </c>
      <c r="F647" s="180">
        <f>(F624/F612)*CA64</f>
        <v>8.8856628975660588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475896.15465011628</v>
      </c>
      <c r="N647" s="198" t="s">
        <v>659</v>
      </c>
    </row>
    <row r="648" spans="1:14" ht="12.65" customHeight="1" x14ac:dyDescent="0.35">
      <c r="A648" s="195"/>
      <c r="B648" s="195"/>
      <c r="C648" s="180">
        <f>SUM(C614:C647)</f>
        <v>18891674</v>
      </c>
      <c r="L648" s="264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7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7" t="s">
        <v>599</v>
      </c>
      <c r="M667" s="181" t="s">
        <v>662</v>
      </c>
    </row>
    <row r="668" spans="1:14" ht="12.65" customHeight="1" x14ac:dyDescent="0.35">
      <c r="A668" s="195">
        <v>6010</v>
      </c>
      <c r="B668" s="197" t="s">
        <v>283</v>
      </c>
      <c r="C668" s="180">
        <f>C71</f>
        <v>1288492</v>
      </c>
      <c r="D668" s="180">
        <f>(D615/D612)*C76</f>
        <v>69000.150353330318</v>
      </c>
      <c r="E668" s="180">
        <f>(E623/E612)*SUM(C668:D668)</f>
        <v>174947.74517581775</v>
      </c>
      <c r="F668" s="180">
        <f>(F624/F612)*C64</f>
        <v>3136.046625314314</v>
      </c>
      <c r="G668" s="180">
        <f>(G625/G612)*C77</f>
        <v>0</v>
      </c>
      <c r="H668" s="180">
        <f>(H628/H612)*C60</f>
        <v>87895.971196550308</v>
      </c>
      <c r="I668" s="180">
        <f>(I629/I612)*C78</f>
        <v>60832.001425362767</v>
      </c>
      <c r="J668" s="180">
        <f>(J630/J612)*C79</f>
        <v>18782.341320677358</v>
      </c>
      <c r="K668" s="180">
        <f>(K644/K612)*C75</f>
        <v>147111.86236118441</v>
      </c>
      <c r="L668" s="180">
        <f>(L647/L612)*C80</f>
        <v>57651.106130097738</v>
      </c>
      <c r="M668" s="180">
        <f t="shared" ref="M668:M713" si="20">ROUND(SUM(D668:L668),0)</f>
        <v>619357</v>
      </c>
      <c r="N668" s="197" t="s">
        <v>663</v>
      </c>
    </row>
    <row r="669" spans="1:14" ht="12.65" customHeight="1" x14ac:dyDescent="0.35">
      <c r="A669" s="195">
        <v>6030</v>
      </c>
      <c r="B669" s="197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7" t="s">
        <v>664</v>
      </c>
    </row>
    <row r="670" spans="1:14" ht="12.65" customHeight="1" x14ac:dyDescent="0.35">
      <c r="A670" s="195">
        <v>6070</v>
      </c>
      <c r="B670" s="197" t="s">
        <v>665</v>
      </c>
      <c r="C670" s="180">
        <f>E71</f>
        <v>3519806</v>
      </c>
      <c r="D670" s="180">
        <f>(D615/D612)*E76</f>
        <v>348764.39633137872</v>
      </c>
      <c r="E670" s="180">
        <f>(E623/E612)*SUM(C670:D670)</f>
        <v>498564.70088312204</v>
      </c>
      <c r="F670" s="180">
        <f>(F624/F612)*E64</f>
        <v>20300.03736139779</v>
      </c>
      <c r="G670" s="180">
        <f>(G625/G612)*E77</f>
        <v>0</v>
      </c>
      <c r="H670" s="180">
        <f>(H628/H612)*E60</f>
        <v>264312.76646545582</v>
      </c>
      <c r="I670" s="180">
        <f>(I629/I612)*E78</f>
        <v>255075.31286605663</v>
      </c>
      <c r="J670" s="180">
        <f>(J630/J612)*E79</f>
        <v>136329.54455243333</v>
      </c>
      <c r="K670" s="180">
        <f>(K644/K612)*E75</f>
        <v>453002.3058317845</v>
      </c>
      <c r="L670" s="180">
        <f>(L647/L612)*E80</f>
        <v>145774.93978610425</v>
      </c>
      <c r="M670" s="180">
        <f t="shared" si="20"/>
        <v>2122124</v>
      </c>
      <c r="N670" s="197" t="s">
        <v>666</v>
      </c>
    </row>
    <row r="671" spans="1:14" ht="12.65" customHeight="1" x14ac:dyDescent="0.35">
      <c r="A671" s="195">
        <v>6100</v>
      </c>
      <c r="B671" s="197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7" t="s">
        <v>668</v>
      </c>
    </row>
    <row r="672" spans="1:14" ht="12.65" customHeight="1" x14ac:dyDescent="0.35">
      <c r="A672" s="195">
        <v>6120</v>
      </c>
      <c r="B672" s="197" t="s">
        <v>669</v>
      </c>
      <c r="C672" s="180">
        <f>G71</f>
        <v>241590</v>
      </c>
      <c r="D672" s="180">
        <f>(D615/D612)*G76</f>
        <v>0</v>
      </c>
      <c r="E672" s="180">
        <f>(E623/E612)*SUM(C672:D672)</f>
        <v>31135.079304896783</v>
      </c>
      <c r="F672" s="180">
        <f>(F624/F612)*G64</f>
        <v>17.623231413506016</v>
      </c>
      <c r="G672" s="180">
        <f>(G625/G612)*G77</f>
        <v>0</v>
      </c>
      <c r="H672" s="180">
        <f>(H628/H612)*G60</f>
        <v>15621.321895121502</v>
      </c>
      <c r="I672" s="180">
        <f>(I629/I612)*G78</f>
        <v>0</v>
      </c>
      <c r="J672" s="180">
        <f>(J630/J612)*G79</f>
        <v>0</v>
      </c>
      <c r="K672" s="180">
        <f>(K644/K612)*G75</f>
        <v>63314.998481968105</v>
      </c>
      <c r="L672" s="180">
        <f>(L647/L612)*G80</f>
        <v>0</v>
      </c>
      <c r="M672" s="180">
        <f t="shared" si="20"/>
        <v>110089</v>
      </c>
      <c r="N672" s="197" t="s">
        <v>670</v>
      </c>
    </row>
    <row r="673" spans="1:14" ht="12.65" customHeight="1" x14ac:dyDescent="0.35">
      <c r="A673" s="195">
        <v>6140</v>
      </c>
      <c r="B673" s="197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7" t="s">
        <v>672</v>
      </c>
    </row>
    <row r="674" spans="1:14" ht="12.65" customHeight="1" x14ac:dyDescent="0.35">
      <c r="A674" s="195">
        <v>6150</v>
      </c>
      <c r="B674" s="197" t="s">
        <v>673</v>
      </c>
      <c r="C674" s="180">
        <f>I71</f>
        <v>3618340</v>
      </c>
      <c r="D674" s="180">
        <f>(D615/D612)*I76</f>
        <v>0</v>
      </c>
      <c r="E674" s="180">
        <f>(E623/E612)*SUM(C674:D674)</f>
        <v>466316.08449058415</v>
      </c>
      <c r="F674" s="180">
        <f>(F624/F612)*I64</f>
        <v>8310.1681305670299</v>
      </c>
      <c r="G674" s="180">
        <f>(G625/G612)*I77</f>
        <v>0</v>
      </c>
      <c r="H674" s="180">
        <f>(H628/H612)*I60</f>
        <v>309302.17352340574</v>
      </c>
      <c r="I674" s="180">
        <f>(I629/I612)*I78</f>
        <v>431094.42346220021</v>
      </c>
      <c r="J674" s="180">
        <f>(J630/J612)*I79</f>
        <v>13722.45420247609</v>
      </c>
      <c r="K674" s="180">
        <f>(K644/K612)*I75</f>
        <v>346964.57486972457</v>
      </c>
      <c r="L674" s="180">
        <f>(L647/L612)*I80</f>
        <v>81672.400350971788</v>
      </c>
      <c r="M674" s="180">
        <f t="shared" si="20"/>
        <v>1657382</v>
      </c>
      <c r="N674" s="197" t="s">
        <v>674</v>
      </c>
    </row>
    <row r="675" spans="1:14" ht="12.65" customHeight="1" x14ac:dyDescent="0.35">
      <c r="A675" s="195">
        <v>6170</v>
      </c>
      <c r="B675" s="197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7" t="s">
        <v>675</v>
      </c>
    </row>
    <row r="676" spans="1:14" ht="12.65" customHeight="1" x14ac:dyDescent="0.35">
      <c r="A676" s="195">
        <v>6200</v>
      </c>
      <c r="B676" s="197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7" t="s">
        <v>676</v>
      </c>
    </row>
    <row r="677" spans="1:14" ht="12.65" customHeight="1" x14ac:dyDescent="0.35">
      <c r="A677" s="195">
        <v>6210</v>
      </c>
      <c r="B677" s="197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7" t="s">
        <v>677</v>
      </c>
    </row>
    <row r="678" spans="1:14" ht="12.65" customHeight="1" x14ac:dyDescent="0.35">
      <c r="A678" s="195">
        <v>6330</v>
      </c>
      <c r="B678" s="197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7" t="s">
        <v>679</v>
      </c>
    </row>
    <row r="679" spans="1:14" ht="12.65" customHeight="1" x14ac:dyDescent="0.35">
      <c r="A679" s="195">
        <v>6400</v>
      </c>
      <c r="B679" s="197" t="s">
        <v>680</v>
      </c>
      <c r="C679" s="180">
        <f>N71</f>
        <v>1972652</v>
      </c>
      <c r="D679" s="180">
        <f>(D615/D612)*N76</f>
        <v>0</v>
      </c>
      <c r="E679" s="180">
        <f>(E623/E612)*SUM(C679:D679)</f>
        <v>254226.89871668216</v>
      </c>
      <c r="F679" s="180">
        <f>(F624/F612)*N64</f>
        <v>15.327768498301451</v>
      </c>
      <c r="G679" s="180">
        <f>(G625/G612)*N77</f>
        <v>0</v>
      </c>
      <c r="H679" s="180">
        <f>(H628/H612)*N60</f>
        <v>58007.175303884513</v>
      </c>
      <c r="I679" s="180">
        <f>(I629/I612)*N78</f>
        <v>0</v>
      </c>
      <c r="J679" s="180">
        <f>(J630/J612)*N79</f>
        <v>0</v>
      </c>
      <c r="K679" s="180">
        <f>(K644/K612)*N75</f>
        <v>81523.618334929779</v>
      </c>
      <c r="L679" s="180">
        <f>(L647/L612)*N80</f>
        <v>0</v>
      </c>
      <c r="M679" s="180">
        <f t="shared" si="20"/>
        <v>393773</v>
      </c>
      <c r="N679" s="197" t="s">
        <v>681</v>
      </c>
    </row>
    <row r="680" spans="1:14" ht="12.65" customHeight="1" x14ac:dyDescent="0.35">
      <c r="A680" s="195">
        <v>7010</v>
      </c>
      <c r="B680" s="197" t="s">
        <v>682</v>
      </c>
      <c r="C680" s="180">
        <f>O71</f>
        <v>121068</v>
      </c>
      <c r="D680" s="180">
        <f>(D615/D612)*O76</f>
        <v>189593.5949481281</v>
      </c>
      <c r="E680" s="180">
        <f>(E623/E612)*SUM(C680:D680)</f>
        <v>40036.729151437103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229630</v>
      </c>
      <c r="N680" s="197" t="s">
        <v>683</v>
      </c>
    </row>
    <row r="681" spans="1:14" ht="12.65" customHeight="1" x14ac:dyDescent="0.35">
      <c r="A681" s="195">
        <v>7020</v>
      </c>
      <c r="B681" s="197" t="s">
        <v>684</v>
      </c>
      <c r="C681" s="180">
        <f>P71</f>
        <v>3880590</v>
      </c>
      <c r="D681" s="180">
        <f>(D615/D612)*P76</f>
        <v>170054.00691625319</v>
      </c>
      <c r="E681" s="180">
        <f>(E623/E612)*SUM(C681:D681)</f>
        <v>522029.56410133868</v>
      </c>
      <c r="F681" s="180">
        <f>(F624/F612)*P64</f>
        <v>172623.10596045046</v>
      </c>
      <c r="G681" s="180">
        <f>(G625/G612)*P77</f>
        <v>0</v>
      </c>
      <c r="H681" s="180">
        <f>(H628/H612)*P60</f>
        <v>131843.95679482547</v>
      </c>
      <c r="I681" s="180">
        <f>(I629/I612)*P78</f>
        <v>149857.54004577885</v>
      </c>
      <c r="J681" s="180">
        <f>(J630/J612)*P79</f>
        <v>93856.241971298892</v>
      </c>
      <c r="K681" s="180">
        <f>(K644/K612)*P75</f>
        <v>1441748.3947476561</v>
      </c>
      <c r="L681" s="180">
        <f>(L647/L612)*P80</f>
        <v>21344.635721976658</v>
      </c>
      <c r="M681" s="180">
        <f t="shared" si="20"/>
        <v>2703357</v>
      </c>
      <c r="N681" s="197" t="s">
        <v>685</v>
      </c>
    </row>
    <row r="682" spans="1:14" ht="12.65" customHeight="1" x14ac:dyDescent="0.35">
      <c r="A682" s="195">
        <v>7030</v>
      </c>
      <c r="B682" s="197" t="s">
        <v>686</v>
      </c>
      <c r="C682" s="180">
        <f>Q71</f>
        <v>439766</v>
      </c>
      <c r="D682" s="180">
        <f>(D615/D612)*Q76</f>
        <v>18818.222823635544</v>
      </c>
      <c r="E682" s="180">
        <f>(E623/E612)*SUM(C682:D682)</f>
        <v>59100.360716868869</v>
      </c>
      <c r="F682" s="180">
        <f>(F624/F612)*Q64</f>
        <v>395.33795175087653</v>
      </c>
      <c r="G682" s="180">
        <f>(G625/G612)*Q77</f>
        <v>0</v>
      </c>
      <c r="H682" s="180">
        <f>(H628/H612)*Q60</f>
        <v>32179.923103950292</v>
      </c>
      <c r="I682" s="180">
        <f>(I629/I612)*Q78</f>
        <v>16636.726903387313</v>
      </c>
      <c r="J682" s="180">
        <f>(J630/J612)*Q79</f>
        <v>0</v>
      </c>
      <c r="K682" s="180">
        <f>(K644/K612)*Q75</f>
        <v>137769.02239871069</v>
      </c>
      <c r="L682" s="180">
        <f>(L647/L612)*Q80</f>
        <v>15854.054185776877</v>
      </c>
      <c r="M682" s="180">
        <f t="shared" si="20"/>
        <v>280754</v>
      </c>
      <c r="N682" s="197" t="s">
        <v>687</v>
      </c>
    </row>
    <row r="683" spans="1:14" ht="12.65" customHeight="1" x14ac:dyDescent="0.35">
      <c r="A683" s="195">
        <v>7040</v>
      </c>
      <c r="B683" s="197" t="s">
        <v>107</v>
      </c>
      <c r="C683" s="180">
        <f>R71</f>
        <v>519144</v>
      </c>
      <c r="D683" s="180">
        <f>(D615/D612)*R76</f>
        <v>5708.1942565027812</v>
      </c>
      <c r="E683" s="180">
        <f>(E623/E612)*SUM(C683:D683)</f>
        <v>67640.691632622649</v>
      </c>
      <c r="F683" s="180">
        <f>(F624/F612)*R64</f>
        <v>3148.2644117984673</v>
      </c>
      <c r="G683" s="180">
        <f>(G625/G612)*R77</f>
        <v>0</v>
      </c>
      <c r="H683" s="180">
        <f>(H628/H612)*R60</f>
        <v>0</v>
      </c>
      <c r="I683" s="180">
        <f>(I629/I612)*R78</f>
        <v>5016.4176540748003</v>
      </c>
      <c r="J683" s="180">
        <f>(J630/J612)*R79</f>
        <v>0</v>
      </c>
      <c r="K683" s="180">
        <f>(K644/K612)*R75</f>
        <v>137328.49881346835</v>
      </c>
      <c r="L683" s="180">
        <f>(L647/L612)*R80</f>
        <v>0</v>
      </c>
      <c r="M683" s="180">
        <f t="shared" si="20"/>
        <v>218842</v>
      </c>
      <c r="N683" s="197" t="s">
        <v>688</v>
      </c>
    </row>
    <row r="684" spans="1:14" ht="12.65" customHeight="1" x14ac:dyDescent="0.35">
      <c r="A684" s="195">
        <v>7050</v>
      </c>
      <c r="B684" s="197" t="s">
        <v>689</v>
      </c>
      <c r="C684" s="180">
        <f>S71</f>
        <v>331194.53000000003</v>
      </c>
      <c r="D684" s="180">
        <f>(D615/D612)*S76</f>
        <v>0</v>
      </c>
      <c r="E684" s="180">
        <f>(E623/E612)*SUM(C684:D684)</f>
        <v>42682.925439372564</v>
      </c>
      <c r="F684" s="180">
        <f>(F624/F612)*S64</f>
        <v>14515.248673509848</v>
      </c>
      <c r="G684" s="180">
        <f>(G625/G612)*S77</f>
        <v>0</v>
      </c>
      <c r="H684" s="180">
        <f>(H628/H612)*S60</f>
        <v>19162.15485801571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76360</v>
      </c>
      <c r="N684" s="197" t="s">
        <v>690</v>
      </c>
    </row>
    <row r="685" spans="1:14" ht="12.65" customHeight="1" x14ac:dyDescent="0.35">
      <c r="A685" s="195">
        <v>7060</v>
      </c>
      <c r="B685" s="197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7" t="s">
        <v>692</v>
      </c>
    </row>
    <row r="686" spans="1:14" ht="12.65" customHeight="1" x14ac:dyDescent="0.35">
      <c r="A686" s="195">
        <v>7070</v>
      </c>
      <c r="B686" s="197" t="s">
        <v>109</v>
      </c>
      <c r="C686" s="180">
        <f>U71</f>
        <v>2953432</v>
      </c>
      <c r="D686" s="180">
        <f>(D615/D612)*U76</f>
        <v>40145.542023755828</v>
      </c>
      <c r="E686" s="180">
        <f>(E623/E612)*SUM(C686:D686)</f>
        <v>385799.38812147692</v>
      </c>
      <c r="F686" s="180">
        <f>(F624/F612)*U64</f>
        <v>53654.076132800692</v>
      </c>
      <c r="G686" s="180">
        <f>(G625/G612)*U77</f>
        <v>0</v>
      </c>
      <c r="H686" s="180">
        <f>(H628/H612)*U60</f>
        <v>130490.10889724827</v>
      </c>
      <c r="I686" s="180">
        <f>(I629/I612)*U78</f>
        <v>35432.418366756181</v>
      </c>
      <c r="J686" s="180">
        <f>(J630/J612)*U79</f>
        <v>0</v>
      </c>
      <c r="K686" s="180">
        <f>(K644/K612)*U75</f>
        <v>747996.0298200479</v>
      </c>
      <c r="L686" s="180">
        <f>(L647/L612)*U80</f>
        <v>0</v>
      </c>
      <c r="M686" s="180">
        <f t="shared" si="20"/>
        <v>1393518</v>
      </c>
      <c r="N686" s="197" t="s">
        <v>693</v>
      </c>
    </row>
    <row r="687" spans="1:14" ht="12.65" customHeight="1" x14ac:dyDescent="0.35">
      <c r="A687" s="195">
        <v>7110</v>
      </c>
      <c r="B687" s="197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85883.183578924058</v>
      </c>
      <c r="L687" s="180">
        <f>(L647/L612)*V80</f>
        <v>0</v>
      </c>
      <c r="M687" s="180">
        <f t="shared" si="20"/>
        <v>85883</v>
      </c>
      <c r="N687" s="197" t="s">
        <v>695</v>
      </c>
    </row>
    <row r="688" spans="1:14" ht="12.65" customHeight="1" x14ac:dyDescent="0.35">
      <c r="A688" s="195">
        <v>7120</v>
      </c>
      <c r="B688" s="197" t="s">
        <v>696</v>
      </c>
      <c r="C688" s="180">
        <f>W71</f>
        <v>636550</v>
      </c>
      <c r="D688" s="180">
        <f>(D615/D612)*W76</f>
        <v>22770.049616599008</v>
      </c>
      <c r="E688" s="180">
        <f>(E623/E612)*SUM(C688:D688)</f>
        <v>84970.330030718527</v>
      </c>
      <c r="F688" s="180">
        <f>(F624/F612)*W64</f>
        <v>1493.9020746532935</v>
      </c>
      <c r="G688" s="180">
        <f>(G625/G612)*W77</f>
        <v>0</v>
      </c>
      <c r="H688" s="180">
        <f>(H628/H612)*W60</f>
        <v>22807.129966877394</v>
      </c>
      <c r="I688" s="180">
        <f>(I629/I612)*W78</f>
        <v>13271.28214812194</v>
      </c>
      <c r="J688" s="180">
        <f>(J630/J612)*W79</f>
        <v>0</v>
      </c>
      <c r="K688" s="180">
        <f>(K644/K612)*W75</f>
        <v>273754.94916879636</v>
      </c>
      <c r="L688" s="180">
        <f>(L647/L612)*W80</f>
        <v>0</v>
      </c>
      <c r="M688" s="180">
        <f t="shared" si="20"/>
        <v>419068</v>
      </c>
      <c r="N688" s="197" t="s">
        <v>697</v>
      </c>
    </row>
    <row r="689" spans="1:14" ht="12.65" customHeight="1" x14ac:dyDescent="0.35">
      <c r="A689" s="195">
        <v>7130</v>
      </c>
      <c r="B689" s="197" t="s">
        <v>698</v>
      </c>
      <c r="C689" s="180">
        <f>X71</f>
        <v>916230</v>
      </c>
      <c r="D689" s="180">
        <f>(D615/D612)*X76</f>
        <v>17375.492407156817</v>
      </c>
      <c r="E689" s="180">
        <f>(E623/E612)*SUM(C689:D689)</f>
        <v>120319.05726886062</v>
      </c>
      <c r="F689" s="180">
        <f>(F624/F612)*X64</f>
        <v>307.8882194006639</v>
      </c>
      <c r="G689" s="180">
        <f>(G625/G612)*X77</f>
        <v>0</v>
      </c>
      <c r="H689" s="180">
        <f>(H628/H612)*X60</f>
        <v>80501.878832859482</v>
      </c>
      <c r="I689" s="180">
        <f>(I629/I612)*X78</f>
        <v>11112.31758814038</v>
      </c>
      <c r="J689" s="180">
        <f>(J630/J612)*X79</f>
        <v>0</v>
      </c>
      <c r="K689" s="180">
        <f>(K644/K612)*X75</f>
        <v>1058924.9123503326</v>
      </c>
      <c r="L689" s="180">
        <f>(L647/L612)*X80</f>
        <v>0</v>
      </c>
      <c r="M689" s="180">
        <f t="shared" si="20"/>
        <v>1288542</v>
      </c>
      <c r="N689" s="197" t="s">
        <v>699</v>
      </c>
    </row>
    <row r="690" spans="1:14" ht="12.65" customHeight="1" x14ac:dyDescent="0.35">
      <c r="A690" s="195">
        <v>7140</v>
      </c>
      <c r="B690" s="197" t="s">
        <v>1250</v>
      </c>
      <c r="C690" s="180">
        <f>Y71</f>
        <v>1287138</v>
      </c>
      <c r="D690" s="180">
        <f>(D615/D612)*Y76</f>
        <v>112219.33543827996</v>
      </c>
      <c r="E690" s="180">
        <f>(E623/E612)*SUM(C690:D690)</f>
        <v>180343.15002591122</v>
      </c>
      <c r="F690" s="180">
        <f>(F624/F612)*Y64</f>
        <v>4268.6724559907343</v>
      </c>
      <c r="G690" s="180">
        <f>(G625/G612)*Y77</f>
        <v>0</v>
      </c>
      <c r="H690" s="180">
        <f>(H628/H612)*Y60</f>
        <v>45197.691349884881</v>
      </c>
      <c r="I690" s="180">
        <f>(I629/I612)*Y78</f>
        <v>70420.344029986751</v>
      </c>
      <c r="J690" s="180">
        <f>(J630/J612)*Y79</f>
        <v>0</v>
      </c>
      <c r="K690" s="180">
        <f>(K644/K612)*Y75</f>
        <v>470430.85730833176</v>
      </c>
      <c r="L690" s="180">
        <f>(L647/L612)*Y80</f>
        <v>0</v>
      </c>
      <c r="M690" s="180">
        <f t="shared" si="20"/>
        <v>882880</v>
      </c>
      <c r="N690" s="197" t="s">
        <v>700</v>
      </c>
    </row>
    <row r="691" spans="1:14" ht="12.65" customHeight="1" x14ac:dyDescent="0.35">
      <c r="A691" s="195">
        <v>7150</v>
      </c>
      <c r="B691" s="197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7" t="s">
        <v>702</v>
      </c>
    </row>
    <row r="692" spans="1:14" ht="12.65" customHeight="1" x14ac:dyDescent="0.35">
      <c r="A692" s="195">
        <v>7160</v>
      </c>
      <c r="B692" s="197" t="s">
        <v>703</v>
      </c>
      <c r="C692" s="180">
        <f>AA71</f>
        <v>21298</v>
      </c>
      <c r="D692" s="180">
        <f>(D615/D612)*AA76</f>
        <v>13392.301909487294</v>
      </c>
      <c r="E692" s="180">
        <f>(E623/E612)*SUM(C692:D692)</f>
        <v>4470.7367898617458</v>
      </c>
      <c r="F692" s="180">
        <f>(F624/F612)*AA64</f>
        <v>0</v>
      </c>
      <c r="G692" s="180">
        <f>(G625/G612)*AA77</f>
        <v>0</v>
      </c>
      <c r="H692" s="180">
        <f>(H628/H612)*AA60</f>
        <v>24473.404302357019</v>
      </c>
      <c r="I692" s="180">
        <f>(I629/I612)*AA78</f>
        <v>11810.806122252061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54147</v>
      </c>
      <c r="N692" s="197" t="s">
        <v>704</v>
      </c>
    </row>
    <row r="693" spans="1:14" ht="12.65" customHeight="1" x14ac:dyDescent="0.35">
      <c r="A693" s="195">
        <v>7170</v>
      </c>
      <c r="B693" s="197" t="s">
        <v>115</v>
      </c>
      <c r="C693" s="180">
        <f>AB71</f>
        <v>2203351</v>
      </c>
      <c r="D693" s="180">
        <f>(D615/D612)*AB76</f>
        <v>25435.964516614044</v>
      </c>
      <c r="E693" s="180">
        <f>(E623/E612)*SUM(C693:D693)</f>
        <v>287236.47044142947</v>
      </c>
      <c r="F693" s="180">
        <f>(F624/F612)*AB64</f>
        <v>66575.829260013692</v>
      </c>
      <c r="G693" s="180">
        <f>(G625/G612)*AB77</f>
        <v>0</v>
      </c>
      <c r="H693" s="180">
        <f>(H628/H612)*AB60</f>
        <v>73107.786469168626</v>
      </c>
      <c r="I693" s="180">
        <f>(I629/I612)*AB78</f>
        <v>22415.132049220309</v>
      </c>
      <c r="J693" s="180">
        <f>(J630/J612)*AB79</f>
        <v>0</v>
      </c>
      <c r="K693" s="180">
        <f>(K644/K612)*AB75</f>
        <v>407238.9177413595</v>
      </c>
      <c r="L693" s="180">
        <f>(L647/L612)*AB80</f>
        <v>0</v>
      </c>
      <c r="M693" s="180">
        <f t="shared" si="20"/>
        <v>882010</v>
      </c>
      <c r="N693" s="197" t="s">
        <v>705</v>
      </c>
    </row>
    <row r="694" spans="1:14" ht="12.65" customHeight="1" x14ac:dyDescent="0.35">
      <c r="A694" s="195">
        <v>7180</v>
      </c>
      <c r="B694" s="197" t="s">
        <v>706</v>
      </c>
      <c r="C694" s="180">
        <f>AC71</f>
        <v>475778</v>
      </c>
      <c r="D694" s="180">
        <f>(D615/D612)*AC76</f>
        <v>23993.234100135316</v>
      </c>
      <c r="E694" s="180">
        <f>(E623/E612)*SUM(C694:D694)</f>
        <v>64408.365445646959</v>
      </c>
      <c r="F694" s="180">
        <f>(F624/F612)*AC64</f>
        <v>2157.512998719852</v>
      </c>
      <c r="G694" s="180">
        <f>(G625/G612)*AC77</f>
        <v>0</v>
      </c>
      <c r="H694" s="180">
        <f>(H628/H612)*AC60</f>
        <v>42594.13770069796</v>
      </c>
      <c r="I694" s="180">
        <f>(I629/I612)*AC78</f>
        <v>21145.152896289979</v>
      </c>
      <c r="J694" s="180">
        <f>(J630/J612)*AC79</f>
        <v>0</v>
      </c>
      <c r="K694" s="180">
        <f>(K644/K612)*AC75</f>
        <v>46082.291205031463</v>
      </c>
      <c r="L694" s="180">
        <f>(L647/L612)*AC80</f>
        <v>0</v>
      </c>
      <c r="M694" s="180">
        <f t="shared" si="20"/>
        <v>200381</v>
      </c>
      <c r="N694" s="197" t="s">
        <v>707</v>
      </c>
    </row>
    <row r="695" spans="1:14" ht="12.65" customHeight="1" x14ac:dyDescent="0.35">
      <c r="A695" s="195">
        <v>7190</v>
      </c>
      <c r="B695" s="197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7" t="s">
        <v>708</v>
      </c>
    </row>
    <row r="696" spans="1:14" ht="12.65" customHeight="1" x14ac:dyDescent="0.35">
      <c r="A696" s="195">
        <v>7200</v>
      </c>
      <c r="B696" s="197" t="s">
        <v>709</v>
      </c>
      <c r="C696" s="180">
        <f>AE71</f>
        <v>711877</v>
      </c>
      <c r="D696" s="180">
        <f>(D615/D612)*AE76</f>
        <v>8154.5632235754019</v>
      </c>
      <c r="E696" s="180">
        <f>(E623/E612)*SUM(C696:D696)</f>
        <v>92794.568578976032</v>
      </c>
      <c r="F696" s="180">
        <f>(F624/F612)*AE64</f>
        <v>1258.283913486167</v>
      </c>
      <c r="G696" s="180">
        <f>(G625/G612)*AE77</f>
        <v>0</v>
      </c>
      <c r="H696" s="180">
        <f>(H628/H612)*AE60</f>
        <v>65713.694105477785</v>
      </c>
      <c r="I696" s="180">
        <f>(I629/I612)*AE78</f>
        <v>7175.3822140563598</v>
      </c>
      <c r="J696" s="180">
        <f>(J630/J612)*AE79</f>
        <v>12653.499474963714</v>
      </c>
      <c r="K696" s="180">
        <f>(K644/K612)*AE75</f>
        <v>177942.18417296483</v>
      </c>
      <c r="L696" s="180">
        <f>(L647/L612)*AE80</f>
        <v>0</v>
      </c>
      <c r="M696" s="180">
        <f t="shared" si="20"/>
        <v>365692</v>
      </c>
      <c r="N696" s="197" t="s">
        <v>710</v>
      </c>
    </row>
    <row r="697" spans="1:14" ht="12.65" customHeight="1" x14ac:dyDescent="0.35">
      <c r="A697" s="195">
        <v>7220</v>
      </c>
      <c r="B697" s="197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7" t="s">
        <v>712</v>
      </c>
    </row>
    <row r="698" spans="1:14" ht="12.65" customHeight="1" x14ac:dyDescent="0.35">
      <c r="A698" s="195">
        <v>7230</v>
      </c>
      <c r="B698" s="197" t="s">
        <v>713</v>
      </c>
      <c r="C698" s="180">
        <f>AG71</f>
        <v>4842167</v>
      </c>
      <c r="D698" s="180">
        <f>(D615/D612)*AG76</f>
        <v>244636.89670726206</v>
      </c>
      <c r="E698" s="180">
        <f>(E623/E612)*SUM(C698:D698)</f>
        <v>655565.39067195903</v>
      </c>
      <c r="F698" s="180">
        <f>(F624/F612)*AG64</f>
        <v>21550.472272657775</v>
      </c>
      <c r="G698" s="180">
        <f>(G625/G612)*AG77</f>
        <v>0</v>
      </c>
      <c r="H698" s="180">
        <f>(H628/H612)*AG60</f>
        <v>249732.86603000909</v>
      </c>
      <c r="I698" s="180">
        <f>(I629/I612)*AG78</f>
        <v>215705.95912521641</v>
      </c>
      <c r="J698" s="180">
        <f>(J630/J612)*AG79</f>
        <v>73571.313344967348</v>
      </c>
      <c r="K698" s="180">
        <f>(K644/K612)*AG75</f>
        <v>2200025.4898639717</v>
      </c>
      <c r="L698" s="180">
        <f>(L647/L612)*AG80</f>
        <v>114890.41864498047</v>
      </c>
      <c r="M698" s="180">
        <f t="shared" si="20"/>
        <v>3775679</v>
      </c>
      <c r="N698" s="197" t="s">
        <v>714</v>
      </c>
    </row>
    <row r="699" spans="1:14" ht="12.65" customHeight="1" x14ac:dyDescent="0.35">
      <c r="A699" s="195">
        <v>7240</v>
      </c>
      <c r="B699" s="197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7" t="s">
        <v>715</v>
      </c>
    </row>
    <row r="700" spans="1:14" ht="12.65" customHeight="1" x14ac:dyDescent="0.35">
      <c r="A700" s="195">
        <v>7250</v>
      </c>
      <c r="B700" s="197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7" t="s">
        <v>717</v>
      </c>
    </row>
    <row r="701" spans="1:14" ht="12.65" customHeight="1" x14ac:dyDescent="0.35">
      <c r="A701" s="195">
        <v>7260</v>
      </c>
      <c r="B701" s="197" t="s">
        <v>121</v>
      </c>
      <c r="C701" s="180">
        <f>AJ71</f>
        <v>2170385</v>
      </c>
      <c r="D701" s="180">
        <f>(D615/D612)*AJ76</f>
        <v>264082.39362501877</v>
      </c>
      <c r="E701" s="180">
        <f>(E623/E612)*SUM(C701:D701)</f>
        <v>313743.67881824711</v>
      </c>
      <c r="F701" s="180">
        <f>(F624/F612)*AJ64</f>
        <v>19033.978492876253</v>
      </c>
      <c r="G701" s="180">
        <f>(G625/G612)*AJ77</f>
        <v>0</v>
      </c>
      <c r="H701" s="180">
        <f>(H628/H612)*AJ60</f>
        <v>92374.083473151812</v>
      </c>
      <c r="I701" s="180">
        <f>(I629/I612)*AJ78</f>
        <v>16636.726903387313</v>
      </c>
      <c r="J701" s="180">
        <f>(J630/J612)*AJ79</f>
        <v>0</v>
      </c>
      <c r="K701" s="180">
        <f>(K644/K612)*AJ75</f>
        <v>387626.16042640823</v>
      </c>
      <c r="L701" s="180">
        <f>(L647/L612)*AJ80</f>
        <v>38708.599830208477</v>
      </c>
      <c r="M701" s="180">
        <f t="shared" si="20"/>
        <v>1132206</v>
      </c>
      <c r="N701" s="197" t="s">
        <v>718</v>
      </c>
    </row>
    <row r="702" spans="1:14" ht="12.65" customHeight="1" x14ac:dyDescent="0.35">
      <c r="A702" s="195">
        <v>7310</v>
      </c>
      <c r="B702" s="197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7" t="s">
        <v>720</v>
      </c>
    </row>
    <row r="703" spans="1:14" ht="12.65" customHeight="1" x14ac:dyDescent="0.35">
      <c r="A703" s="195">
        <v>7320</v>
      </c>
      <c r="B703" s="197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7" t="s">
        <v>722</v>
      </c>
    </row>
    <row r="704" spans="1:14" ht="12.65" customHeight="1" x14ac:dyDescent="0.35">
      <c r="A704" s="195">
        <v>7330</v>
      </c>
      <c r="B704" s="197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7" t="s">
        <v>724</v>
      </c>
    </row>
    <row r="705" spans="1:83" ht="12.65" customHeight="1" x14ac:dyDescent="0.35">
      <c r="A705" s="195">
        <v>7340</v>
      </c>
      <c r="B705" s="197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7" t="s">
        <v>726</v>
      </c>
    </row>
    <row r="706" spans="1:83" ht="12.65" customHeight="1" x14ac:dyDescent="0.35">
      <c r="A706" s="195">
        <v>7350</v>
      </c>
      <c r="B706" s="197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7" t="s">
        <v>728</v>
      </c>
    </row>
    <row r="707" spans="1:83" ht="12.65" customHeight="1" x14ac:dyDescent="0.35">
      <c r="A707" s="195">
        <v>7380</v>
      </c>
      <c r="B707" s="197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7" t="s">
        <v>730</v>
      </c>
    </row>
    <row r="708" spans="1:83" ht="12.65" customHeight="1" x14ac:dyDescent="0.35">
      <c r="A708" s="195">
        <v>7390</v>
      </c>
      <c r="B708" s="197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7" t="s">
        <v>732</v>
      </c>
    </row>
    <row r="709" spans="1:83" ht="12.65" customHeight="1" x14ac:dyDescent="0.35">
      <c r="A709" s="195">
        <v>7400</v>
      </c>
      <c r="B709" s="197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7" t="s">
        <v>734</v>
      </c>
    </row>
    <row r="710" spans="1:83" ht="12.65" customHeight="1" x14ac:dyDescent="0.35">
      <c r="A710" s="195">
        <v>7410</v>
      </c>
      <c r="B710" s="197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7" t="s">
        <v>735</v>
      </c>
    </row>
    <row r="711" spans="1:83" ht="12.65" customHeight="1" x14ac:dyDescent="0.35">
      <c r="A711" s="195">
        <v>7420</v>
      </c>
      <c r="B711" s="197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7" t="s">
        <v>737</v>
      </c>
    </row>
    <row r="712" spans="1:83" ht="12.65" customHeight="1" x14ac:dyDescent="0.35">
      <c r="A712" s="195">
        <v>7430</v>
      </c>
      <c r="B712" s="197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7" t="s">
        <v>739</v>
      </c>
    </row>
    <row r="713" spans="1:83" ht="12.65" customHeight="1" x14ac:dyDescent="0.35">
      <c r="A713" s="195">
        <v>7490</v>
      </c>
      <c r="B713" s="197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8" t="s">
        <v>741</v>
      </c>
    </row>
    <row r="715" spans="1:83" ht="12.65" customHeight="1" x14ac:dyDescent="0.35">
      <c r="C715" s="180">
        <f>SUM(C614:C647)+SUM(C668:C713)</f>
        <v>51042522.530000001</v>
      </c>
      <c r="D715" s="180">
        <f>SUM(D616:D647)+SUM(D668:D713)</f>
        <v>2294600.0000000005</v>
      </c>
      <c r="E715" s="180">
        <f>SUM(E624:E647)+SUM(E668:E713)</f>
        <v>5827161.1505036838</v>
      </c>
      <c r="F715" s="180">
        <f>SUM(F625:F648)+SUM(F668:F713)</f>
        <v>439372.11304200906</v>
      </c>
      <c r="G715" s="180">
        <f>SUM(G626:G647)+SUM(G668:G713)</f>
        <v>0</v>
      </c>
      <c r="H715" s="180">
        <f>SUM(H629:H647)+SUM(H668:H713)</f>
        <v>2395165.2151059965</v>
      </c>
      <c r="I715" s="180">
        <f>SUM(I630:I647)+SUM(I668:I713)</f>
        <v>1343637.9438002883</v>
      </c>
      <c r="J715" s="180">
        <f>SUM(J631:J647)+SUM(J668:J713)</f>
        <v>348915.3948668167</v>
      </c>
      <c r="K715" s="180">
        <f>SUM(K668:K713)</f>
        <v>8664668.2514755949</v>
      </c>
      <c r="L715" s="180">
        <f>SUM(L668:L713)</f>
        <v>475896.15465011616</v>
      </c>
      <c r="M715" s="180">
        <f>SUM(M668:M713)</f>
        <v>18891674</v>
      </c>
      <c r="N715" s="197" t="s">
        <v>742</v>
      </c>
    </row>
    <row r="716" spans="1:83" ht="12.65" customHeight="1" x14ac:dyDescent="0.35">
      <c r="C716" s="180">
        <f>CE71</f>
        <v>51042522.530000001</v>
      </c>
      <c r="D716" s="180">
        <f>D615</f>
        <v>2294600</v>
      </c>
      <c r="E716" s="180">
        <f>E623</f>
        <v>5827161.1505036838</v>
      </c>
      <c r="F716" s="180">
        <f>F624</f>
        <v>439372.11304200895</v>
      </c>
      <c r="G716" s="180">
        <f>G625</f>
        <v>0</v>
      </c>
      <c r="H716" s="180">
        <f>H628</f>
        <v>2395165.2151059965</v>
      </c>
      <c r="I716" s="180">
        <f>I629</f>
        <v>1343637.9438002883</v>
      </c>
      <c r="J716" s="180">
        <f>J630</f>
        <v>348915.3948668167</v>
      </c>
      <c r="K716" s="180">
        <f>K644</f>
        <v>8664668.2514755949</v>
      </c>
      <c r="L716" s="180">
        <f>L647</f>
        <v>475896.15465011628</v>
      </c>
      <c r="M716" s="180">
        <f>C648</f>
        <v>18891674</v>
      </c>
      <c r="N716" s="197" t="s">
        <v>743</v>
      </c>
    </row>
    <row r="717" spans="1:83" ht="12.65" customHeight="1" x14ac:dyDescent="0.35">
      <c r="O717" s="197"/>
    </row>
    <row r="718" spans="1:83" ht="12.65" customHeight="1" x14ac:dyDescent="0.35">
      <c r="O718" s="197"/>
    </row>
    <row r="719" spans="1:83" ht="12.65" customHeight="1" x14ac:dyDescent="0.35">
      <c r="O719" s="197"/>
    </row>
    <row r="720" spans="1:83" s="200" customFormat="1" ht="12.65" customHeight="1" x14ac:dyDescent="0.35">
      <c r="A720" s="200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2" customFormat="1" ht="12.65" customHeight="1" x14ac:dyDescent="0.35">
      <c r="A721" s="202" t="s">
        <v>745</v>
      </c>
      <c r="B721" s="202" t="s">
        <v>746</v>
      </c>
      <c r="C721" s="202" t="s">
        <v>747</v>
      </c>
      <c r="D721" s="202" t="s">
        <v>748</v>
      </c>
      <c r="E721" s="202" t="s">
        <v>749</v>
      </c>
      <c r="F721" s="202" t="s">
        <v>750</v>
      </c>
      <c r="G721" s="202" t="s">
        <v>751</v>
      </c>
      <c r="H721" s="202" t="s">
        <v>752</v>
      </c>
      <c r="I721" s="202" t="s">
        <v>753</v>
      </c>
      <c r="J721" s="202" t="s">
        <v>754</v>
      </c>
      <c r="K721" s="202" t="s">
        <v>755</v>
      </c>
      <c r="L721" s="202" t="s">
        <v>756</v>
      </c>
      <c r="M721" s="202" t="s">
        <v>757</v>
      </c>
      <c r="N721" s="202" t="s">
        <v>758</v>
      </c>
      <c r="O721" s="202" t="s">
        <v>759</v>
      </c>
      <c r="P721" s="202" t="s">
        <v>760</v>
      </c>
      <c r="Q721" s="202" t="s">
        <v>761</v>
      </c>
      <c r="R721" s="202" t="s">
        <v>762</v>
      </c>
      <c r="S721" s="202" t="s">
        <v>763</v>
      </c>
      <c r="T721" s="202" t="s">
        <v>764</v>
      </c>
      <c r="U721" s="202" t="s">
        <v>765</v>
      </c>
      <c r="V721" s="202" t="s">
        <v>766</v>
      </c>
      <c r="W721" s="202" t="s">
        <v>767</v>
      </c>
      <c r="X721" s="202" t="s">
        <v>768</v>
      </c>
      <c r="Y721" s="202" t="s">
        <v>769</v>
      </c>
      <c r="Z721" s="202" t="s">
        <v>770</v>
      </c>
      <c r="AA721" s="202" t="s">
        <v>771</v>
      </c>
      <c r="AB721" s="202" t="s">
        <v>772</v>
      </c>
      <c r="AC721" s="202" t="s">
        <v>773</v>
      </c>
      <c r="AD721" s="202" t="s">
        <v>774</v>
      </c>
      <c r="AE721" s="202" t="s">
        <v>775</v>
      </c>
      <c r="AF721" s="202" t="s">
        <v>776</v>
      </c>
      <c r="AG721" s="202" t="s">
        <v>777</v>
      </c>
      <c r="AH721" s="202" t="s">
        <v>778</v>
      </c>
      <c r="AI721" s="202" t="s">
        <v>779</v>
      </c>
      <c r="AJ721" s="202" t="s">
        <v>780</v>
      </c>
      <c r="AK721" s="202" t="s">
        <v>781</v>
      </c>
      <c r="AL721" s="202" t="s">
        <v>782</v>
      </c>
      <c r="AM721" s="202" t="s">
        <v>783</v>
      </c>
      <c r="AN721" s="202" t="s">
        <v>784</v>
      </c>
      <c r="AO721" s="202" t="s">
        <v>785</v>
      </c>
      <c r="AP721" s="202" t="s">
        <v>786</v>
      </c>
      <c r="AQ721" s="202" t="s">
        <v>787</v>
      </c>
      <c r="AR721" s="202" t="s">
        <v>788</v>
      </c>
      <c r="AS721" s="202" t="s">
        <v>789</v>
      </c>
      <c r="AT721" s="202" t="s">
        <v>790</v>
      </c>
      <c r="AU721" s="202" t="s">
        <v>791</v>
      </c>
      <c r="AV721" s="202" t="s">
        <v>792</v>
      </c>
      <c r="AW721" s="202" t="s">
        <v>793</v>
      </c>
      <c r="AX721" s="202" t="s">
        <v>794</v>
      </c>
      <c r="AY721" s="202" t="s">
        <v>795</v>
      </c>
      <c r="AZ721" s="202" t="s">
        <v>796</v>
      </c>
      <c r="BA721" s="202" t="s">
        <v>797</v>
      </c>
      <c r="BB721" s="202" t="s">
        <v>798</v>
      </c>
      <c r="BC721" s="202" t="s">
        <v>799</v>
      </c>
      <c r="BD721" s="202" t="s">
        <v>800</v>
      </c>
      <c r="BE721" s="202" t="s">
        <v>801</v>
      </c>
      <c r="BF721" s="202" t="s">
        <v>802</v>
      </c>
      <c r="BG721" s="202" t="s">
        <v>803</v>
      </c>
      <c r="BH721" s="202" t="s">
        <v>804</v>
      </c>
      <c r="BI721" s="202" t="s">
        <v>805</v>
      </c>
      <c r="BJ721" s="202" t="s">
        <v>806</v>
      </c>
      <c r="BK721" s="202" t="s">
        <v>807</v>
      </c>
      <c r="BL721" s="202" t="s">
        <v>808</v>
      </c>
      <c r="BM721" s="202" t="s">
        <v>809</v>
      </c>
      <c r="BN721" s="202" t="s">
        <v>810</v>
      </c>
      <c r="BO721" s="202" t="s">
        <v>811</v>
      </c>
      <c r="BP721" s="202" t="s">
        <v>812</v>
      </c>
      <c r="BQ721" s="202" t="s">
        <v>813</v>
      </c>
      <c r="BR721" s="202" t="s">
        <v>814</v>
      </c>
      <c r="BS721" s="202" t="s">
        <v>815</v>
      </c>
      <c r="BT721" s="202" t="s">
        <v>816</v>
      </c>
      <c r="BU721" s="202" t="s">
        <v>817</v>
      </c>
      <c r="BV721" s="202" t="s">
        <v>818</v>
      </c>
      <c r="BW721" s="202" t="s">
        <v>819</v>
      </c>
      <c r="BX721" s="202" t="s">
        <v>820</v>
      </c>
      <c r="BY721" s="202" t="s">
        <v>821</v>
      </c>
      <c r="BZ721" s="202" t="s">
        <v>822</v>
      </c>
      <c r="CA721" s="202" t="s">
        <v>823</v>
      </c>
      <c r="CB721" s="202" t="s">
        <v>824</v>
      </c>
      <c r="CC721" s="202" t="s">
        <v>825</v>
      </c>
      <c r="CD721" s="202" t="s">
        <v>1256</v>
      </c>
    </row>
    <row r="722" spans="1:84" s="200" customFormat="1" ht="12.65" customHeight="1" x14ac:dyDescent="0.35">
      <c r="A722" s="201" t="str">
        <f>RIGHT(C83,3)&amp;"*"&amp;RIGHT(C82,4)&amp;"*"&amp;"A"</f>
        <v>104*2020*A</v>
      </c>
      <c r="B722" s="273">
        <f>ROUND(C165,0)</f>
        <v>1611220</v>
      </c>
      <c r="C722" s="273">
        <f>ROUND(C166,0)</f>
        <v>342345</v>
      </c>
      <c r="D722" s="273">
        <f>ROUND(C167,0)</f>
        <v>246556</v>
      </c>
      <c r="E722" s="273">
        <f>ROUND(C168,0)</f>
        <v>2458005</v>
      </c>
      <c r="F722" s="273">
        <f>ROUND(C169,0)</f>
        <v>0</v>
      </c>
      <c r="G722" s="273">
        <f>ROUND(C170,0)</f>
        <v>514424</v>
      </c>
      <c r="H722" s="273">
        <f>ROUND(C171+C172,0)</f>
        <v>1719771</v>
      </c>
      <c r="I722" s="273">
        <f>ROUND(C175,0)</f>
        <v>863047</v>
      </c>
      <c r="J722" s="273">
        <f>ROUND(C176,0)</f>
        <v>321575</v>
      </c>
      <c r="K722" s="273">
        <f>ROUND(C179,0)</f>
        <v>29983</v>
      </c>
      <c r="L722" s="273">
        <f>ROUND(C180,0)</f>
        <v>132855</v>
      </c>
      <c r="M722" s="273">
        <f>ROUND(C183,0)</f>
        <v>53043</v>
      </c>
      <c r="N722" s="273">
        <f>ROUND(C184,0)</f>
        <v>342555</v>
      </c>
      <c r="O722" s="273">
        <f>ROUND(C185,0)</f>
        <v>0</v>
      </c>
      <c r="P722" s="273">
        <f>ROUND(C188,0)</f>
        <v>0</v>
      </c>
      <c r="Q722" s="273">
        <f>ROUND(C189,0)</f>
        <v>806619</v>
      </c>
      <c r="R722" s="273">
        <f>ROUND(B195,0)</f>
        <v>1878610</v>
      </c>
      <c r="S722" s="273">
        <f>ROUND(C195,0)</f>
        <v>0</v>
      </c>
      <c r="T722" s="273">
        <f>ROUND(D195,0)</f>
        <v>0</v>
      </c>
      <c r="U722" s="273">
        <f>ROUND(B196,0)</f>
        <v>1233752</v>
      </c>
      <c r="V722" s="273">
        <f>ROUND(C196,0)</f>
        <v>0</v>
      </c>
      <c r="W722" s="273">
        <f>ROUND(D196,0)</f>
        <v>0</v>
      </c>
      <c r="X722" s="273">
        <f>ROUND(B197,0)</f>
        <v>24076262</v>
      </c>
      <c r="Y722" s="273">
        <f>ROUND(C197,0)</f>
        <v>2927296</v>
      </c>
      <c r="Z722" s="273">
        <f>ROUND(D197,0)</f>
        <v>0</v>
      </c>
      <c r="AA722" s="273">
        <f>ROUND(B198,0)</f>
        <v>2730523</v>
      </c>
      <c r="AB722" s="273">
        <f>ROUND(C198,0)</f>
        <v>21862</v>
      </c>
      <c r="AC722" s="273">
        <f>ROUND(D198,0)</f>
        <v>20982</v>
      </c>
      <c r="AD722" s="273">
        <f>ROUND(B199,0)</f>
        <v>0</v>
      </c>
      <c r="AE722" s="273">
        <f>ROUND(C199,0)</f>
        <v>0</v>
      </c>
      <c r="AF722" s="273">
        <f>ROUND(D199,0)</f>
        <v>0</v>
      </c>
      <c r="AG722" s="273">
        <f>ROUND(B200,0)</f>
        <v>19541875</v>
      </c>
      <c r="AH722" s="273">
        <f>ROUND(C200,0)</f>
        <v>2209045</v>
      </c>
      <c r="AI722" s="273">
        <f>ROUND(D200,0)</f>
        <v>2368626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3098250</v>
      </c>
      <c r="AN722" s="273">
        <f>ROUND(C202,0)</f>
        <v>10880</v>
      </c>
      <c r="AO722" s="273">
        <f>ROUND(D202,0)</f>
        <v>0</v>
      </c>
      <c r="AP722" s="273">
        <f>ROUND(B203,0)</f>
        <v>4508526</v>
      </c>
      <c r="AQ722" s="273">
        <f>ROUND(C203,0)</f>
        <v>-4307002</v>
      </c>
      <c r="AR722" s="273">
        <f>ROUND(D203,0)</f>
        <v>0</v>
      </c>
      <c r="AS722" s="273"/>
      <c r="AT722" s="273"/>
      <c r="AU722" s="273"/>
      <c r="AV722" s="273">
        <f>ROUND(B209,0)</f>
        <v>883098</v>
      </c>
      <c r="AW722" s="273">
        <f>ROUND(C209,0)</f>
        <v>55263</v>
      </c>
      <c r="AX722" s="273">
        <f>ROUND(D209,0)</f>
        <v>0</v>
      </c>
      <c r="AY722" s="273">
        <f>ROUND(B210,0)</f>
        <v>18490939</v>
      </c>
      <c r="AZ722" s="273">
        <f>ROUND(C210,0)</f>
        <v>1008797</v>
      </c>
      <c r="BA722" s="273">
        <f>ROUND(D210,0)</f>
        <v>0</v>
      </c>
      <c r="BB722" s="273">
        <f>ROUND(B211,0)</f>
        <v>2412944</v>
      </c>
      <c r="BC722" s="273">
        <f>ROUND(C211,0)</f>
        <v>70156</v>
      </c>
      <c r="BD722" s="273">
        <f>ROUND(D211,0)</f>
        <v>19683</v>
      </c>
      <c r="BE722" s="273">
        <f>ROUND(B212,0)</f>
        <v>0</v>
      </c>
      <c r="BF722" s="273">
        <f>ROUND(C212,0)</f>
        <v>0</v>
      </c>
      <c r="BG722" s="273">
        <f>ROUND(D212,0)</f>
        <v>0</v>
      </c>
      <c r="BH722" s="273">
        <f>ROUND(B213,0)</f>
        <v>16431622</v>
      </c>
      <c r="BI722" s="273">
        <f>ROUND(C213,0)</f>
        <v>1162354</v>
      </c>
      <c r="BJ722" s="273">
        <f>ROUND(D213,0)</f>
        <v>2237074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2169141</v>
      </c>
      <c r="BO722" s="273">
        <f>ROUND(C215,0)</f>
        <v>122260</v>
      </c>
      <c r="BP722" s="273">
        <f>ROUND(D215,0)</f>
        <v>0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28567905</v>
      </c>
      <c r="BU722" s="273">
        <f>ROUND(C224,0)</f>
        <v>23967335</v>
      </c>
      <c r="BV722" s="273">
        <f>ROUND(C225,0)</f>
        <v>1917600</v>
      </c>
      <c r="BW722" s="273">
        <f>ROUND(C226,0)</f>
        <v>1775966</v>
      </c>
      <c r="BX722" s="273">
        <f>ROUND(C227,0)</f>
        <v>19611985</v>
      </c>
      <c r="BY722" s="273">
        <f>ROUND(C228,0)</f>
        <v>0</v>
      </c>
      <c r="BZ722" s="273">
        <f>ROUND(C231,0)</f>
        <v>873</v>
      </c>
      <c r="CA722" s="273">
        <f>ROUND(C233,0)</f>
        <v>122861</v>
      </c>
      <c r="CB722" s="273">
        <f>ROUND(C234,0)</f>
        <v>786470</v>
      </c>
      <c r="CC722" s="273">
        <f>ROUND(C238+C239,0)</f>
        <v>1074468</v>
      </c>
      <c r="CD722" s="273">
        <f>D221</f>
        <v>4421060.63</v>
      </c>
      <c r="CE722" s="273"/>
    </row>
    <row r="723" spans="1:84" ht="12.65" customHeight="1" x14ac:dyDescent="0.3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0" customFormat="1" ht="12.65" customHeight="1" x14ac:dyDescent="0.35">
      <c r="A724" s="200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2" customFormat="1" ht="12.65" customHeight="1" x14ac:dyDescent="0.35">
      <c r="A725" s="202" t="s">
        <v>745</v>
      </c>
      <c r="B725" s="202" t="s">
        <v>826</v>
      </c>
      <c r="C725" s="202" t="s">
        <v>827</v>
      </c>
      <c r="D725" s="202" t="s">
        <v>828</v>
      </c>
      <c r="E725" s="202" t="s">
        <v>829</v>
      </c>
      <c r="F725" s="202" t="s">
        <v>830</v>
      </c>
      <c r="G725" s="202" t="s">
        <v>831</v>
      </c>
      <c r="H725" s="202" t="s">
        <v>832</v>
      </c>
      <c r="I725" s="202" t="s">
        <v>833</v>
      </c>
      <c r="J725" s="202" t="s">
        <v>834</v>
      </c>
      <c r="K725" s="202" t="s">
        <v>835</v>
      </c>
      <c r="L725" s="202" t="s">
        <v>836</v>
      </c>
      <c r="M725" s="202" t="s">
        <v>837</v>
      </c>
      <c r="N725" s="202" t="s">
        <v>838</v>
      </c>
      <c r="O725" s="202" t="s">
        <v>839</v>
      </c>
      <c r="P725" s="202" t="s">
        <v>840</v>
      </c>
      <c r="Q725" s="202" t="s">
        <v>841</v>
      </c>
      <c r="R725" s="202" t="s">
        <v>842</v>
      </c>
      <c r="S725" s="202" t="s">
        <v>843</v>
      </c>
      <c r="T725" s="202" t="s">
        <v>844</v>
      </c>
      <c r="U725" s="202" t="s">
        <v>845</v>
      </c>
      <c r="V725" s="202" t="s">
        <v>846</v>
      </c>
      <c r="W725" s="202" t="s">
        <v>847</v>
      </c>
      <c r="X725" s="202" t="s">
        <v>848</v>
      </c>
      <c r="Y725" s="202" t="s">
        <v>849</v>
      </c>
      <c r="Z725" s="202" t="s">
        <v>850</v>
      </c>
      <c r="AA725" s="202" t="s">
        <v>851</v>
      </c>
      <c r="AB725" s="202" t="s">
        <v>852</v>
      </c>
      <c r="AC725" s="202" t="s">
        <v>853</v>
      </c>
      <c r="AD725" s="202" t="s">
        <v>854</v>
      </c>
      <c r="AE725" s="202" t="s">
        <v>855</v>
      </c>
      <c r="AF725" s="202" t="s">
        <v>856</v>
      </c>
      <c r="AG725" s="202" t="s">
        <v>857</v>
      </c>
      <c r="AH725" s="202" t="s">
        <v>858</v>
      </c>
      <c r="AI725" s="202" t="s">
        <v>859</v>
      </c>
      <c r="AJ725" s="202" t="s">
        <v>860</v>
      </c>
      <c r="AK725" s="202" t="s">
        <v>861</v>
      </c>
      <c r="AL725" s="202" t="s">
        <v>862</v>
      </c>
      <c r="AM725" s="202" t="s">
        <v>863</v>
      </c>
      <c r="AN725" s="202" t="s">
        <v>864</v>
      </c>
      <c r="AO725" s="202" t="s">
        <v>865</v>
      </c>
      <c r="AP725" s="202" t="s">
        <v>866</v>
      </c>
      <c r="AQ725" s="202" t="s">
        <v>867</v>
      </c>
      <c r="AR725" s="202" t="s">
        <v>868</v>
      </c>
      <c r="AS725" s="202" t="s">
        <v>869</v>
      </c>
      <c r="AT725" s="202" t="s">
        <v>870</v>
      </c>
      <c r="AU725" s="202" t="s">
        <v>871</v>
      </c>
      <c r="AV725" s="202" t="s">
        <v>872</v>
      </c>
      <c r="AW725" s="202" t="s">
        <v>873</v>
      </c>
      <c r="AX725" s="202" t="s">
        <v>874</v>
      </c>
      <c r="AY725" s="202" t="s">
        <v>875</v>
      </c>
      <c r="AZ725" s="202" t="s">
        <v>876</v>
      </c>
      <c r="BA725" s="202" t="s">
        <v>877</v>
      </c>
      <c r="BB725" s="202" t="s">
        <v>878</v>
      </c>
      <c r="BC725" s="202" t="s">
        <v>879</v>
      </c>
      <c r="BD725" s="202" t="s">
        <v>880</v>
      </c>
      <c r="BE725" s="202" t="s">
        <v>881</v>
      </c>
      <c r="BF725" s="202" t="s">
        <v>882</v>
      </c>
      <c r="BG725" s="202" t="s">
        <v>883</v>
      </c>
      <c r="BH725" s="202" t="s">
        <v>884</v>
      </c>
      <c r="BI725" s="202" t="s">
        <v>885</v>
      </c>
      <c r="BJ725" s="202" t="s">
        <v>886</v>
      </c>
      <c r="BK725" s="202" t="s">
        <v>887</v>
      </c>
      <c r="BL725" s="202" t="s">
        <v>888</v>
      </c>
      <c r="BM725" s="202" t="s">
        <v>889</v>
      </c>
      <c r="BN725" s="202" t="s">
        <v>890</v>
      </c>
      <c r="BO725" s="202" t="s">
        <v>891</v>
      </c>
      <c r="BP725" s="202" t="s">
        <v>892</v>
      </c>
      <c r="BQ725" s="202" t="s">
        <v>893</v>
      </c>
      <c r="BR725" s="202" t="s">
        <v>894</v>
      </c>
    </row>
    <row r="726" spans="1:84" s="200" customFormat="1" ht="12.65" customHeight="1" x14ac:dyDescent="0.35">
      <c r="A726" s="201" t="str">
        <f>RIGHT(C83,3)&amp;"*"&amp;RIGHT(C82,4)&amp;"*"&amp;"A"</f>
        <v>104*2020*A</v>
      </c>
      <c r="B726" s="273">
        <f>ROUND(C111,0)</f>
        <v>692</v>
      </c>
      <c r="C726" s="273">
        <f>ROUND(C112,0)</f>
        <v>0</v>
      </c>
      <c r="D726" s="273">
        <f>ROUND(C113,0)</f>
        <v>459</v>
      </c>
      <c r="E726" s="273">
        <f>ROUND(C114,0)</f>
        <v>0</v>
      </c>
      <c r="F726" s="273">
        <f>ROUND(D111,0)</f>
        <v>2719</v>
      </c>
      <c r="G726" s="273">
        <f>ROUND(D112,0)</f>
        <v>0</v>
      </c>
      <c r="H726" s="273">
        <f>ROUND(D113,0)</f>
        <v>4077</v>
      </c>
      <c r="I726" s="273">
        <f>ROUND(D114,0)</f>
        <v>0</v>
      </c>
      <c r="J726" s="273">
        <f>ROUND(C116,0)</f>
        <v>4</v>
      </c>
      <c r="K726" s="273">
        <f>ROUND(C117,0)</f>
        <v>0</v>
      </c>
      <c r="L726" s="273">
        <f>ROUND(C118,0)</f>
        <v>26</v>
      </c>
      <c r="M726" s="273">
        <f>ROUND(C119,0)</f>
        <v>0</v>
      </c>
      <c r="N726" s="273">
        <f>ROUND(C120,0)</f>
        <v>0</v>
      </c>
      <c r="O726" s="273">
        <f>ROUND(C121,0)</f>
        <v>0</v>
      </c>
      <c r="P726" s="273">
        <f>ROUND(C122,0)</f>
        <v>0</v>
      </c>
      <c r="Q726" s="273">
        <f>ROUND(C123,0)</f>
        <v>0</v>
      </c>
      <c r="R726" s="273">
        <f>ROUND(C124,0)</f>
        <v>0</v>
      </c>
      <c r="S726" s="273">
        <f>ROUND(C125,0)</f>
        <v>36</v>
      </c>
      <c r="T726" s="273"/>
      <c r="U726" s="273">
        <f>ROUND(C126,0)</f>
        <v>0</v>
      </c>
      <c r="V726" s="273">
        <f>ROUND(C128,0)</f>
        <v>112</v>
      </c>
      <c r="W726" s="273">
        <f>ROUND(C129,0)</f>
        <v>0</v>
      </c>
      <c r="X726" s="273">
        <f>ROUND(B138,0)</f>
        <v>412</v>
      </c>
      <c r="Y726" s="273">
        <f>ROUND(B139,0)</f>
        <v>695</v>
      </c>
      <c r="Z726" s="273">
        <f>ROUND(B140,0)</f>
        <v>6293</v>
      </c>
      <c r="AA726" s="273">
        <f>ROUND(B141,0)</f>
        <v>7093557</v>
      </c>
      <c r="AB726" s="273">
        <f>ROUND(B142,0)</f>
        <v>12535316</v>
      </c>
      <c r="AC726" s="273">
        <f>ROUND(C138,0)</f>
        <v>165</v>
      </c>
      <c r="AD726" s="273">
        <f>ROUND(C139,0)</f>
        <v>355</v>
      </c>
      <c r="AE726" s="273">
        <f>ROUND(C140,0)</f>
        <v>3489</v>
      </c>
      <c r="AF726" s="273">
        <f>ROUND(C141,0)</f>
        <v>2629564</v>
      </c>
      <c r="AG726" s="273">
        <f>ROUND(C142,0)</f>
        <v>10595036</v>
      </c>
      <c r="AH726" s="273">
        <f>ROUND(D138,0)</f>
        <v>180</v>
      </c>
      <c r="AI726" s="273">
        <f>ROUND(D139,0)</f>
        <v>2017</v>
      </c>
      <c r="AJ726" s="273">
        <f>ROUND(D140,0)</f>
        <v>26317</v>
      </c>
      <c r="AK726" s="273">
        <f>ROUND(D141,0)</f>
        <v>17690981</v>
      </c>
      <c r="AL726" s="273">
        <f>ROUND(D142,0)</f>
        <v>65104143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27</v>
      </c>
      <c r="BC726" s="273">
        <f>ROUND(B151,0)</f>
        <v>292</v>
      </c>
      <c r="BD726" s="273">
        <f>ROUND(B152,0)</f>
        <v>0</v>
      </c>
      <c r="BE726" s="273">
        <f>ROUND(B153,0)</f>
        <v>217258</v>
      </c>
      <c r="BF726" s="273">
        <f>ROUND(B154,0)</f>
        <v>0</v>
      </c>
      <c r="BG726" s="273">
        <f>ROUND(C150,0)</f>
        <v>11</v>
      </c>
      <c r="BH726" s="273">
        <f>ROUND(C151,0)</f>
        <v>196</v>
      </c>
      <c r="BI726" s="273">
        <f>ROUND(C152,0)</f>
        <v>0</v>
      </c>
      <c r="BJ726" s="273">
        <f>ROUND(C153,0)</f>
        <v>418306</v>
      </c>
      <c r="BK726" s="273">
        <f>ROUND(C154,0)</f>
        <v>0</v>
      </c>
      <c r="BL726" s="273">
        <f>ROUND(D150,0)</f>
        <v>466</v>
      </c>
      <c r="BM726" s="273">
        <f>ROUND(D151,0)</f>
        <v>3940</v>
      </c>
      <c r="BN726" s="273">
        <f>ROUND(D152,0)</f>
        <v>0</v>
      </c>
      <c r="BO726" s="273">
        <f>ROUND(D153,0)</f>
        <v>3702004</v>
      </c>
      <c r="BP726" s="273">
        <f>ROUND(D154,0)</f>
        <v>486596</v>
      </c>
      <c r="BQ726" s="273">
        <f>ROUND(B157,0)</f>
        <v>2695165</v>
      </c>
      <c r="BR726" s="273">
        <f>ROUND(C157,0)</f>
        <v>1472683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5" customHeight="1" x14ac:dyDescent="0.3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0" customFormat="1" ht="12.65" customHeight="1" x14ac:dyDescent="0.35">
      <c r="A728" s="200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2" customFormat="1" ht="12.65" customHeight="1" x14ac:dyDescent="0.35">
      <c r="A729" s="202" t="s">
        <v>745</v>
      </c>
      <c r="B729" s="202" t="s">
        <v>896</v>
      </c>
      <c r="C729" s="202" t="s">
        <v>897</v>
      </c>
      <c r="D729" s="202" t="s">
        <v>898</v>
      </c>
      <c r="E729" s="202" t="s">
        <v>899</v>
      </c>
      <c r="F729" s="202" t="s">
        <v>900</v>
      </c>
      <c r="G729" s="202" t="s">
        <v>901</v>
      </c>
      <c r="H729" s="202" t="s">
        <v>902</v>
      </c>
      <c r="I729" s="202" t="s">
        <v>903</v>
      </c>
      <c r="J729" s="202" t="s">
        <v>904</v>
      </c>
      <c r="K729" s="202" t="s">
        <v>905</v>
      </c>
      <c r="L729" s="202" t="s">
        <v>906</v>
      </c>
      <c r="M729" s="202" t="s">
        <v>907</v>
      </c>
      <c r="N729" s="202" t="s">
        <v>908</v>
      </c>
      <c r="O729" s="202" t="s">
        <v>909</v>
      </c>
      <c r="P729" s="202" t="s">
        <v>910</v>
      </c>
      <c r="Q729" s="202" t="s">
        <v>911</v>
      </c>
      <c r="R729" s="202" t="s">
        <v>912</v>
      </c>
      <c r="S729" s="202" t="s">
        <v>913</v>
      </c>
      <c r="T729" s="202" t="s">
        <v>914</v>
      </c>
      <c r="U729" s="202" t="s">
        <v>915</v>
      </c>
      <c r="V729" s="202" t="s">
        <v>916</v>
      </c>
      <c r="W729" s="202" t="s">
        <v>917</v>
      </c>
      <c r="X729" s="202" t="s">
        <v>918</v>
      </c>
      <c r="Y729" s="202" t="s">
        <v>919</v>
      </c>
      <c r="Z729" s="202" t="s">
        <v>920</v>
      </c>
      <c r="AA729" s="202" t="s">
        <v>921</v>
      </c>
      <c r="AB729" s="202" t="s">
        <v>922</v>
      </c>
      <c r="AC729" s="202" t="s">
        <v>923</v>
      </c>
      <c r="AD729" s="202" t="s">
        <v>924</v>
      </c>
      <c r="AE729" s="202" t="s">
        <v>925</v>
      </c>
      <c r="AF729" s="202" t="s">
        <v>926</v>
      </c>
      <c r="AG729" s="202" t="s">
        <v>927</v>
      </c>
      <c r="AH729" s="202" t="s">
        <v>928</v>
      </c>
      <c r="AI729" s="202" t="s">
        <v>929</v>
      </c>
      <c r="AJ729" s="202" t="s">
        <v>930</v>
      </c>
      <c r="AK729" s="202" t="s">
        <v>931</v>
      </c>
      <c r="AL729" s="202" t="s">
        <v>932</v>
      </c>
      <c r="AM729" s="202" t="s">
        <v>933</v>
      </c>
      <c r="AN729" s="202" t="s">
        <v>934</v>
      </c>
      <c r="AO729" s="202" t="s">
        <v>935</v>
      </c>
      <c r="AP729" s="202" t="s">
        <v>936</v>
      </c>
      <c r="AQ729" s="202" t="s">
        <v>937</v>
      </c>
      <c r="AR729" s="202" t="s">
        <v>938</v>
      </c>
      <c r="AS729" s="202" t="s">
        <v>939</v>
      </c>
      <c r="AT729" s="202" t="s">
        <v>940</v>
      </c>
      <c r="AU729" s="202" t="s">
        <v>941</v>
      </c>
      <c r="AV729" s="202" t="s">
        <v>942</v>
      </c>
      <c r="AW729" s="202" t="s">
        <v>943</v>
      </c>
      <c r="AX729" s="202" t="s">
        <v>944</v>
      </c>
      <c r="AY729" s="202" t="s">
        <v>945</v>
      </c>
      <c r="AZ729" s="202" t="s">
        <v>946</v>
      </c>
      <c r="BA729" s="202" t="s">
        <v>947</v>
      </c>
      <c r="BB729" s="202" t="s">
        <v>948</v>
      </c>
      <c r="BC729" s="202" t="s">
        <v>949</v>
      </c>
      <c r="BD729" s="202" t="s">
        <v>950</v>
      </c>
      <c r="BE729" s="202" t="s">
        <v>951</v>
      </c>
      <c r="BF729" s="202" t="s">
        <v>952</v>
      </c>
      <c r="BG729" s="202" t="s">
        <v>953</v>
      </c>
      <c r="BH729" s="202" t="s">
        <v>954</v>
      </c>
      <c r="BI729" s="202" t="s">
        <v>955</v>
      </c>
      <c r="BJ729" s="202" t="s">
        <v>956</v>
      </c>
      <c r="BK729" s="202" t="s">
        <v>957</v>
      </c>
      <c r="BL729" s="202" t="s">
        <v>958</v>
      </c>
      <c r="BM729" s="202" t="s">
        <v>959</v>
      </c>
      <c r="BN729" s="202" t="s">
        <v>960</v>
      </c>
      <c r="BO729" s="202" t="s">
        <v>961</v>
      </c>
      <c r="BP729" s="202" t="s">
        <v>962</v>
      </c>
      <c r="BQ729" s="202" t="s">
        <v>963</v>
      </c>
      <c r="BR729" s="202" t="s">
        <v>964</v>
      </c>
      <c r="BS729" s="202" t="s">
        <v>965</v>
      </c>
      <c r="BT729" s="202" t="s">
        <v>966</v>
      </c>
      <c r="BU729" s="202" t="s">
        <v>967</v>
      </c>
      <c r="BV729" s="202" t="s">
        <v>968</v>
      </c>
      <c r="BW729" s="202" t="s">
        <v>969</v>
      </c>
      <c r="BX729" s="202" t="s">
        <v>970</v>
      </c>
      <c r="BY729" s="202" t="s">
        <v>971</v>
      </c>
      <c r="BZ729" s="202" t="s">
        <v>972</v>
      </c>
      <c r="CA729" s="202" t="s">
        <v>973</v>
      </c>
      <c r="CB729" s="202" t="s">
        <v>974</v>
      </c>
      <c r="CC729" s="202" t="s">
        <v>975</v>
      </c>
      <c r="CD729" s="202" t="s">
        <v>976</v>
      </c>
      <c r="CE729" s="202" t="s">
        <v>977</v>
      </c>
      <c r="CF729" s="202" t="s">
        <v>978</v>
      </c>
    </row>
    <row r="730" spans="1:84" s="200" customFormat="1" ht="12.65" customHeight="1" x14ac:dyDescent="0.35">
      <c r="A730" s="201" t="str">
        <f>RIGHT(C83,3)&amp;"*"&amp;RIGHT(C82,4)&amp;"*"&amp;"A"</f>
        <v>104*2020*A</v>
      </c>
      <c r="B730" s="273">
        <f>ROUND(C250,0)</f>
        <v>11430686</v>
      </c>
      <c r="C730" s="273">
        <f>ROUND(C251,0)</f>
        <v>0</v>
      </c>
      <c r="D730" s="273">
        <f>ROUND(C252,0)</f>
        <v>21098929</v>
      </c>
      <c r="E730" s="273">
        <f>ROUND(C253,0)</f>
        <v>13400074</v>
      </c>
      <c r="F730" s="273">
        <f>ROUND(C254,0)</f>
        <v>212255</v>
      </c>
      <c r="G730" s="273">
        <f>ROUND(C255,0)</f>
        <v>745670</v>
      </c>
      <c r="H730" s="273">
        <f>ROUND(C256,0)</f>
        <v>1970106</v>
      </c>
      <c r="I730" s="273">
        <f>ROUND(C257,0)</f>
        <v>1017164</v>
      </c>
      <c r="J730" s="273">
        <f>ROUND(C258,0)</f>
        <v>401410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1878610</v>
      </c>
      <c r="P730" s="273">
        <f>ROUND(C268,0)</f>
        <v>1233752</v>
      </c>
      <c r="Q730" s="273">
        <f>ROUND(C269,0)</f>
        <v>27003558</v>
      </c>
      <c r="R730" s="273">
        <f>ROUND(C270,0)</f>
        <v>0</v>
      </c>
      <c r="S730" s="273">
        <f>ROUND(C271,0)</f>
        <v>2731403</v>
      </c>
      <c r="T730" s="273">
        <f>ROUND(C272,0)</f>
        <v>19382293</v>
      </c>
      <c r="U730" s="273">
        <f>ROUND(C273,0)</f>
        <v>3109130</v>
      </c>
      <c r="V730" s="273">
        <f>ROUND(C274,0)</f>
        <v>201524</v>
      </c>
      <c r="W730" s="273">
        <f>ROUND(C275,0)</f>
        <v>0</v>
      </c>
      <c r="X730" s="273">
        <f>ROUND(C276,0)</f>
        <v>40549817</v>
      </c>
      <c r="Y730" s="273">
        <f>ROUND(C279,0)</f>
        <v>0</v>
      </c>
      <c r="Z730" s="273">
        <f>ROUND(C280,0)</f>
        <v>0</v>
      </c>
      <c r="AA730" s="273">
        <f>ROUND(C281,0)</f>
        <v>0</v>
      </c>
      <c r="AB730" s="273">
        <f>ROUND(C282,0)</f>
        <v>0</v>
      </c>
      <c r="AC730" s="273">
        <f>ROUND(C286,0)</f>
        <v>0</v>
      </c>
      <c r="AD730" s="273">
        <f>ROUND(C287,0)</f>
        <v>0</v>
      </c>
      <c r="AE730" s="273">
        <f>ROUND(C288,0)</f>
        <v>0</v>
      </c>
      <c r="AF730" s="273">
        <f>ROUND(C289,0)</f>
        <v>0</v>
      </c>
      <c r="AG730" s="273">
        <f>ROUND(C304,0)</f>
        <v>2504768</v>
      </c>
      <c r="AH730" s="273">
        <f>ROUND(C305,0)</f>
        <v>1528742</v>
      </c>
      <c r="AI730" s="273">
        <f>ROUND(C306,0)</f>
        <v>3230100</v>
      </c>
      <c r="AJ730" s="273">
        <f>ROUND(C307,0)</f>
        <v>1377456</v>
      </c>
      <c r="AK730" s="273">
        <f>ROUND(C308,0)</f>
        <v>0</v>
      </c>
      <c r="AL730" s="273">
        <f>ROUND(C309,0)</f>
        <v>1437648</v>
      </c>
      <c r="AM730" s="273">
        <f>ROUND(C310,0)</f>
        <v>0</v>
      </c>
      <c r="AN730" s="273">
        <f>ROUND(C311,0)</f>
        <v>0</v>
      </c>
      <c r="AO730" s="273">
        <f>ROUND(C312,0)</f>
        <v>0</v>
      </c>
      <c r="AP730" s="273">
        <f>ROUND(C313,0)</f>
        <v>0</v>
      </c>
      <c r="AQ730" s="273">
        <f>ROUND(C316,0)</f>
        <v>0</v>
      </c>
      <c r="AR730" s="273">
        <f>ROUND(C317,0)</f>
        <v>0</v>
      </c>
      <c r="AS730" s="273">
        <f>ROUND(C318,0)</f>
        <v>0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29222</v>
      </c>
      <c r="AX730" s="273">
        <f>ROUND(C325,0)</f>
        <v>23473760</v>
      </c>
      <c r="AY730" s="273">
        <f>ROUND(C326,0)</f>
        <v>1669827</v>
      </c>
      <c r="AZ730" s="273">
        <f>ROUND(C327,0)</f>
        <v>2332071</v>
      </c>
      <c r="BA730" s="273">
        <f>ROUND(C328,0)</f>
        <v>0</v>
      </c>
      <c r="BB730" s="273">
        <f>ROUND(C332,0)</f>
        <v>0</v>
      </c>
      <c r="BC730" s="273"/>
      <c r="BD730" s="273"/>
      <c r="BE730" s="273">
        <f>ROUND(C337,0)</f>
        <v>883005</v>
      </c>
      <c r="BF730" s="273">
        <f>ROUND(C336,0)</f>
        <v>0</v>
      </c>
      <c r="BG730" s="273"/>
      <c r="BH730" s="273"/>
      <c r="BI730" s="273">
        <f>ROUND(CE60,2)</f>
        <v>266.42</v>
      </c>
      <c r="BJ730" s="273">
        <f>ROUND(C359,0)</f>
        <v>31751670</v>
      </c>
      <c r="BK730" s="273">
        <f>ROUND(C360,0)</f>
        <v>88721091</v>
      </c>
      <c r="BL730" s="273">
        <f>ROUND(C364,0)</f>
        <v>75210971</v>
      </c>
      <c r="BM730" s="273">
        <f>ROUND(C365,0)</f>
        <v>909331</v>
      </c>
      <c r="BN730" s="273">
        <f>ROUND(C366,0)</f>
        <v>1074468</v>
      </c>
      <c r="BO730" s="273">
        <f>ROUND(C370,0)</f>
        <v>2637110</v>
      </c>
      <c r="BP730" s="273">
        <f>ROUND(C371,0)</f>
        <v>0</v>
      </c>
      <c r="BQ730" s="273">
        <f>ROUND(C378,0)</f>
        <v>24193471</v>
      </c>
      <c r="BR730" s="273">
        <f>ROUND(C379,0)</f>
        <v>6892322</v>
      </c>
      <c r="BS730" s="273">
        <f>ROUND(C380,0)</f>
        <v>2143814</v>
      </c>
      <c r="BT730" s="273">
        <f>ROUND(C381,0)</f>
        <v>6133176</v>
      </c>
      <c r="BU730" s="273">
        <f>ROUND(C382,0)</f>
        <v>608427</v>
      </c>
      <c r="BV730" s="273">
        <f>ROUND(C383,0)</f>
        <v>6751617</v>
      </c>
      <c r="BW730" s="273">
        <f>ROUND(C384,0)</f>
        <v>2418830</v>
      </c>
      <c r="BX730" s="273">
        <f>ROUND(C385,0)</f>
        <v>1184622</v>
      </c>
      <c r="BY730" s="273">
        <f>ROUND(C386,0)</f>
        <v>162838</v>
      </c>
      <c r="BZ730" s="273">
        <f>ROUND(C387,0)</f>
        <v>396561</v>
      </c>
      <c r="CA730" s="273">
        <f>ROUND(C388,0)</f>
        <v>0</v>
      </c>
      <c r="CB730" s="273">
        <f>C363</f>
        <v>4421060.63</v>
      </c>
      <c r="CC730" s="273">
        <f>ROUND(C389,0)</f>
        <v>156845</v>
      </c>
      <c r="CD730" s="273">
        <f>ROUND(C392,0)</f>
        <v>10288174</v>
      </c>
      <c r="CE730" s="273">
        <f>ROUND(C394,0)</f>
        <v>0</v>
      </c>
      <c r="CF730" s="200">
        <f>ROUND(C395,0)</f>
        <v>0</v>
      </c>
    </row>
    <row r="731" spans="1:84" ht="12.65" customHeight="1" x14ac:dyDescent="0.3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0" customFormat="1" ht="12.65" customHeight="1" x14ac:dyDescent="0.35">
      <c r="A732" s="200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2" customFormat="1" ht="12.65" customHeight="1" x14ac:dyDescent="0.35">
      <c r="A733" s="202" t="s">
        <v>745</v>
      </c>
      <c r="B733" s="202" t="s">
        <v>980</v>
      </c>
      <c r="C733" s="202" t="s">
        <v>981</v>
      </c>
      <c r="D733" s="202" t="s">
        <v>982</v>
      </c>
      <c r="E733" s="202" t="s">
        <v>983</v>
      </c>
      <c r="F733" s="202" t="s">
        <v>984</v>
      </c>
      <c r="G733" s="202" t="s">
        <v>985</v>
      </c>
      <c r="H733" s="202" t="s">
        <v>986</v>
      </c>
      <c r="I733" s="202" t="s">
        <v>987</v>
      </c>
      <c r="J733" s="202" t="s">
        <v>988</v>
      </c>
      <c r="K733" s="202" t="s">
        <v>989</v>
      </c>
      <c r="L733" s="202" t="s">
        <v>990</v>
      </c>
      <c r="M733" s="202" t="s">
        <v>991</v>
      </c>
      <c r="N733" s="202" t="s">
        <v>992</v>
      </c>
      <c r="O733" s="202" t="s">
        <v>993</v>
      </c>
      <c r="P733" s="202" t="s">
        <v>994</v>
      </c>
      <c r="Q733" s="202" t="s">
        <v>995</v>
      </c>
      <c r="R733" s="202" t="s">
        <v>996</v>
      </c>
      <c r="S733" s="202" t="s">
        <v>997</v>
      </c>
      <c r="T733" s="202" t="s">
        <v>998</v>
      </c>
      <c r="U733" s="202" t="s">
        <v>999</v>
      </c>
      <c r="V733" s="202" t="s">
        <v>1000</v>
      </c>
      <c r="W733" s="202" t="s">
        <v>1001</v>
      </c>
      <c r="X733" s="202" t="s">
        <v>1002</v>
      </c>
      <c r="Y733" s="202" t="s">
        <v>1003</v>
      </c>
    </row>
    <row r="734" spans="1:84" s="200" customFormat="1" ht="12.65" customHeight="1" x14ac:dyDescent="0.35">
      <c r="A734" s="201" t="str">
        <f>RIGHT($C$83,3)&amp;"*"&amp;RIGHT($C$82,4)&amp;"*"&amp;C$55&amp;"*"&amp;"A"</f>
        <v>104*2020*6010*A</v>
      </c>
      <c r="B734" s="273">
        <f>ROUND(C59,0)</f>
        <v>626</v>
      </c>
      <c r="C734" s="273">
        <f>ROUND(C60,2)</f>
        <v>8.44</v>
      </c>
      <c r="D734" s="273">
        <f>ROUND(C61,0)</f>
        <v>923777</v>
      </c>
      <c r="E734" s="273">
        <f>ROUND(C62,0)</f>
        <v>263169</v>
      </c>
      <c r="F734" s="273">
        <f>ROUND(C63,0)</f>
        <v>0</v>
      </c>
      <c r="G734" s="273">
        <f>ROUND(C64,0)</f>
        <v>42352</v>
      </c>
      <c r="H734" s="273">
        <f>ROUND(C65,0)</f>
        <v>0</v>
      </c>
      <c r="I734" s="273">
        <f>ROUND(C66,0)</f>
        <v>446</v>
      </c>
      <c r="J734" s="273">
        <f>ROUND(C67,0)</f>
        <v>45916</v>
      </c>
      <c r="K734" s="273">
        <f>ROUND(C68,0)</f>
        <v>12832</v>
      </c>
      <c r="L734" s="273">
        <f>ROUND(C69,0)</f>
        <v>0</v>
      </c>
      <c r="M734" s="273">
        <f>ROUND(C70,0)</f>
        <v>0</v>
      </c>
      <c r="N734" s="273">
        <f>ROUND(C75,0)</f>
        <v>2045430</v>
      </c>
      <c r="O734" s="273">
        <f>ROUND(C73,0)</f>
        <v>2034733</v>
      </c>
      <c r="P734" s="273">
        <f>IF(C76&gt;0,ROUND(C76,0),0)</f>
        <v>2200</v>
      </c>
      <c r="Q734" s="273">
        <f>IF(C77&gt;0,ROUND(C77,0),0)</f>
        <v>1753</v>
      </c>
      <c r="R734" s="273">
        <f>IF(C78&gt;0,ROUND(C78,0),0)</f>
        <v>958</v>
      </c>
      <c r="S734" s="273">
        <f>IF(C79&gt;0,ROUND(C79,0),0)</f>
        <v>7450</v>
      </c>
      <c r="T734" s="273">
        <f>IF(C80&gt;0,ROUND(C80,2),0)</f>
        <v>8.4</v>
      </c>
      <c r="U734" s="273"/>
      <c r="V734" s="273"/>
      <c r="W734" s="273"/>
      <c r="X734" s="273"/>
      <c r="Y734" s="273">
        <f>IF(M668&lt;&gt;0,ROUND(M668,0),0)</f>
        <v>619357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5" customHeight="1" x14ac:dyDescent="0.35">
      <c r="A735" s="208" t="str">
        <f>RIGHT($C$83,3)&amp;"*"&amp;RIGHT($C$82,4)&amp;"*"&amp;D$55&amp;"*"&amp;"A"</f>
        <v>104*2020*6030*A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5" customHeight="1" x14ac:dyDescent="0.35">
      <c r="A736" s="208" t="str">
        <f>RIGHT($C$83,3)&amp;"*"&amp;RIGHT($C$82,4)&amp;"*"&amp;E$55&amp;"*"&amp;"A"</f>
        <v>104*2020*6070*A</v>
      </c>
      <c r="B736" s="273">
        <f>ROUND(E59,0)</f>
        <v>2441</v>
      </c>
      <c r="C736" s="275">
        <f>ROUND(E60,2)</f>
        <v>25.38</v>
      </c>
      <c r="D736" s="273">
        <f>ROUND(E61,0)</f>
        <v>2169826</v>
      </c>
      <c r="E736" s="273">
        <f>ROUND(E62,0)</f>
        <v>618148</v>
      </c>
      <c r="F736" s="273">
        <f>ROUND(E63,0)</f>
        <v>138874</v>
      </c>
      <c r="G736" s="273">
        <f>ROUND(E64,0)</f>
        <v>274150</v>
      </c>
      <c r="H736" s="273">
        <f>ROUND(E65,0)</f>
        <v>0</v>
      </c>
      <c r="I736" s="273">
        <f>ROUND(E66,0)</f>
        <v>50623</v>
      </c>
      <c r="J736" s="273">
        <f>ROUND(E67,0)</f>
        <v>247219</v>
      </c>
      <c r="K736" s="273">
        <f>ROUND(E68,0)</f>
        <v>19512</v>
      </c>
      <c r="L736" s="273">
        <f>ROUND(E69,0)</f>
        <v>1454</v>
      </c>
      <c r="M736" s="273">
        <f>ROUND(E70,0)</f>
        <v>0</v>
      </c>
      <c r="N736" s="273">
        <f>ROUND(E75,0)</f>
        <v>6298503</v>
      </c>
      <c r="O736" s="273">
        <f>ROUND(E73,0)</f>
        <v>4922264</v>
      </c>
      <c r="P736" s="273">
        <f>IF(E76&gt;0,ROUND(E76,0),0)</f>
        <v>11120</v>
      </c>
      <c r="Q736" s="273">
        <f>IF(E77&gt;0,ROUND(E77,0),0)</f>
        <v>8465</v>
      </c>
      <c r="R736" s="273">
        <f>IF(E78&gt;0,ROUND(E78,0),0)</f>
        <v>4017</v>
      </c>
      <c r="S736" s="273">
        <f>IF(E79&gt;0,ROUND(E79,0),0)</f>
        <v>54075</v>
      </c>
      <c r="T736" s="275">
        <f>IF(E80&gt;0,ROUND(E80,2),0)</f>
        <v>21.24</v>
      </c>
      <c r="U736" s="273"/>
      <c r="V736" s="274"/>
      <c r="W736" s="273"/>
      <c r="X736" s="273"/>
      <c r="Y736" s="273">
        <f t="shared" si="21"/>
        <v>2122124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5" customHeight="1" x14ac:dyDescent="0.35">
      <c r="A737" s="208" t="str">
        <f>RIGHT($C$83,3)&amp;"*"&amp;RIGHT($C$82,4)&amp;"*"&amp;F$55&amp;"*"&amp;"A"</f>
        <v>104*2020*6100*A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5" customHeight="1" x14ac:dyDescent="0.35">
      <c r="A738" s="208" t="str">
        <f>RIGHT($C$83,3)&amp;"*"&amp;RIGHT($C$82,4)&amp;"*"&amp;G$55&amp;"*"&amp;"A"</f>
        <v>104*2020*6120*A</v>
      </c>
      <c r="B738" s="273">
        <f>ROUND(G59,0)</f>
        <v>4696</v>
      </c>
      <c r="C738" s="275">
        <f>ROUND(G60,2)</f>
        <v>1.5</v>
      </c>
      <c r="D738" s="273">
        <f>ROUND(G61,0)</f>
        <v>185447</v>
      </c>
      <c r="E738" s="273">
        <f>ROUND(G62,0)</f>
        <v>52831</v>
      </c>
      <c r="F738" s="273">
        <f>ROUND(G63,0)</f>
        <v>0</v>
      </c>
      <c r="G738" s="273">
        <f>ROUND(G64,0)</f>
        <v>238</v>
      </c>
      <c r="H738" s="273">
        <f>ROUND(G65,0)</f>
        <v>0</v>
      </c>
      <c r="I738" s="273">
        <f>ROUND(G66,0)</f>
        <v>3074</v>
      </c>
      <c r="J738" s="273">
        <f>ROUND(G67,0)</f>
        <v>0</v>
      </c>
      <c r="K738" s="273">
        <f>ROUND(G68,0)</f>
        <v>0</v>
      </c>
      <c r="L738" s="273">
        <f>ROUND(G69,0)</f>
        <v>0</v>
      </c>
      <c r="M738" s="273">
        <f>ROUND(G70,0)</f>
        <v>0</v>
      </c>
      <c r="N738" s="273">
        <f>ROUND(G75,0)</f>
        <v>880326</v>
      </c>
      <c r="O738" s="273">
        <f>ROUND(G73,0)</f>
        <v>23211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110089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5" customHeight="1" x14ac:dyDescent="0.35">
      <c r="A739" s="208" t="str">
        <f>RIGHT($C$83,3)&amp;"*"&amp;RIGHT($C$82,4)&amp;"*"&amp;H$55&amp;"*"&amp;"A"</f>
        <v>104*2020*6140*A</v>
      </c>
      <c r="B739" s="273">
        <f>ROUND(H59,0)</f>
        <v>0</v>
      </c>
      <c r="C739" s="275">
        <f>ROUND(H60,2)</f>
        <v>0</v>
      </c>
      <c r="D739" s="273">
        <f>ROUND(H61,0)</f>
        <v>0</v>
      </c>
      <c r="E739" s="273">
        <f>ROUND(H62,0)</f>
        <v>0</v>
      </c>
      <c r="F739" s="273">
        <f>ROUND(H63,0)</f>
        <v>0</v>
      </c>
      <c r="G739" s="273">
        <f>ROUND(H64,0)</f>
        <v>0</v>
      </c>
      <c r="H739" s="273">
        <f>ROUND(H65,0)</f>
        <v>0</v>
      </c>
      <c r="I739" s="273">
        <f>ROUND(H66,0)</f>
        <v>0</v>
      </c>
      <c r="J739" s="273">
        <f>ROUND(H67,0)</f>
        <v>0</v>
      </c>
      <c r="K739" s="273">
        <f>ROUND(H68,0)</f>
        <v>0</v>
      </c>
      <c r="L739" s="273">
        <f>ROUND(H69,0)</f>
        <v>0</v>
      </c>
      <c r="M739" s="273">
        <f>ROUND(H70,0)</f>
        <v>0</v>
      </c>
      <c r="N739" s="273">
        <f>ROUND(H75,0)</f>
        <v>0</v>
      </c>
      <c r="O739" s="273">
        <f>ROUND(H73,0)</f>
        <v>0</v>
      </c>
      <c r="P739" s="273">
        <f>IF(H76&gt;0,ROUND(H76,0),0)</f>
        <v>0</v>
      </c>
      <c r="Q739" s="273">
        <f>IF(H77&gt;0,ROUND(H77,0),0)</f>
        <v>0</v>
      </c>
      <c r="R739" s="273">
        <f>IF(H78&gt;0,ROUND(H78,0),0)</f>
        <v>0</v>
      </c>
      <c r="S739" s="273">
        <f>IF(H79&gt;0,ROUND(H79,0),0)</f>
        <v>0</v>
      </c>
      <c r="T739" s="275">
        <f>IF(H80&gt;0,ROUND(H80,2),0)</f>
        <v>0</v>
      </c>
      <c r="U739" s="273"/>
      <c r="V739" s="274"/>
      <c r="W739" s="273"/>
      <c r="X739" s="273"/>
      <c r="Y739" s="273">
        <f t="shared" si="21"/>
        <v>0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5" customHeight="1" x14ac:dyDescent="0.35">
      <c r="A740" s="208" t="str">
        <f>RIGHT($C$83,3)&amp;"*"&amp;RIGHT($C$82,4)&amp;"*"&amp;I$55&amp;"*"&amp;"A"</f>
        <v>104*2020*6150*A</v>
      </c>
      <c r="B740" s="273">
        <f>ROUND(I59,0)</f>
        <v>4428</v>
      </c>
      <c r="C740" s="275">
        <f>ROUND(I60,2)</f>
        <v>29.7</v>
      </c>
      <c r="D740" s="273">
        <f>ROUND(I61,0)</f>
        <v>2305001</v>
      </c>
      <c r="E740" s="273">
        <f>ROUND(I62,0)</f>
        <v>656657</v>
      </c>
      <c r="F740" s="273">
        <f>ROUND(I63,0)</f>
        <v>0</v>
      </c>
      <c r="G740" s="273">
        <f>ROUND(I64,0)</f>
        <v>112228</v>
      </c>
      <c r="H740" s="273">
        <f>ROUND(I65,0)</f>
        <v>51156</v>
      </c>
      <c r="I740" s="273">
        <f>ROUND(I66,0)</f>
        <v>19965</v>
      </c>
      <c r="J740" s="273">
        <f>ROUND(I67,0)</f>
        <v>973</v>
      </c>
      <c r="K740" s="273">
        <f>ROUND(I68,0)</f>
        <v>447654</v>
      </c>
      <c r="L740" s="273">
        <f>ROUND(I69,0)</f>
        <v>24706</v>
      </c>
      <c r="M740" s="273">
        <f>ROUND(I70,0)</f>
        <v>0</v>
      </c>
      <c r="N740" s="273">
        <f>ROUND(I75,0)</f>
        <v>4824164</v>
      </c>
      <c r="O740" s="273">
        <f>ROUND(I73,0)</f>
        <v>4337568</v>
      </c>
      <c r="P740" s="273">
        <f>IF(I76&gt;0,ROUND(I76,0),0)</f>
        <v>0</v>
      </c>
      <c r="Q740" s="273">
        <f>IF(I77&gt;0,ROUND(I77,0),0)</f>
        <v>13284</v>
      </c>
      <c r="R740" s="273">
        <f>IF(I78&gt;0,ROUND(I78,0),0)</f>
        <v>6789</v>
      </c>
      <c r="S740" s="273">
        <f>IF(I79&gt;0,ROUND(I79,0),0)</f>
        <v>5443</v>
      </c>
      <c r="T740" s="275">
        <f>IF(I80&gt;0,ROUND(I80,2),0)</f>
        <v>11.9</v>
      </c>
      <c r="U740" s="273"/>
      <c r="V740" s="274"/>
      <c r="W740" s="273"/>
      <c r="X740" s="273"/>
      <c r="Y740" s="273">
        <f t="shared" si="21"/>
        <v>1657382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5" customHeight="1" x14ac:dyDescent="0.35">
      <c r="A741" s="208" t="str">
        <f>RIGHT($C$83,3)&amp;"*"&amp;RIGHT($C$82,4)&amp;"*"&amp;J$55&amp;"*"&amp;"A"</f>
        <v>104*2020*6170*A</v>
      </c>
      <c r="B741" s="273">
        <f>ROUND(J59,0)</f>
        <v>0</v>
      </c>
      <c r="C741" s="275">
        <f>ROUND(J60,2)</f>
        <v>0</v>
      </c>
      <c r="D741" s="273">
        <f>ROUND(J61,0)</f>
        <v>0</v>
      </c>
      <c r="E741" s="273">
        <f>ROUND(J62,0)</f>
        <v>0</v>
      </c>
      <c r="F741" s="273">
        <f>ROUND(J63,0)</f>
        <v>0</v>
      </c>
      <c r="G741" s="273">
        <f>ROUND(J64,0)</f>
        <v>0</v>
      </c>
      <c r="H741" s="273">
        <f>ROUND(J65,0)</f>
        <v>0</v>
      </c>
      <c r="I741" s="273">
        <f>ROUND(J66,0)</f>
        <v>0</v>
      </c>
      <c r="J741" s="273">
        <f>ROUND(J67,0)</f>
        <v>0</v>
      </c>
      <c r="K741" s="273">
        <f>ROUND(J68,0)</f>
        <v>0</v>
      </c>
      <c r="L741" s="273">
        <f>ROUND(J69,0)</f>
        <v>0</v>
      </c>
      <c r="M741" s="273">
        <f>ROUND(J70,0)</f>
        <v>0</v>
      </c>
      <c r="N741" s="273">
        <f>ROUND(J75,0)</f>
        <v>0</v>
      </c>
      <c r="O741" s="273">
        <f>ROUND(J73,0)</f>
        <v>0</v>
      </c>
      <c r="P741" s="273">
        <f>IF(J76&gt;0,ROUND(J76,0),0)</f>
        <v>0</v>
      </c>
      <c r="Q741" s="273">
        <f>IF(J77&gt;0,ROUND(J77,0),0)</f>
        <v>0</v>
      </c>
      <c r="R741" s="273">
        <f>IF(J78&gt;0,ROUND(J78,0),0)</f>
        <v>0</v>
      </c>
      <c r="S741" s="273">
        <f>IF(J79&gt;0,ROUND(J79,0),0)</f>
        <v>0</v>
      </c>
      <c r="T741" s="275">
        <f>IF(J80&gt;0,ROUND(J80,2),0)</f>
        <v>0</v>
      </c>
      <c r="U741" s="273"/>
      <c r="V741" s="274"/>
      <c r="W741" s="273"/>
      <c r="X741" s="273"/>
      <c r="Y741" s="273">
        <f t="shared" si="21"/>
        <v>0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5" customHeight="1" x14ac:dyDescent="0.35">
      <c r="A742" s="208" t="str">
        <f>RIGHT($C$83,3)&amp;"*"&amp;RIGHT($C$82,4)&amp;"*"&amp;K$55&amp;"*"&amp;"A"</f>
        <v>104*2020*6200*A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5" customHeight="1" x14ac:dyDescent="0.35">
      <c r="A743" s="208" t="str">
        <f>RIGHT($C$83,3)&amp;"*"&amp;RIGHT($C$82,4)&amp;"*"&amp;L$55&amp;"*"&amp;"A"</f>
        <v>104*2020*6210*A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5" customHeight="1" x14ac:dyDescent="0.35">
      <c r="A744" s="208" t="str">
        <f>RIGHT($C$83,3)&amp;"*"&amp;RIGHT($C$82,4)&amp;"*"&amp;M$55&amp;"*"&amp;"A"</f>
        <v>104*2020*6330*A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5" customHeight="1" x14ac:dyDescent="0.35">
      <c r="A745" s="208" t="str">
        <f>RIGHT($C$83,3)&amp;"*"&amp;RIGHT($C$82,4)&amp;"*"&amp;N$55&amp;"*"&amp;"A"</f>
        <v>104*2020*6400*A</v>
      </c>
      <c r="B745" s="273">
        <f>ROUND(N59,0)</f>
        <v>0</v>
      </c>
      <c r="C745" s="275">
        <f>ROUND(N60,2)</f>
        <v>5.57</v>
      </c>
      <c r="D745" s="273">
        <f>ROUND(N61,0)</f>
        <v>1526789</v>
      </c>
      <c r="E745" s="273">
        <f>ROUND(N62,0)</f>
        <v>434957</v>
      </c>
      <c r="F745" s="273">
        <f>ROUND(N63,0)</f>
        <v>0</v>
      </c>
      <c r="G745" s="273">
        <f>ROUND(N64,0)</f>
        <v>207</v>
      </c>
      <c r="H745" s="273">
        <f>ROUND(N65,0)</f>
        <v>0</v>
      </c>
      <c r="I745" s="273">
        <f>ROUND(N66,0)</f>
        <v>51</v>
      </c>
      <c r="J745" s="273">
        <f>ROUND(N67,0)</f>
        <v>0</v>
      </c>
      <c r="K745" s="273">
        <f>ROUND(N68,0)</f>
        <v>0</v>
      </c>
      <c r="L745" s="273">
        <f>ROUND(N69,0)</f>
        <v>10648</v>
      </c>
      <c r="M745" s="273">
        <f>ROUND(N70,0)</f>
        <v>0</v>
      </c>
      <c r="N745" s="273">
        <f>ROUND(N75,0)</f>
        <v>1133497</v>
      </c>
      <c r="O745" s="273">
        <f>ROUND(N73,0)</f>
        <v>1402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393773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5" customHeight="1" x14ac:dyDescent="0.35">
      <c r="A746" s="208" t="str">
        <f>RIGHT($C$83,3)&amp;"*"&amp;RIGHT($C$82,4)&amp;"*"&amp;O$55&amp;"*"&amp;"A"</f>
        <v>104*2020*7010*A</v>
      </c>
      <c r="B746" s="273">
        <f>ROUND(O59,0)</f>
        <v>0</v>
      </c>
      <c r="C746" s="275">
        <f>ROUND(O60,2)</f>
        <v>0</v>
      </c>
      <c r="D746" s="273">
        <f>ROUND(O61,0)</f>
        <v>0</v>
      </c>
      <c r="E746" s="273">
        <f>ROUND(O62,0)</f>
        <v>0</v>
      </c>
      <c r="F746" s="273">
        <f>ROUND(O63,0)</f>
        <v>0</v>
      </c>
      <c r="G746" s="273">
        <f>ROUND(O64,0)</f>
        <v>0</v>
      </c>
      <c r="H746" s="273">
        <f>ROUND(O65,0)</f>
        <v>0</v>
      </c>
      <c r="I746" s="273">
        <f>ROUND(O66,0)</f>
        <v>0</v>
      </c>
      <c r="J746" s="273">
        <f>ROUND(O67,0)</f>
        <v>121068</v>
      </c>
      <c r="K746" s="273">
        <f>ROUND(O68,0)</f>
        <v>0</v>
      </c>
      <c r="L746" s="273">
        <f>ROUND(O69,0)</f>
        <v>0</v>
      </c>
      <c r="M746" s="273">
        <f>ROUND(O70,0)</f>
        <v>0</v>
      </c>
      <c r="N746" s="273">
        <f>ROUND(O75,0)</f>
        <v>0</v>
      </c>
      <c r="O746" s="273">
        <f>ROUND(O73,0)</f>
        <v>0</v>
      </c>
      <c r="P746" s="273">
        <f>IF(O76&gt;0,ROUND(O76,0),0)</f>
        <v>6045</v>
      </c>
      <c r="Q746" s="273">
        <f>IF(O77&gt;0,ROUND(O77,0),0)</f>
        <v>0</v>
      </c>
      <c r="R746" s="273">
        <f>IF(O78&gt;0,ROUND(O78,0),0)</f>
        <v>0</v>
      </c>
      <c r="S746" s="273">
        <f>IF(O79&gt;0,ROUND(O79,0),0)</f>
        <v>0</v>
      </c>
      <c r="T746" s="275">
        <f>IF(O80&gt;0,ROUND(O80,2),0)</f>
        <v>0</v>
      </c>
      <c r="U746" s="273"/>
      <c r="V746" s="274"/>
      <c r="W746" s="273"/>
      <c r="X746" s="273"/>
      <c r="Y746" s="273">
        <f t="shared" si="21"/>
        <v>229630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5" customHeight="1" x14ac:dyDescent="0.35">
      <c r="A747" s="208" t="str">
        <f>RIGHT($C$83,3)&amp;"*"&amp;RIGHT($C$82,4)&amp;"*"&amp;P$55&amp;"*"&amp;"A"</f>
        <v>104*2020*7020*A</v>
      </c>
      <c r="B747" s="273">
        <f>ROUND(P59,0)</f>
        <v>91268</v>
      </c>
      <c r="C747" s="275">
        <f>ROUND(P60,2)</f>
        <v>12.66</v>
      </c>
      <c r="D747" s="273">
        <f>ROUND(P61,0)</f>
        <v>1071007</v>
      </c>
      <c r="E747" s="273">
        <f>ROUND(P62,0)</f>
        <v>305112</v>
      </c>
      <c r="F747" s="273">
        <f>ROUND(P63,0)</f>
        <v>0</v>
      </c>
      <c r="G747" s="273">
        <f>ROUND(P64,0)</f>
        <v>2331258</v>
      </c>
      <c r="H747" s="273">
        <f>ROUND(P65,0)</f>
        <v>0</v>
      </c>
      <c r="I747" s="273">
        <f>ROUND(P66,0)</f>
        <v>59098</v>
      </c>
      <c r="J747" s="273">
        <f>ROUND(P67,0)</f>
        <v>113079</v>
      </c>
      <c r="K747" s="273">
        <f>ROUND(P68,0)</f>
        <v>954</v>
      </c>
      <c r="L747" s="273">
        <f>ROUND(P69,0)</f>
        <v>82</v>
      </c>
      <c r="M747" s="273">
        <f>ROUND(P70,0)</f>
        <v>0</v>
      </c>
      <c r="N747" s="273">
        <f>ROUND(P75,0)</f>
        <v>20045939</v>
      </c>
      <c r="O747" s="273">
        <f>ROUND(P73,0)</f>
        <v>7199736</v>
      </c>
      <c r="P747" s="273">
        <f>IF(P76&gt;0,ROUND(P76,0),0)</f>
        <v>5422</v>
      </c>
      <c r="Q747" s="273">
        <f>IF(P77&gt;0,ROUND(P77,0),0)</f>
        <v>0</v>
      </c>
      <c r="R747" s="273">
        <f>IF(P78&gt;0,ROUND(P78,0),0)</f>
        <v>2360</v>
      </c>
      <c r="S747" s="273">
        <f>IF(P79&gt;0,ROUND(P79,0),0)</f>
        <v>37228</v>
      </c>
      <c r="T747" s="275">
        <f>IF(P80&gt;0,ROUND(P80,2),0)</f>
        <v>3.11</v>
      </c>
      <c r="U747" s="273"/>
      <c r="V747" s="274"/>
      <c r="W747" s="273"/>
      <c r="X747" s="273"/>
      <c r="Y747" s="273">
        <f t="shared" si="21"/>
        <v>2703357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5" customHeight="1" x14ac:dyDescent="0.35">
      <c r="A748" s="208" t="str">
        <f>RIGHT($C$83,3)&amp;"*"&amp;RIGHT($C$82,4)&amp;"*"&amp;Q$55&amp;"*"&amp;"A"</f>
        <v>104*2020*7030*A</v>
      </c>
      <c r="B748" s="273">
        <f>ROUND(Q59,0)</f>
        <v>0</v>
      </c>
      <c r="C748" s="275">
        <f>ROUND(Q60,2)</f>
        <v>3.09</v>
      </c>
      <c r="D748" s="273">
        <f>ROUND(Q61,0)</f>
        <v>334593</v>
      </c>
      <c r="E748" s="273">
        <f>ROUND(Q62,0)</f>
        <v>95320</v>
      </c>
      <c r="F748" s="273">
        <f>ROUND(Q63,0)</f>
        <v>0</v>
      </c>
      <c r="G748" s="273">
        <f>ROUND(Q64,0)</f>
        <v>5339</v>
      </c>
      <c r="H748" s="273">
        <f>ROUND(Q65,0)</f>
        <v>0</v>
      </c>
      <c r="I748" s="273">
        <f>ROUND(Q66,0)</f>
        <v>-7503</v>
      </c>
      <c r="J748" s="273">
        <f>ROUND(Q67,0)</f>
        <v>12017</v>
      </c>
      <c r="K748" s="273">
        <f>ROUND(Q68,0)</f>
        <v>0</v>
      </c>
      <c r="L748" s="273">
        <f>ROUND(Q69,0)</f>
        <v>0</v>
      </c>
      <c r="M748" s="273">
        <f>ROUND(Q70,0)</f>
        <v>0</v>
      </c>
      <c r="N748" s="273">
        <f>ROUND(Q75,0)</f>
        <v>1915528</v>
      </c>
      <c r="O748" s="273">
        <f>ROUND(Q73,0)</f>
        <v>608578</v>
      </c>
      <c r="P748" s="273">
        <f>IF(Q76&gt;0,ROUND(Q76,0),0)</f>
        <v>600</v>
      </c>
      <c r="Q748" s="273">
        <f>IF(Q77&gt;0,ROUND(Q77,0),0)</f>
        <v>0</v>
      </c>
      <c r="R748" s="273">
        <f>IF(Q78&gt;0,ROUND(Q78,0),0)</f>
        <v>262</v>
      </c>
      <c r="S748" s="273">
        <f>IF(Q79&gt;0,ROUND(Q79,0),0)</f>
        <v>0</v>
      </c>
      <c r="T748" s="275">
        <f>IF(Q80&gt;0,ROUND(Q80,2),0)</f>
        <v>2.31</v>
      </c>
      <c r="U748" s="273"/>
      <c r="V748" s="274"/>
      <c r="W748" s="273"/>
      <c r="X748" s="273"/>
      <c r="Y748" s="273">
        <f t="shared" si="21"/>
        <v>280754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5" customHeight="1" x14ac:dyDescent="0.35">
      <c r="A749" s="208" t="str">
        <f>RIGHT($C$83,3)&amp;"*"&amp;RIGHT($C$82,4)&amp;"*"&amp;R$55&amp;"*"&amp;"A"</f>
        <v>104*2020*7040*A</v>
      </c>
      <c r="B749" s="273">
        <f>ROUND(R59,0)</f>
        <v>0</v>
      </c>
      <c r="C749" s="275">
        <f>ROUND(R60,2)</f>
        <v>0</v>
      </c>
      <c r="D749" s="273">
        <f>ROUND(R61,0)</f>
        <v>0</v>
      </c>
      <c r="E749" s="273">
        <f>ROUND(R62,0)</f>
        <v>0</v>
      </c>
      <c r="F749" s="273">
        <f>ROUND(R63,0)</f>
        <v>0</v>
      </c>
      <c r="G749" s="273">
        <f>ROUND(R64,0)</f>
        <v>42517</v>
      </c>
      <c r="H749" s="273">
        <f>ROUND(R65,0)</f>
        <v>0</v>
      </c>
      <c r="I749" s="273">
        <f>ROUND(R66,0)</f>
        <v>472982</v>
      </c>
      <c r="J749" s="273">
        <f>ROUND(R67,0)</f>
        <v>3645</v>
      </c>
      <c r="K749" s="273">
        <f>ROUND(R68,0)</f>
        <v>0</v>
      </c>
      <c r="L749" s="273">
        <f>ROUND(R69,0)</f>
        <v>0</v>
      </c>
      <c r="M749" s="273">
        <f>ROUND(R70,0)</f>
        <v>0</v>
      </c>
      <c r="N749" s="273">
        <f>ROUND(R75,0)</f>
        <v>1909403</v>
      </c>
      <c r="O749" s="273">
        <f>ROUND(R73,0)</f>
        <v>604630</v>
      </c>
      <c r="P749" s="273">
        <f>IF(R76&gt;0,ROUND(R76,0),0)</f>
        <v>182</v>
      </c>
      <c r="Q749" s="273">
        <f>IF(R77&gt;0,ROUND(R77,0),0)</f>
        <v>0</v>
      </c>
      <c r="R749" s="273">
        <f>IF(R78&gt;0,ROUND(R78,0),0)</f>
        <v>79</v>
      </c>
      <c r="S749" s="273">
        <f>IF(R79&gt;0,ROUND(R79,0),0)</f>
        <v>0</v>
      </c>
      <c r="T749" s="275">
        <f>IF(R80&gt;0,ROUND(R80,2),0)</f>
        <v>0</v>
      </c>
      <c r="U749" s="273"/>
      <c r="V749" s="274"/>
      <c r="W749" s="273"/>
      <c r="X749" s="273"/>
      <c r="Y749" s="273">
        <f t="shared" si="21"/>
        <v>218842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5" customHeight="1" x14ac:dyDescent="0.35">
      <c r="A750" s="208" t="str">
        <f>RIGHT($C$83,3)&amp;"*"&amp;RIGHT($C$82,4)&amp;"*"&amp;S$55&amp;"*"&amp;"A"</f>
        <v>104*2020*7050*A</v>
      </c>
      <c r="B750" s="273"/>
      <c r="C750" s="275">
        <f>ROUND(S60,2)</f>
        <v>1.84</v>
      </c>
      <c r="D750" s="273">
        <f>ROUND(S61,0)</f>
        <v>105222</v>
      </c>
      <c r="E750" s="273">
        <f>ROUND(S62,0)</f>
        <v>29976</v>
      </c>
      <c r="F750" s="273">
        <f>ROUND(S63,0)</f>
        <v>0</v>
      </c>
      <c r="G750" s="273">
        <f>ROUND(S64,0)</f>
        <v>196027</v>
      </c>
      <c r="H750" s="273">
        <f>ROUND(S65,0)</f>
        <v>0</v>
      </c>
      <c r="I750" s="273">
        <f>ROUND(S66,0)</f>
        <v>-30</v>
      </c>
      <c r="J750" s="273">
        <f>ROUND(S67,0)</f>
        <v>0</v>
      </c>
      <c r="K750" s="273">
        <f>ROUND(S68,0)</f>
        <v>0</v>
      </c>
      <c r="L750" s="273">
        <f>ROUND(S69,0)</f>
        <v>0</v>
      </c>
      <c r="M750" s="273">
        <f>ROUND(S70,0)</f>
        <v>0</v>
      </c>
      <c r="N750" s="273">
        <f>ROUND(S75,0)</f>
        <v>0</v>
      </c>
      <c r="O750" s="273">
        <f>ROUND(S73,0)</f>
        <v>0</v>
      </c>
      <c r="P750" s="273">
        <f>IF(S76&gt;0,ROUND(S76,0),0)</f>
        <v>0</v>
      </c>
      <c r="Q750" s="273">
        <f>IF(S77&gt;0,ROUND(S77,0),0)</f>
        <v>0</v>
      </c>
      <c r="R750" s="273">
        <f>IF(S78&gt;0,ROUND(S78,0),0)</f>
        <v>0</v>
      </c>
      <c r="S750" s="273">
        <f>IF(S79&gt;0,ROUND(S79,0),0)</f>
        <v>0</v>
      </c>
      <c r="T750" s="275">
        <f>IF(S80&gt;0,ROUND(S80,2),0)</f>
        <v>0</v>
      </c>
      <c r="U750" s="273"/>
      <c r="V750" s="274"/>
      <c r="W750" s="273"/>
      <c r="X750" s="273"/>
      <c r="Y750" s="273">
        <f t="shared" si="21"/>
        <v>76360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5" customHeight="1" x14ac:dyDescent="0.35">
      <c r="A751" s="208" t="str">
        <f>RIGHT($C$83,3)&amp;"*"&amp;RIGHT($C$82,4)&amp;"*"&amp;T$55&amp;"*"&amp;"A"</f>
        <v>104*2020*7060*A</v>
      </c>
      <c r="B751" s="273"/>
      <c r="C751" s="275">
        <f>ROUND(T60,2)</f>
        <v>0</v>
      </c>
      <c r="D751" s="273">
        <f>ROUND(T61,0)</f>
        <v>0</v>
      </c>
      <c r="E751" s="273">
        <f>ROUND(T62,0)</f>
        <v>0</v>
      </c>
      <c r="F751" s="273">
        <f>ROUND(T63,0)</f>
        <v>0</v>
      </c>
      <c r="G751" s="273">
        <f>ROUND(T64,0)</f>
        <v>0</v>
      </c>
      <c r="H751" s="273">
        <f>ROUND(T65,0)</f>
        <v>0</v>
      </c>
      <c r="I751" s="273">
        <f>ROUND(T66,0)</f>
        <v>0</v>
      </c>
      <c r="J751" s="273">
        <f>ROUND(T67,0)</f>
        <v>0</v>
      </c>
      <c r="K751" s="273">
        <f>ROUND(T68,0)</f>
        <v>0</v>
      </c>
      <c r="L751" s="273">
        <f>ROUND(T69,0)</f>
        <v>0</v>
      </c>
      <c r="M751" s="273">
        <f>ROUND(T70,0)</f>
        <v>0</v>
      </c>
      <c r="N751" s="273">
        <f>ROUND(T75,0)</f>
        <v>0</v>
      </c>
      <c r="O751" s="273">
        <f>ROUND(T73,0)</f>
        <v>0</v>
      </c>
      <c r="P751" s="273">
        <f>IF(T76&gt;0,ROUND(T76,0),0)</f>
        <v>0</v>
      </c>
      <c r="Q751" s="273">
        <f>IF(T77&gt;0,ROUND(T77,0),0)</f>
        <v>0</v>
      </c>
      <c r="R751" s="273">
        <f>IF(T78&gt;0,ROUND(T78,0),0)</f>
        <v>0</v>
      </c>
      <c r="S751" s="273">
        <f>IF(T79&gt;0,ROUND(T79,0),0)</f>
        <v>0</v>
      </c>
      <c r="T751" s="275">
        <f>IF(T80&gt;0,ROUND(T80,2),0)</f>
        <v>0</v>
      </c>
      <c r="U751" s="273"/>
      <c r="V751" s="274"/>
      <c r="W751" s="273"/>
      <c r="X751" s="273"/>
      <c r="Y751" s="273">
        <f t="shared" si="21"/>
        <v>0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5" customHeight="1" x14ac:dyDescent="0.35">
      <c r="A752" s="208" t="str">
        <f>RIGHT($C$83,3)&amp;"*"&amp;RIGHT($C$82,4)&amp;"*"&amp;U$55&amp;"*"&amp;"A"</f>
        <v>104*2020*7070*A</v>
      </c>
      <c r="B752" s="273">
        <f>ROUND(U59,0)</f>
        <v>114209</v>
      </c>
      <c r="C752" s="275">
        <f>ROUND(U60,2)</f>
        <v>12.53</v>
      </c>
      <c r="D752" s="273">
        <f>ROUND(U61,0)</f>
        <v>1060732</v>
      </c>
      <c r="E752" s="273">
        <f>ROUND(U62,0)</f>
        <v>302185</v>
      </c>
      <c r="F752" s="273">
        <f>ROUND(U63,0)</f>
        <v>0</v>
      </c>
      <c r="G752" s="273">
        <f>ROUND(U64,0)</f>
        <v>724593</v>
      </c>
      <c r="H752" s="273">
        <f>ROUND(U65,0)</f>
        <v>0</v>
      </c>
      <c r="I752" s="273">
        <f>ROUND(U66,0)</f>
        <v>787136</v>
      </c>
      <c r="J752" s="273">
        <f>ROUND(U67,0)</f>
        <v>40079</v>
      </c>
      <c r="K752" s="273">
        <f>ROUND(U68,0)</f>
        <v>32765</v>
      </c>
      <c r="L752" s="273">
        <f>ROUND(U69,0)</f>
        <v>5942</v>
      </c>
      <c r="M752" s="273">
        <f>ROUND(U70,0)</f>
        <v>0</v>
      </c>
      <c r="N752" s="273">
        <f>ROUND(U75,0)</f>
        <v>10400069</v>
      </c>
      <c r="O752" s="273">
        <f>ROUND(U73,0)</f>
        <v>2328263</v>
      </c>
      <c r="P752" s="273">
        <f>IF(U76&gt;0,ROUND(U76,0),0)</f>
        <v>1280</v>
      </c>
      <c r="Q752" s="273">
        <f>IF(U77&gt;0,ROUND(U77,0),0)</f>
        <v>0</v>
      </c>
      <c r="R752" s="273">
        <f>IF(U78&gt;0,ROUND(U78,0),0)</f>
        <v>558</v>
      </c>
      <c r="S752" s="273">
        <f>IF(U79&gt;0,ROUND(U79,0),0)</f>
        <v>0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1393518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5" customHeight="1" x14ac:dyDescent="0.35">
      <c r="A753" s="208" t="str">
        <f>RIGHT($C$83,3)&amp;"*"&amp;RIGHT($C$82,4)&amp;"*"&amp;V$55&amp;"*"&amp;"A"</f>
        <v>104*2020*7110*A</v>
      </c>
      <c r="B753" s="273">
        <f>ROUND(V59,0)</f>
        <v>3935</v>
      </c>
      <c r="C753" s="275">
        <f>ROUND(V60,2)</f>
        <v>0</v>
      </c>
      <c r="D753" s="273">
        <f>ROUND(V61,0)</f>
        <v>0</v>
      </c>
      <c r="E753" s="273">
        <f>ROUND(V62,0)</f>
        <v>0</v>
      </c>
      <c r="F753" s="273">
        <f>ROUND(V63,0)</f>
        <v>0</v>
      </c>
      <c r="G753" s="273">
        <f>ROUND(V64,0)</f>
        <v>0</v>
      </c>
      <c r="H753" s="273">
        <f>ROUND(V65,0)</f>
        <v>0</v>
      </c>
      <c r="I753" s="273">
        <f>ROUND(V66,0)</f>
        <v>0</v>
      </c>
      <c r="J753" s="273">
        <f>ROUND(V67,0)</f>
        <v>0</v>
      </c>
      <c r="K753" s="273">
        <f>ROUND(V68,0)</f>
        <v>0</v>
      </c>
      <c r="L753" s="273">
        <f>ROUND(V69,0)</f>
        <v>0</v>
      </c>
      <c r="M753" s="273">
        <f>ROUND(V70,0)</f>
        <v>0</v>
      </c>
      <c r="N753" s="273">
        <f>ROUND(V75,0)</f>
        <v>1194112</v>
      </c>
      <c r="O753" s="273">
        <f>ROUND(V73,0)</f>
        <v>182295</v>
      </c>
      <c r="P753" s="273">
        <f>IF(V76&gt;0,ROUND(V76,0),0)</f>
        <v>0</v>
      </c>
      <c r="Q753" s="273">
        <f>IF(V77&gt;0,ROUND(V77,0),0)</f>
        <v>0</v>
      </c>
      <c r="R753" s="273">
        <f>IF(V78&gt;0,ROUND(V78,0),0)</f>
        <v>0</v>
      </c>
      <c r="S753" s="273">
        <f>IF(V79&gt;0,ROUND(V79,0),0)</f>
        <v>0</v>
      </c>
      <c r="T753" s="275">
        <f>IF(V80&gt;0,ROUND(V80,2),0)</f>
        <v>0</v>
      </c>
      <c r="U753" s="273"/>
      <c r="V753" s="274"/>
      <c r="W753" s="273"/>
      <c r="X753" s="273"/>
      <c r="Y753" s="273">
        <f t="shared" si="21"/>
        <v>85883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5" customHeight="1" x14ac:dyDescent="0.35">
      <c r="A754" s="208" t="str">
        <f>RIGHT($C$83,3)&amp;"*"&amp;RIGHT($C$82,4)&amp;"*"&amp;W$55&amp;"*"&amp;"A"</f>
        <v>104*2020*7120*A</v>
      </c>
      <c r="B754" s="273">
        <f>ROUND(W59,0)</f>
        <v>0</v>
      </c>
      <c r="C754" s="275">
        <f>ROUND(W60,2)</f>
        <v>2.19</v>
      </c>
      <c r="D754" s="273">
        <f>ROUND(W61,0)</f>
        <v>245101</v>
      </c>
      <c r="E754" s="273">
        <f>ROUND(W62,0)</f>
        <v>69825</v>
      </c>
      <c r="F754" s="273">
        <f>ROUND(W63,0)</f>
        <v>0</v>
      </c>
      <c r="G754" s="273">
        <f>ROUND(W64,0)</f>
        <v>20175</v>
      </c>
      <c r="H754" s="273">
        <f>ROUND(W65,0)</f>
        <v>0</v>
      </c>
      <c r="I754" s="273">
        <f>ROUND(W66,0)</f>
        <v>10171</v>
      </c>
      <c r="J754" s="273">
        <f>ROUND(W67,0)</f>
        <v>230246</v>
      </c>
      <c r="K754" s="273">
        <f>ROUND(W68,0)</f>
        <v>60569</v>
      </c>
      <c r="L754" s="273">
        <f>ROUND(W69,0)</f>
        <v>463</v>
      </c>
      <c r="M754" s="273">
        <f>ROUND(W70,0)</f>
        <v>0</v>
      </c>
      <c r="N754" s="273">
        <f>ROUND(W75,0)</f>
        <v>3806264</v>
      </c>
      <c r="O754" s="273">
        <f>ROUND(W73,0)</f>
        <v>224435</v>
      </c>
      <c r="P754" s="273">
        <f>IF(W76&gt;0,ROUND(W76,0),0)</f>
        <v>726</v>
      </c>
      <c r="Q754" s="273">
        <f>IF(W77&gt;0,ROUND(W77,0),0)</f>
        <v>0</v>
      </c>
      <c r="R754" s="273">
        <f>IF(W78&gt;0,ROUND(W78,0),0)</f>
        <v>209</v>
      </c>
      <c r="S754" s="273">
        <f>IF(W79&gt;0,ROUND(W79,0),0)</f>
        <v>0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419068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5" customHeight="1" x14ac:dyDescent="0.35">
      <c r="A755" s="208" t="str">
        <f>RIGHT($C$83,3)&amp;"*"&amp;RIGHT($C$82,4)&amp;"*"&amp;X$55&amp;"*"&amp;"A"</f>
        <v>104*2020*7130*A</v>
      </c>
      <c r="B755" s="273">
        <f>ROUND(X59,0)</f>
        <v>0</v>
      </c>
      <c r="C755" s="275">
        <f>ROUND(X60,2)</f>
        <v>7.73</v>
      </c>
      <c r="D755" s="273">
        <f>ROUND(X61,0)</f>
        <v>637824</v>
      </c>
      <c r="E755" s="273">
        <f>ROUND(X62,0)</f>
        <v>181706</v>
      </c>
      <c r="F755" s="273">
        <f>ROUND(X63,0)</f>
        <v>0</v>
      </c>
      <c r="G755" s="273">
        <f>ROUND(X64,0)</f>
        <v>4158</v>
      </c>
      <c r="H755" s="273">
        <f>ROUND(X65,0)</f>
        <v>0</v>
      </c>
      <c r="I755" s="273">
        <f>ROUND(X66,0)</f>
        <v>1716</v>
      </c>
      <c r="J755" s="273">
        <f>ROUND(X67,0)</f>
        <v>90551</v>
      </c>
      <c r="K755" s="273">
        <f>ROUND(X68,0)</f>
        <v>0</v>
      </c>
      <c r="L755" s="273">
        <f>ROUND(X69,0)</f>
        <v>275</v>
      </c>
      <c r="M755" s="273">
        <f>ROUND(X70,0)</f>
        <v>0</v>
      </c>
      <c r="N755" s="273">
        <f>ROUND(X75,0)</f>
        <v>14723196</v>
      </c>
      <c r="O755" s="273">
        <f>ROUND(X73,0)</f>
        <v>2204551</v>
      </c>
      <c r="P755" s="273">
        <f>IF(X76&gt;0,ROUND(X76,0),0)</f>
        <v>554</v>
      </c>
      <c r="Q755" s="273">
        <f>IF(X77&gt;0,ROUND(X77,0),0)</f>
        <v>0</v>
      </c>
      <c r="R755" s="273">
        <f>IF(X78&gt;0,ROUND(X78,0),0)</f>
        <v>175</v>
      </c>
      <c r="S755" s="273">
        <f>IF(X79&gt;0,ROUND(X79,0),0)</f>
        <v>0</v>
      </c>
      <c r="T755" s="275">
        <f>IF(X80&gt;0,ROUND(X80,2),0)</f>
        <v>0</v>
      </c>
      <c r="U755" s="273"/>
      <c r="V755" s="274"/>
      <c r="W755" s="273"/>
      <c r="X755" s="273"/>
      <c r="Y755" s="273">
        <f t="shared" si="21"/>
        <v>1288542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5" customHeight="1" x14ac:dyDescent="0.35">
      <c r="A756" s="208" t="str">
        <f>RIGHT($C$83,3)&amp;"*"&amp;RIGHT($C$82,4)&amp;"*"&amp;Y$55&amp;"*"&amp;"A"</f>
        <v>104*2020*7140*A</v>
      </c>
      <c r="B756" s="273">
        <f>ROUND(Y59,0)</f>
        <v>0</v>
      </c>
      <c r="C756" s="275">
        <f>ROUND(Y60,2)</f>
        <v>4.34</v>
      </c>
      <c r="D756" s="273">
        <f>ROUND(Y61,0)</f>
        <v>624532</v>
      </c>
      <c r="E756" s="273">
        <f>ROUND(Y62,0)</f>
        <v>177919</v>
      </c>
      <c r="F756" s="273">
        <f>ROUND(Y63,0)</f>
        <v>0</v>
      </c>
      <c r="G756" s="273">
        <f>ROUND(Y64,0)</f>
        <v>57648</v>
      </c>
      <c r="H756" s="273">
        <f>ROUND(Y65,0)</f>
        <v>0</v>
      </c>
      <c r="I756" s="273">
        <f>ROUND(Y66,0)</f>
        <v>218504</v>
      </c>
      <c r="J756" s="273">
        <f>ROUND(Y67,0)</f>
        <v>90885</v>
      </c>
      <c r="K756" s="273">
        <f>ROUND(Y68,0)</f>
        <v>109428</v>
      </c>
      <c r="L756" s="273">
        <f>ROUND(Y69,0)</f>
        <v>8222</v>
      </c>
      <c r="M756" s="273">
        <f>ROUND(Y70,0)</f>
        <v>0</v>
      </c>
      <c r="N756" s="273">
        <f>ROUND(Y75,0)</f>
        <v>6540828</v>
      </c>
      <c r="O756" s="273">
        <f>ROUND(Y73,0)</f>
        <v>924543</v>
      </c>
      <c r="P756" s="273">
        <f>IF(Y76&gt;0,ROUND(Y76,0),0)</f>
        <v>3578</v>
      </c>
      <c r="Q756" s="273">
        <f>IF(Y77&gt;0,ROUND(Y77,0),0)</f>
        <v>0</v>
      </c>
      <c r="R756" s="273">
        <f>IF(Y78&gt;0,ROUND(Y78,0),0)</f>
        <v>1109</v>
      </c>
      <c r="S756" s="273">
        <f>IF(Y79&gt;0,ROUND(Y79,0),0)</f>
        <v>0</v>
      </c>
      <c r="T756" s="275">
        <f>IF(Y80&gt;0,ROUND(Y80,2),0)</f>
        <v>0</v>
      </c>
      <c r="U756" s="273"/>
      <c r="V756" s="274"/>
      <c r="W756" s="273"/>
      <c r="X756" s="273"/>
      <c r="Y756" s="273">
        <f t="shared" si="21"/>
        <v>882880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5" customHeight="1" x14ac:dyDescent="0.35">
      <c r="A757" s="208" t="str">
        <f>RIGHT($C$83,3)&amp;"*"&amp;RIGHT($C$82,4)&amp;"*"&amp;Z$55&amp;"*"&amp;"A"</f>
        <v>104*2020*7150*A</v>
      </c>
      <c r="B757" s="273">
        <f>ROUND(Z59,0)</f>
        <v>0</v>
      </c>
      <c r="C757" s="275">
        <f>ROUND(Z60,2)</f>
        <v>0</v>
      </c>
      <c r="D757" s="273">
        <f>ROUND(Z61,0)</f>
        <v>0</v>
      </c>
      <c r="E757" s="273">
        <f>ROUND(Z62,0)</f>
        <v>0</v>
      </c>
      <c r="F757" s="273">
        <f>ROUND(Z63,0)</f>
        <v>0</v>
      </c>
      <c r="G757" s="273">
        <f>ROUND(Z64,0)</f>
        <v>0</v>
      </c>
      <c r="H757" s="273">
        <f>ROUND(Z65,0)</f>
        <v>0</v>
      </c>
      <c r="I757" s="273">
        <f>ROUND(Z66,0)</f>
        <v>0</v>
      </c>
      <c r="J757" s="273">
        <f>ROUND(Z67,0)</f>
        <v>0</v>
      </c>
      <c r="K757" s="273">
        <f>ROUND(Z68,0)</f>
        <v>0</v>
      </c>
      <c r="L757" s="273">
        <f>ROUND(Z69,0)</f>
        <v>0</v>
      </c>
      <c r="M757" s="273">
        <f>ROUND(Z70,0)</f>
        <v>0</v>
      </c>
      <c r="N757" s="273">
        <f>ROUND(Z75,0)</f>
        <v>0</v>
      </c>
      <c r="O757" s="273">
        <f>ROUND(Z73,0)</f>
        <v>0</v>
      </c>
      <c r="P757" s="273">
        <f>IF(Z76&gt;0,ROUND(Z76,0),0)</f>
        <v>0</v>
      </c>
      <c r="Q757" s="273">
        <f>IF(Z77&gt;0,ROUND(Z77,0),0)</f>
        <v>0</v>
      </c>
      <c r="R757" s="273">
        <f>IF(Z78&gt;0,ROUND(Z78,0),0)</f>
        <v>0</v>
      </c>
      <c r="S757" s="273">
        <f>IF(Z79&gt;0,ROUND(Z79,0),0)</f>
        <v>0</v>
      </c>
      <c r="T757" s="275">
        <f>IF(Z80&gt;0,ROUND(Z80,2),0)</f>
        <v>0</v>
      </c>
      <c r="U757" s="273"/>
      <c r="V757" s="274"/>
      <c r="W757" s="273"/>
      <c r="X757" s="273"/>
      <c r="Y757" s="273">
        <f t="shared" si="21"/>
        <v>0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5" customHeight="1" x14ac:dyDescent="0.35">
      <c r="A758" s="208" t="str">
        <f>RIGHT($C$83,3)&amp;"*"&amp;RIGHT($C$82,4)&amp;"*"&amp;AA$55&amp;"*"&amp;"A"</f>
        <v>104*2020*7160*A</v>
      </c>
      <c r="B758" s="273">
        <f>ROUND(AA59,0)</f>
        <v>0</v>
      </c>
      <c r="C758" s="275">
        <f>ROUND(AA60,2)</f>
        <v>2.35</v>
      </c>
      <c r="D758" s="273">
        <f>ROUND(AA61,0)</f>
        <v>0</v>
      </c>
      <c r="E758" s="273">
        <f>ROUND(AA62,0)</f>
        <v>0</v>
      </c>
      <c r="F758" s="273">
        <f>ROUND(AA63,0)</f>
        <v>3826</v>
      </c>
      <c r="G758" s="273">
        <f>ROUND(AA64,0)</f>
        <v>0</v>
      </c>
      <c r="H758" s="273">
        <f>ROUND(AA65,0)</f>
        <v>0</v>
      </c>
      <c r="I758" s="273">
        <f>ROUND(AA66,0)</f>
        <v>0</v>
      </c>
      <c r="J758" s="273">
        <f>ROUND(AA67,0)</f>
        <v>8552</v>
      </c>
      <c r="K758" s="273">
        <f>ROUND(AA68,0)</f>
        <v>0</v>
      </c>
      <c r="L758" s="273">
        <f>ROUND(AA69,0)</f>
        <v>8920</v>
      </c>
      <c r="M758" s="273">
        <f>ROUND(AA70,0)</f>
        <v>0</v>
      </c>
      <c r="N758" s="273">
        <f>ROUND(AA75,0)</f>
        <v>0</v>
      </c>
      <c r="O758" s="273">
        <f>ROUND(AA73,0)</f>
        <v>0</v>
      </c>
      <c r="P758" s="273">
        <f>IF(AA76&gt;0,ROUND(AA76,0),0)</f>
        <v>427</v>
      </c>
      <c r="Q758" s="273">
        <f>IF(AA77&gt;0,ROUND(AA77,0),0)</f>
        <v>0</v>
      </c>
      <c r="R758" s="273">
        <f>IF(AA78&gt;0,ROUND(AA78,0),0)</f>
        <v>186</v>
      </c>
      <c r="S758" s="273">
        <f>IF(AA79&gt;0,ROUND(AA79,0),0)</f>
        <v>0</v>
      </c>
      <c r="T758" s="275">
        <f>IF(AA80&gt;0,ROUND(AA80,2),0)</f>
        <v>0</v>
      </c>
      <c r="U758" s="273"/>
      <c r="V758" s="274"/>
      <c r="W758" s="273"/>
      <c r="X758" s="273"/>
      <c r="Y758" s="273">
        <f t="shared" si="21"/>
        <v>54147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5" customHeight="1" x14ac:dyDescent="0.35">
      <c r="A759" s="208" t="str">
        <f>RIGHT($C$83,3)&amp;"*"&amp;RIGHT($C$82,4)&amp;"*"&amp;AB$55&amp;"*"&amp;"A"</f>
        <v>104*2020*7170*A</v>
      </c>
      <c r="B759" s="273"/>
      <c r="C759" s="275">
        <f>ROUND(AB60,2)</f>
        <v>7.02</v>
      </c>
      <c r="D759" s="273">
        <f>ROUND(AB61,0)</f>
        <v>773706</v>
      </c>
      <c r="E759" s="273">
        <f>ROUND(AB62,0)</f>
        <v>220416</v>
      </c>
      <c r="F759" s="273">
        <f>ROUND(AB63,0)</f>
        <v>0</v>
      </c>
      <c r="G759" s="273">
        <f>ROUND(AB64,0)</f>
        <v>899100</v>
      </c>
      <c r="H759" s="273">
        <f>ROUND(AB65,0)</f>
        <v>0</v>
      </c>
      <c r="I759" s="273">
        <f>ROUND(AB66,0)</f>
        <v>121588</v>
      </c>
      <c r="J759" s="273">
        <f>ROUND(AB67,0)</f>
        <v>16243</v>
      </c>
      <c r="K759" s="273">
        <f>ROUND(AB68,0)</f>
        <v>169514</v>
      </c>
      <c r="L759" s="273">
        <f>ROUND(AB69,0)</f>
        <v>2784</v>
      </c>
      <c r="M759" s="273">
        <f>ROUND(AB70,0)</f>
        <v>0</v>
      </c>
      <c r="N759" s="273">
        <f>ROUND(AB75,0)</f>
        <v>5662213</v>
      </c>
      <c r="O759" s="273">
        <f>ROUND(AB73,0)</f>
        <v>2338277</v>
      </c>
      <c r="P759" s="273">
        <f>IF(AB76&gt;0,ROUND(AB76,0),0)</f>
        <v>811</v>
      </c>
      <c r="Q759" s="273">
        <f>IF(AB77&gt;0,ROUND(AB77,0),0)</f>
        <v>0</v>
      </c>
      <c r="R759" s="273">
        <f>IF(AB78&gt;0,ROUND(AB78,0),0)</f>
        <v>353</v>
      </c>
      <c r="S759" s="273">
        <f>IF(AB79&gt;0,ROUND(AB79,0),0)</f>
        <v>0</v>
      </c>
      <c r="T759" s="275">
        <f>IF(AB80&gt;0,ROUND(AB80,2),0)</f>
        <v>0</v>
      </c>
      <c r="U759" s="273"/>
      <c r="V759" s="274"/>
      <c r="W759" s="273"/>
      <c r="X759" s="273"/>
      <c r="Y759" s="273">
        <f t="shared" si="21"/>
        <v>882010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5" customHeight="1" x14ac:dyDescent="0.35">
      <c r="A760" s="208" t="str">
        <f>RIGHT($C$83,3)&amp;"*"&amp;RIGHT($C$82,4)&amp;"*"&amp;AC$55&amp;"*"&amp;"A"</f>
        <v>104*2020*7180*A</v>
      </c>
      <c r="B760" s="273">
        <f>ROUND(AC59,0)</f>
        <v>0</v>
      </c>
      <c r="C760" s="275">
        <f>ROUND(AC60,2)</f>
        <v>4.09</v>
      </c>
      <c r="D760" s="273">
        <f>ROUND(AC61,0)</f>
        <v>333465</v>
      </c>
      <c r="E760" s="273">
        <f>ROUND(AC62,0)</f>
        <v>94999</v>
      </c>
      <c r="F760" s="273">
        <f>ROUND(AC63,0)</f>
        <v>0</v>
      </c>
      <c r="G760" s="273">
        <f>ROUND(AC64,0)</f>
        <v>29137</v>
      </c>
      <c r="H760" s="273">
        <f>ROUND(AC65,0)</f>
        <v>0</v>
      </c>
      <c r="I760" s="273">
        <f>ROUND(AC66,0)</f>
        <v>564</v>
      </c>
      <c r="J760" s="273">
        <f>ROUND(AC67,0)</f>
        <v>17176</v>
      </c>
      <c r="K760" s="273">
        <f>ROUND(AC68,0)</f>
        <v>0</v>
      </c>
      <c r="L760" s="273">
        <f>ROUND(AC69,0)</f>
        <v>437</v>
      </c>
      <c r="M760" s="273">
        <f>ROUND(AC70,0)</f>
        <v>0</v>
      </c>
      <c r="N760" s="273">
        <f>ROUND(AC75,0)</f>
        <v>640724</v>
      </c>
      <c r="O760" s="273">
        <f>ROUND(AC73,0)</f>
        <v>468914</v>
      </c>
      <c r="P760" s="273">
        <f>IF(AC76&gt;0,ROUND(AC76,0),0)</f>
        <v>765</v>
      </c>
      <c r="Q760" s="273">
        <f>IF(AC77&gt;0,ROUND(AC77,0),0)</f>
        <v>0</v>
      </c>
      <c r="R760" s="273">
        <f>IF(AC78&gt;0,ROUND(AC78,0),0)</f>
        <v>333</v>
      </c>
      <c r="S760" s="273">
        <f>IF(AC79&gt;0,ROUND(AC79,0),0)</f>
        <v>0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200381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5" customHeight="1" x14ac:dyDescent="0.35">
      <c r="A761" s="208" t="str">
        <f>RIGHT($C$83,3)&amp;"*"&amp;RIGHT($C$82,4)&amp;"*"&amp;AD$55&amp;"*"&amp;"A"</f>
        <v>104*2020*7190*A</v>
      </c>
      <c r="B761" s="273">
        <f>ROUND(AD59,0)</f>
        <v>0</v>
      </c>
      <c r="C761" s="275">
        <f>ROUND(AD60,2)</f>
        <v>0</v>
      </c>
      <c r="D761" s="273">
        <f>ROUND(AD61,0)</f>
        <v>0</v>
      </c>
      <c r="E761" s="273">
        <f>ROUND(AD62,0)</f>
        <v>0</v>
      </c>
      <c r="F761" s="273">
        <f>ROUND(AD63,0)</f>
        <v>0</v>
      </c>
      <c r="G761" s="273">
        <f>ROUND(AD64,0)</f>
        <v>0</v>
      </c>
      <c r="H761" s="273">
        <f>ROUND(AD65,0)</f>
        <v>0</v>
      </c>
      <c r="I761" s="273">
        <f>ROUND(AD66,0)</f>
        <v>0</v>
      </c>
      <c r="J761" s="273">
        <f>ROUND(AD67,0)</f>
        <v>0</v>
      </c>
      <c r="K761" s="273">
        <f>ROUND(AD68,0)</f>
        <v>0</v>
      </c>
      <c r="L761" s="273">
        <f>ROUND(AD69,0)</f>
        <v>0</v>
      </c>
      <c r="M761" s="273">
        <f>ROUND(AD70,0)</f>
        <v>0</v>
      </c>
      <c r="N761" s="273">
        <f>ROUND(AD75,0)</f>
        <v>0</v>
      </c>
      <c r="O761" s="273">
        <f>ROUND(AD73,0)</f>
        <v>0</v>
      </c>
      <c r="P761" s="273">
        <f>IF(AD76&gt;0,ROUND(AD76,0),0)</f>
        <v>0</v>
      </c>
      <c r="Q761" s="273">
        <f>IF(AD77&gt;0,ROUND(AD77,0),0)</f>
        <v>0</v>
      </c>
      <c r="R761" s="273">
        <f>IF(AD78&gt;0,ROUND(AD78,0),0)</f>
        <v>0</v>
      </c>
      <c r="S761" s="273">
        <f>IF(AD79&gt;0,ROUND(AD79,0),0)</f>
        <v>0</v>
      </c>
      <c r="T761" s="275">
        <f>IF(AD80&gt;0,ROUND(AD80,2),0)</f>
        <v>0</v>
      </c>
      <c r="U761" s="273"/>
      <c r="V761" s="274"/>
      <c r="W761" s="273"/>
      <c r="X761" s="273"/>
      <c r="Y761" s="273">
        <f t="shared" si="21"/>
        <v>0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5" customHeight="1" x14ac:dyDescent="0.35">
      <c r="A762" s="208" t="str">
        <f>RIGHT($C$83,3)&amp;"*"&amp;RIGHT($C$82,4)&amp;"*"&amp;AE$55&amp;"*"&amp;"A"</f>
        <v>104*2020*7200*A</v>
      </c>
      <c r="B762" s="273">
        <f>ROUND(AE59,0)</f>
        <v>14470</v>
      </c>
      <c r="C762" s="275">
        <f>ROUND(AE60,2)</f>
        <v>6.31</v>
      </c>
      <c r="D762" s="273">
        <f>ROUND(AE61,0)</f>
        <v>453286</v>
      </c>
      <c r="E762" s="273">
        <f>ROUND(AE62,0)</f>
        <v>129134</v>
      </c>
      <c r="F762" s="273">
        <f>ROUND(AE63,0)</f>
        <v>0</v>
      </c>
      <c r="G762" s="273">
        <f>ROUND(AE64,0)</f>
        <v>16993</v>
      </c>
      <c r="H762" s="273">
        <f>ROUND(AE65,0)</f>
        <v>0</v>
      </c>
      <c r="I762" s="273">
        <f>ROUND(AE66,0)</f>
        <v>0</v>
      </c>
      <c r="J762" s="273">
        <f>ROUND(AE67,0)</f>
        <v>5207</v>
      </c>
      <c r="K762" s="273">
        <f>ROUND(AE68,0)</f>
        <v>107093</v>
      </c>
      <c r="L762" s="273">
        <f>ROUND(AE69,0)</f>
        <v>164</v>
      </c>
      <c r="M762" s="273">
        <f>ROUND(AE70,0)</f>
        <v>0</v>
      </c>
      <c r="N762" s="273">
        <f>ROUND(AE75,0)</f>
        <v>2474092</v>
      </c>
      <c r="O762" s="273">
        <f>ROUND(AE73,0)</f>
        <v>343264</v>
      </c>
      <c r="P762" s="273">
        <f>IF(AE76&gt;0,ROUND(AE76,0),0)</f>
        <v>260</v>
      </c>
      <c r="Q762" s="273">
        <f>IF(AE77&gt;0,ROUND(AE77,0),0)</f>
        <v>0</v>
      </c>
      <c r="R762" s="273">
        <f>IF(AE78&gt;0,ROUND(AE78,0),0)</f>
        <v>113</v>
      </c>
      <c r="S762" s="273">
        <f>IF(AE79&gt;0,ROUND(AE79,0),0)</f>
        <v>5019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365692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5" customHeight="1" x14ac:dyDescent="0.35">
      <c r="A763" s="208" t="str">
        <f>RIGHT($C$83,3)&amp;"*"&amp;RIGHT($C$82,4)&amp;"*"&amp;AF$55&amp;"*"&amp;"A"</f>
        <v>104*2020*7220*A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5" customHeight="1" x14ac:dyDescent="0.35">
      <c r="A764" s="208" t="str">
        <f>RIGHT($C$83,3)&amp;"*"&amp;RIGHT($C$82,4)&amp;"*"&amp;AG$55&amp;"*"&amp;"A"</f>
        <v>104*2020*7230*A</v>
      </c>
      <c r="B764" s="273">
        <f>ROUND(AG59,0)</f>
        <v>13586</v>
      </c>
      <c r="C764" s="275">
        <f>ROUND(AG60,2)</f>
        <v>23.98</v>
      </c>
      <c r="D764" s="273">
        <f>ROUND(AG61,0)</f>
        <v>2166799</v>
      </c>
      <c r="E764" s="273">
        <f>ROUND(AG62,0)</f>
        <v>617285</v>
      </c>
      <c r="F764" s="273">
        <f>ROUND(AG63,0)</f>
        <v>1595545</v>
      </c>
      <c r="G764" s="273">
        <f>ROUND(AG64,0)</f>
        <v>291037</v>
      </c>
      <c r="H764" s="273">
        <f>ROUND(AG65,0)</f>
        <v>0</v>
      </c>
      <c r="I764" s="273">
        <f>ROUND(AG66,0)</f>
        <v>10669</v>
      </c>
      <c r="J764" s="273">
        <f>ROUND(AG67,0)</f>
        <v>158133</v>
      </c>
      <c r="K764" s="273">
        <f>ROUND(AG68,0)</f>
        <v>395</v>
      </c>
      <c r="L764" s="273">
        <f>ROUND(AG69,0)</f>
        <v>2304</v>
      </c>
      <c r="M764" s="273">
        <f>ROUND(AG70,0)</f>
        <v>0</v>
      </c>
      <c r="N764" s="273">
        <f>ROUND(AG75,0)</f>
        <v>30588955</v>
      </c>
      <c r="O764" s="273">
        <f>ROUND(AG73,0)</f>
        <v>2958688</v>
      </c>
      <c r="P764" s="273">
        <f>IF(AG76&gt;0,ROUND(AG76,0),0)</f>
        <v>7800</v>
      </c>
      <c r="Q764" s="273">
        <f>IF(AG77&gt;0,ROUND(AG77,0),0)</f>
        <v>0</v>
      </c>
      <c r="R764" s="273">
        <f>IF(AG78&gt;0,ROUND(AG78,0),0)</f>
        <v>3397</v>
      </c>
      <c r="S764" s="273">
        <f>IF(AG79&gt;0,ROUND(AG79,0),0)</f>
        <v>29182</v>
      </c>
      <c r="T764" s="275">
        <f>IF(AG80&gt;0,ROUND(AG80,2),0)</f>
        <v>16.739999999999998</v>
      </c>
      <c r="U764" s="273"/>
      <c r="V764" s="274"/>
      <c r="W764" s="273"/>
      <c r="X764" s="273"/>
      <c r="Y764" s="273">
        <f t="shared" si="21"/>
        <v>3775679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5" customHeight="1" x14ac:dyDescent="0.35">
      <c r="A765" s="208" t="str">
        <f>RIGHT($C$83,3)&amp;"*"&amp;RIGHT($C$82,4)&amp;"*"&amp;AH$55&amp;"*"&amp;"A"</f>
        <v>104*2020*7240*A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5" customHeight="1" x14ac:dyDescent="0.35">
      <c r="A766" s="208" t="str">
        <f>RIGHT($C$83,3)&amp;"*"&amp;RIGHT($C$82,4)&amp;"*"&amp;AI$55&amp;"*"&amp;"A"</f>
        <v>104*2020*7250*A</v>
      </c>
      <c r="B766" s="273">
        <f>ROUND(AI59,0)</f>
        <v>0</v>
      </c>
      <c r="C766" s="275">
        <f>ROUND(AI60,2)</f>
        <v>0</v>
      </c>
      <c r="D766" s="273">
        <f>ROUND(AI61,0)</f>
        <v>0</v>
      </c>
      <c r="E766" s="273">
        <f>ROUND(AI62,0)</f>
        <v>0</v>
      </c>
      <c r="F766" s="273">
        <f>ROUND(AI63,0)</f>
        <v>0</v>
      </c>
      <c r="G766" s="273">
        <f>ROUND(AI64,0)</f>
        <v>0</v>
      </c>
      <c r="H766" s="273">
        <f>ROUND(AI65,0)</f>
        <v>0</v>
      </c>
      <c r="I766" s="273">
        <f>ROUND(AI66,0)</f>
        <v>0</v>
      </c>
      <c r="J766" s="273">
        <f>ROUND(AI67,0)</f>
        <v>0</v>
      </c>
      <c r="K766" s="273">
        <f>ROUND(AI68,0)</f>
        <v>0</v>
      </c>
      <c r="L766" s="273">
        <f>ROUND(AI69,0)</f>
        <v>0</v>
      </c>
      <c r="M766" s="273">
        <f>ROUND(AI70,0)</f>
        <v>0</v>
      </c>
      <c r="N766" s="273">
        <f>ROUND(AI75,0)</f>
        <v>0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>
        <f t="shared" si="21"/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5" customHeight="1" x14ac:dyDescent="0.35">
      <c r="A767" s="208" t="str">
        <f>RIGHT($C$83,3)&amp;"*"&amp;RIGHT($C$82,4)&amp;"*"&amp;AJ$55&amp;"*"&amp;"A"</f>
        <v>104*2020*7260*A</v>
      </c>
      <c r="B767" s="273">
        <f>ROUND(AJ59,0)</f>
        <v>931</v>
      </c>
      <c r="C767" s="275">
        <f>ROUND(AJ60,2)</f>
        <v>8.8699999999999992</v>
      </c>
      <c r="D767" s="273">
        <f>ROUND(AJ61,0)</f>
        <v>1059914</v>
      </c>
      <c r="E767" s="273">
        <f>ROUND(AJ62,0)</f>
        <v>301952</v>
      </c>
      <c r="F767" s="273">
        <f>ROUND(AJ63,0)</f>
        <v>0</v>
      </c>
      <c r="G767" s="273">
        <f>ROUND(AJ64,0)</f>
        <v>257052</v>
      </c>
      <c r="H767" s="273">
        <f>ROUND(AJ65,0)</f>
        <v>0</v>
      </c>
      <c r="I767" s="273">
        <f>ROUND(AJ66,0)</f>
        <v>380978</v>
      </c>
      <c r="J767" s="273">
        <f>ROUND(AJ67,0)</f>
        <v>170489</v>
      </c>
      <c r="K767" s="273">
        <f>ROUND(AJ68,0)</f>
        <v>0</v>
      </c>
      <c r="L767" s="273">
        <f>ROUND(AJ69,0)</f>
        <v>0</v>
      </c>
      <c r="M767" s="273">
        <f>ROUND(AJ70,0)</f>
        <v>0</v>
      </c>
      <c r="N767" s="273">
        <f>ROUND(AJ75,0)</f>
        <v>5389519</v>
      </c>
      <c r="O767" s="273">
        <f>ROUND(AJ73,0)</f>
        <v>46319</v>
      </c>
      <c r="P767" s="273">
        <f>IF(AJ76&gt;0,ROUND(AJ76,0),0)</f>
        <v>8420</v>
      </c>
      <c r="Q767" s="273">
        <f>IF(AJ77&gt;0,ROUND(AJ77,0),0)</f>
        <v>520</v>
      </c>
      <c r="R767" s="273">
        <f>IF(AJ78&gt;0,ROUND(AJ78,0),0)</f>
        <v>262</v>
      </c>
      <c r="S767" s="273">
        <f>IF(AJ79&gt;0,ROUND(AJ79,0),0)</f>
        <v>0</v>
      </c>
      <c r="T767" s="275">
        <f>IF(AJ80&gt;0,ROUND(AJ80,2),0)</f>
        <v>5.64</v>
      </c>
      <c r="U767" s="273"/>
      <c r="V767" s="274"/>
      <c r="W767" s="273"/>
      <c r="X767" s="273"/>
      <c r="Y767" s="273">
        <f t="shared" si="21"/>
        <v>1132206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5" customHeight="1" x14ac:dyDescent="0.35">
      <c r="A768" s="208" t="str">
        <f>RIGHT($C$83,3)&amp;"*"&amp;RIGHT($C$82,4)&amp;"*"&amp;AK$55&amp;"*"&amp;"A"</f>
        <v>104*2020*7310*A</v>
      </c>
      <c r="B768" s="273">
        <f>ROUND(AK59,0)</f>
        <v>0</v>
      </c>
      <c r="C768" s="275">
        <f>ROUND(AK60,2)</f>
        <v>0</v>
      </c>
      <c r="D768" s="273">
        <f>ROUND(AK61,0)</f>
        <v>0</v>
      </c>
      <c r="E768" s="273">
        <f>ROUND(AK62,0)</f>
        <v>0</v>
      </c>
      <c r="F768" s="273">
        <f>ROUND(AK63,0)</f>
        <v>0</v>
      </c>
      <c r="G768" s="273">
        <f>ROUND(AK64,0)</f>
        <v>0</v>
      </c>
      <c r="H768" s="273">
        <f>ROUND(AK65,0)</f>
        <v>0</v>
      </c>
      <c r="I768" s="273">
        <f>ROUND(AK66,0)</f>
        <v>0</v>
      </c>
      <c r="J768" s="273">
        <f>ROUND(AK67,0)</f>
        <v>0</v>
      </c>
      <c r="K768" s="273">
        <f>ROUND(AK68,0)</f>
        <v>0</v>
      </c>
      <c r="L768" s="273">
        <f>ROUND(AK69,0)</f>
        <v>0</v>
      </c>
      <c r="M768" s="273">
        <f>ROUND(AK70,0)</f>
        <v>0</v>
      </c>
      <c r="N768" s="273">
        <f>ROUND(AK75,0)</f>
        <v>0</v>
      </c>
      <c r="O768" s="273">
        <f>ROUND(AK73,0)</f>
        <v>0</v>
      </c>
      <c r="P768" s="273">
        <f>IF(AK76&gt;0,ROUND(AK76,0),0)</f>
        <v>0</v>
      </c>
      <c r="Q768" s="273">
        <f>IF(AK77&gt;0,ROUND(AK77,0),0)</f>
        <v>0</v>
      </c>
      <c r="R768" s="273">
        <f>IF(AK78&gt;0,ROUND(AK78,0),0)</f>
        <v>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0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5" customHeight="1" x14ac:dyDescent="0.35">
      <c r="A769" s="208" t="str">
        <f>RIGHT($C$83,3)&amp;"*"&amp;RIGHT($C$82,4)&amp;"*"&amp;AL$55&amp;"*"&amp;"A"</f>
        <v>104*2020*7320*A</v>
      </c>
      <c r="B769" s="273">
        <f>ROUND(AL59,0)</f>
        <v>0</v>
      </c>
      <c r="C769" s="275">
        <f>ROUND(AL60,2)</f>
        <v>0</v>
      </c>
      <c r="D769" s="273">
        <f>ROUND(AL61,0)</f>
        <v>0</v>
      </c>
      <c r="E769" s="273">
        <f>ROUND(AL62,0)</f>
        <v>0</v>
      </c>
      <c r="F769" s="273">
        <f>ROUND(AL63,0)</f>
        <v>0</v>
      </c>
      <c r="G769" s="273">
        <f>ROUND(AL64,0)</f>
        <v>0</v>
      </c>
      <c r="H769" s="273">
        <f>ROUND(AL65,0)</f>
        <v>0</v>
      </c>
      <c r="I769" s="273">
        <f>ROUND(AL66,0)</f>
        <v>0</v>
      </c>
      <c r="J769" s="273">
        <f>ROUND(AL67,0)</f>
        <v>0</v>
      </c>
      <c r="K769" s="273">
        <f>ROUND(AL68,0)</f>
        <v>0</v>
      </c>
      <c r="L769" s="273">
        <f>ROUND(AL69,0)</f>
        <v>0</v>
      </c>
      <c r="M769" s="273">
        <f>ROUND(AL70,0)</f>
        <v>0</v>
      </c>
      <c r="N769" s="273">
        <f>ROUND(AL75,0)</f>
        <v>0</v>
      </c>
      <c r="O769" s="273">
        <f>ROUND(AL73,0)</f>
        <v>0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0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5" customHeight="1" x14ac:dyDescent="0.35">
      <c r="A770" s="208" t="str">
        <f>RIGHT($C$83,3)&amp;"*"&amp;RIGHT($C$82,4)&amp;"*"&amp;AM$55&amp;"*"&amp;"A"</f>
        <v>104*2020*7330*A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5" customHeight="1" x14ac:dyDescent="0.35">
      <c r="A771" s="208" t="str">
        <f>RIGHT($C$83,3)&amp;"*"&amp;RIGHT($C$82,4)&amp;"*"&amp;AN$55&amp;"*"&amp;"A"</f>
        <v>104*2020*7340*A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5" customHeight="1" x14ac:dyDescent="0.35">
      <c r="A772" s="208" t="str">
        <f>RIGHT($C$83,3)&amp;"*"&amp;RIGHT($C$82,4)&amp;"*"&amp;AO$55&amp;"*"&amp;"A"</f>
        <v>104*2020*7350*A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5" customHeight="1" x14ac:dyDescent="0.35">
      <c r="A773" s="208" t="str">
        <f>RIGHT($C$83,3)&amp;"*"&amp;RIGHT($C$82,4)&amp;"*"&amp;AP$55&amp;"*"&amp;"A"</f>
        <v>104*2020*7380*A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5" customHeight="1" x14ac:dyDescent="0.35">
      <c r="A774" s="208" t="str">
        <f>RIGHT($C$83,3)&amp;"*"&amp;RIGHT($C$82,4)&amp;"*"&amp;AQ$55&amp;"*"&amp;"A"</f>
        <v>104*2020*7390*A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5" customHeight="1" x14ac:dyDescent="0.35">
      <c r="A775" s="208" t="str">
        <f>RIGHT($C$83,3)&amp;"*"&amp;RIGHT($C$82,4)&amp;"*"&amp;AR$55&amp;"*"&amp;"A"</f>
        <v>104*2020*7400*A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0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0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5" customHeight="1" x14ac:dyDescent="0.35">
      <c r="A776" s="208" t="str">
        <f>RIGHT($C$83,3)&amp;"*"&amp;RIGHT($C$82,4)&amp;"*"&amp;AS$55&amp;"*"&amp;"A"</f>
        <v>104*2020*7410*A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5" customHeight="1" x14ac:dyDescent="0.35">
      <c r="A777" s="208" t="str">
        <f>RIGHT($C$83,3)&amp;"*"&amp;RIGHT($C$82,4)&amp;"*"&amp;AT$55&amp;"*"&amp;"A"</f>
        <v>104*2020*7420*A</v>
      </c>
      <c r="B777" s="273">
        <f>ROUND(AT59,0)</f>
        <v>0</v>
      </c>
      <c r="C777" s="275">
        <f>ROUND(AT60,2)</f>
        <v>0</v>
      </c>
      <c r="D777" s="273">
        <f>ROUND(AT61,0)</f>
        <v>0</v>
      </c>
      <c r="E777" s="273">
        <f>ROUND(AT62,0)</f>
        <v>0</v>
      </c>
      <c r="F777" s="273">
        <f>ROUND(AT63,0)</f>
        <v>0</v>
      </c>
      <c r="G777" s="273">
        <f>ROUND(AT64,0)</f>
        <v>0</v>
      </c>
      <c r="H777" s="273">
        <f>ROUND(AT65,0)</f>
        <v>0</v>
      </c>
      <c r="I777" s="273">
        <f>ROUND(AT66,0)</f>
        <v>0</v>
      </c>
      <c r="J777" s="273">
        <f>ROUND(AT67,0)</f>
        <v>0</v>
      </c>
      <c r="K777" s="273">
        <f>ROUND(AT68,0)</f>
        <v>0</v>
      </c>
      <c r="L777" s="273">
        <f>ROUND(AT69,0)</f>
        <v>0</v>
      </c>
      <c r="M777" s="273">
        <f>ROUND(AT70,0)</f>
        <v>0</v>
      </c>
      <c r="N777" s="273">
        <f>ROUND(AT75,0)</f>
        <v>0</v>
      </c>
      <c r="O777" s="273">
        <f>ROUND(AT73,0)</f>
        <v>0</v>
      </c>
      <c r="P777" s="273">
        <f>IF(AT76&gt;0,ROUND(AT76,0),0)</f>
        <v>0</v>
      </c>
      <c r="Q777" s="273">
        <f>IF(AT77&gt;0,ROUND(AT77,0),0)</f>
        <v>0</v>
      </c>
      <c r="R777" s="273">
        <f>IF(AT78&gt;0,ROUND(AT78,0),0)</f>
        <v>0</v>
      </c>
      <c r="S777" s="273">
        <f>IF(AT79&gt;0,ROUND(AT79,0),0)</f>
        <v>0</v>
      </c>
      <c r="T777" s="275">
        <f>IF(AT80&gt;0,ROUND(AT80,2),0)</f>
        <v>0</v>
      </c>
      <c r="U777" s="273"/>
      <c r="V777" s="274"/>
      <c r="W777" s="273"/>
      <c r="X777" s="273"/>
      <c r="Y777" s="273">
        <f t="shared" si="21"/>
        <v>0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5" customHeight="1" x14ac:dyDescent="0.35">
      <c r="A778" s="208" t="str">
        <f>RIGHT($C$83,3)&amp;"*"&amp;RIGHT($C$82,4)&amp;"*"&amp;AU$55&amp;"*"&amp;"A"</f>
        <v>104*2020*7430*A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5" customHeight="1" x14ac:dyDescent="0.35">
      <c r="A779" s="208" t="str">
        <f>RIGHT($C$83,3)&amp;"*"&amp;RIGHT($C$82,4)&amp;"*"&amp;AV$55&amp;"*"&amp;"A"</f>
        <v>104*2020*7490*A</v>
      </c>
      <c r="B779" s="273"/>
      <c r="C779" s="275">
        <f>ROUND(AV60,2)</f>
        <v>0</v>
      </c>
      <c r="D779" s="273">
        <f>ROUND(AV61,0)</f>
        <v>0</v>
      </c>
      <c r="E779" s="273">
        <f>ROUND(AV62,0)</f>
        <v>0</v>
      </c>
      <c r="F779" s="273">
        <f>ROUND(AV63,0)</f>
        <v>0</v>
      </c>
      <c r="G779" s="273">
        <f>ROUND(AV64,0)</f>
        <v>0</v>
      </c>
      <c r="H779" s="273">
        <f>ROUND(AV65,0)</f>
        <v>0</v>
      </c>
      <c r="I779" s="273">
        <f>ROUND(AV66,0)</f>
        <v>0</v>
      </c>
      <c r="J779" s="273">
        <f>ROUND(AV67,0)</f>
        <v>0</v>
      </c>
      <c r="K779" s="273">
        <f>ROUND(AV68,0)</f>
        <v>0</v>
      </c>
      <c r="L779" s="273">
        <f>ROUND(AV69,0)</f>
        <v>0</v>
      </c>
      <c r="M779" s="273">
        <f>ROUND(AV70,0)</f>
        <v>0</v>
      </c>
      <c r="N779" s="273">
        <f>ROUND(AV75,0)</f>
        <v>0</v>
      </c>
      <c r="O779" s="273">
        <f>ROUND(AV73,0)</f>
        <v>0</v>
      </c>
      <c r="P779" s="273">
        <f>IF(AV76&gt;0,ROUND(AV76,0),0)</f>
        <v>0</v>
      </c>
      <c r="Q779" s="273">
        <f>IF(AV77&gt;0,ROUND(AV77,0),0)</f>
        <v>0</v>
      </c>
      <c r="R779" s="273">
        <f>IF(AV78&gt;0,ROUND(AV78,0),0)</f>
        <v>0</v>
      </c>
      <c r="S779" s="273">
        <f>IF(AV79&gt;0,ROUND(AV79,0),0)</f>
        <v>0</v>
      </c>
      <c r="T779" s="275">
        <f>IF(AV80&gt;0,ROUND(AV80,2),0)</f>
        <v>0</v>
      </c>
      <c r="U779" s="273"/>
      <c r="V779" s="274"/>
      <c r="W779" s="273"/>
      <c r="X779" s="273"/>
      <c r="Y779" s="273">
        <f t="shared" si="21"/>
        <v>0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5" customHeight="1" x14ac:dyDescent="0.35">
      <c r="A780" s="208" t="str">
        <f>RIGHT($C$83,3)&amp;"*"&amp;RIGHT($C$82,4)&amp;"*"&amp;AW$55&amp;"*"&amp;"A"</f>
        <v>104*2020*8200*A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5" customHeight="1" x14ac:dyDescent="0.35">
      <c r="A781" s="208" t="str">
        <f>RIGHT($C$83,3)&amp;"*"&amp;RIGHT($C$82,4)&amp;"*"&amp;AX$55&amp;"*"&amp;"A"</f>
        <v>104*2020*8310*A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5</v>
      </c>
      <c r="H781" s="273">
        <f>ROUND(AX65,0)</f>
        <v>0</v>
      </c>
      <c r="I781" s="273">
        <f>ROUND(AX66,0)</f>
        <v>136849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5" customHeight="1" x14ac:dyDescent="0.35">
      <c r="A782" s="208" t="str">
        <f>RIGHT($C$83,3)&amp;"*"&amp;RIGHT($C$82,4)&amp;"*"&amp;AY$55&amp;"*"&amp;"A"</f>
        <v>104*2020*8320*A</v>
      </c>
      <c r="B782" s="273">
        <f>ROUND(AY59,0)</f>
        <v>0</v>
      </c>
      <c r="C782" s="275">
        <f>ROUND(AY60,2)</f>
        <v>0</v>
      </c>
      <c r="D782" s="273">
        <f>ROUND(AY61,0)</f>
        <v>0</v>
      </c>
      <c r="E782" s="273">
        <f>ROUND(AY62,0)</f>
        <v>0</v>
      </c>
      <c r="F782" s="273">
        <f>ROUND(AY63,0)</f>
        <v>0</v>
      </c>
      <c r="G782" s="273">
        <f>ROUND(AY64,0)</f>
        <v>0</v>
      </c>
      <c r="H782" s="273">
        <f>ROUND(AY65,0)</f>
        <v>0</v>
      </c>
      <c r="I782" s="273">
        <f>ROUND(AY66,0)</f>
        <v>0</v>
      </c>
      <c r="J782" s="273">
        <f>ROUND(AY67,0)</f>
        <v>0</v>
      </c>
      <c r="K782" s="273">
        <f>ROUND(AY68,0)</f>
        <v>0</v>
      </c>
      <c r="L782" s="273">
        <f>ROUND(AY69,0)</f>
        <v>0</v>
      </c>
      <c r="M782" s="273">
        <f>ROUND(AY70,0)</f>
        <v>0</v>
      </c>
      <c r="N782" s="273"/>
      <c r="O782" s="273"/>
      <c r="P782" s="273">
        <f>IF(AY76&gt;0,ROUND(AY76,0),0)</f>
        <v>0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5" customHeight="1" x14ac:dyDescent="0.35">
      <c r="A783" s="208" t="str">
        <f>RIGHT($C$83,3)&amp;"*"&amp;RIGHT($C$82,4)&amp;"*"&amp;AZ$55&amp;"*"&amp;"A"</f>
        <v>104*2020*8330*A</v>
      </c>
      <c r="B783" s="273">
        <f>ROUND(AZ59,0)</f>
        <v>79937</v>
      </c>
      <c r="C783" s="275">
        <f>ROUND(AZ60,2)</f>
        <v>14.92</v>
      </c>
      <c r="D783" s="273">
        <f>ROUND(AZ61,0)</f>
        <v>711355</v>
      </c>
      <c r="E783" s="273">
        <f>ROUND(AZ62,0)</f>
        <v>202653</v>
      </c>
      <c r="F783" s="273">
        <f>ROUND(AZ63,0)</f>
        <v>99996</v>
      </c>
      <c r="G783" s="273">
        <f>ROUND(AZ64,0)</f>
        <v>258630</v>
      </c>
      <c r="H783" s="273">
        <f>ROUND(AZ65,0)</f>
        <v>0</v>
      </c>
      <c r="I783" s="273">
        <f>ROUND(AZ66,0)</f>
        <v>14672</v>
      </c>
      <c r="J783" s="273">
        <f>ROUND(AZ67,0)</f>
        <v>88843</v>
      </c>
      <c r="K783" s="273">
        <f>ROUND(AZ68,0)</f>
        <v>0</v>
      </c>
      <c r="L783" s="273">
        <f>ROUND(AZ69,0)</f>
        <v>406</v>
      </c>
      <c r="M783" s="273">
        <f>ROUND(AZ70,0)</f>
        <v>0</v>
      </c>
      <c r="N783" s="273"/>
      <c r="O783" s="273"/>
      <c r="P783" s="273">
        <f>IF(AZ76&gt;0,ROUND(AZ76,0),0)</f>
        <v>4436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5" customHeight="1" x14ac:dyDescent="0.35">
      <c r="A784" s="208" t="str">
        <f>RIGHT($C$83,3)&amp;"*"&amp;RIGHT($C$82,4)&amp;"*"&amp;BA$55&amp;"*"&amp;"A"</f>
        <v>104*2020*8350*A</v>
      </c>
      <c r="B784" s="273">
        <f>ROUND(BA59,0)</f>
        <v>0</v>
      </c>
      <c r="C784" s="275">
        <f>ROUND(BA60,2)</f>
        <v>0</v>
      </c>
      <c r="D784" s="273">
        <f>ROUND(BA61,0)</f>
        <v>0</v>
      </c>
      <c r="E784" s="273">
        <f>ROUND(BA62,0)</f>
        <v>0</v>
      </c>
      <c r="F784" s="273">
        <f>ROUND(BA63,0)</f>
        <v>0</v>
      </c>
      <c r="G784" s="273">
        <f>ROUND(BA64,0)</f>
        <v>0</v>
      </c>
      <c r="H784" s="273">
        <f>ROUND(BA65,0)</f>
        <v>0</v>
      </c>
      <c r="I784" s="273">
        <f>ROUND(BA66,0)</f>
        <v>287844</v>
      </c>
      <c r="J784" s="273">
        <f>ROUND(BA67,0)</f>
        <v>8271</v>
      </c>
      <c r="K784" s="273">
        <f>ROUND(BA68,0)</f>
        <v>0</v>
      </c>
      <c r="L784" s="273">
        <f>ROUND(BA69,0)</f>
        <v>14</v>
      </c>
      <c r="M784" s="273">
        <f>ROUND(BA70,0)</f>
        <v>0</v>
      </c>
      <c r="N784" s="273"/>
      <c r="O784" s="273"/>
      <c r="P784" s="273">
        <f>IF(BA76&gt;0,ROUND(BA76,0),0)</f>
        <v>413</v>
      </c>
      <c r="Q784" s="273">
        <f>IF(BA77&gt;0,ROUND(BA77,0),0)</f>
        <v>0</v>
      </c>
      <c r="R784" s="273">
        <f>IF(BA78&gt;0,ROUND(BA78,0),0)</f>
        <v>0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5" customHeight="1" x14ac:dyDescent="0.35">
      <c r="A785" s="208" t="str">
        <f>RIGHT($C$83,3)&amp;"*"&amp;RIGHT($C$82,4)&amp;"*"&amp;BB$55&amp;"*"&amp;"A"</f>
        <v>104*2020*8360*A</v>
      </c>
      <c r="B785" s="273"/>
      <c r="C785" s="275">
        <f>ROUND(BB60,2)</f>
        <v>0</v>
      </c>
      <c r="D785" s="273">
        <f>ROUND(BB61,0)</f>
        <v>0</v>
      </c>
      <c r="E785" s="273">
        <f>ROUND(BB62,0)</f>
        <v>0</v>
      </c>
      <c r="F785" s="273">
        <f>ROUND(BB63,0)</f>
        <v>0</v>
      </c>
      <c r="G785" s="273">
        <f>ROUND(BB64,0)</f>
        <v>0</v>
      </c>
      <c r="H785" s="273">
        <f>ROUND(BB65,0)</f>
        <v>0</v>
      </c>
      <c r="I785" s="273">
        <f>ROUND(BB66,0)</f>
        <v>0</v>
      </c>
      <c r="J785" s="273">
        <f>ROUND(BB67,0)</f>
        <v>0</v>
      </c>
      <c r="K785" s="273">
        <f>ROUND(BB68,0)</f>
        <v>0</v>
      </c>
      <c r="L785" s="273">
        <f>ROUND(BB69,0)</f>
        <v>0</v>
      </c>
      <c r="M785" s="273">
        <f>ROUND(BB70,0)</f>
        <v>0</v>
      </c>
      <c r="N785" s="273"/>
      <c r="O785" s="273"/>
      <c r="P785" s="273">
        <f>IF(BB76&gt;0,ROUND(BB76,0),0)</f>
        <v>0</v>
      </c>
      <c r="Q785" s="273">
        <f>IF(BB77&gt;0,ROUND(BB77,0),0)</f>
        <v>0</v>
      </c>
      <c r="R785" s="273">
        <f>IF(BB78&gt;0,ROUND(BB78,0),0)</f>
        <v>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5" customHeight="1" x14ac:dyDescent="0.35">
      <c r="A786" s="208" t="str">
        <f>RIGHT($C$83,3)&amp;"*"&amp;RIGHT($C$82,4)&amp;"*"&amp;BC$55&amp;"*"&amp;"A"</f>
        <v>104*2020*8370*A</v>
      </c>
      <c r="B786" s="273"/>
      <c r="C786" s="275">
        <f>ROUND(BC60,2)</f>
        <v>0</v>
      </c>
      <c r="D786" s="273">
        <f>ROUND(BC61,0)</f>
        <v>0</v>
      </c>
      <c r="E786" s="273">
        <f>ROUND(BC62,0)</f>
        <v>0</v>
      </c>
      <c r="F786" s="273">
        <f>ROUND(BC63,0)</f>
        <v>0</v>
      </c>
      <c r="G786" s="273">
        <f>ROUND(BC64,0)</f>
        <v>0</v>
      </c>
      <c r="H786" s="273">
        <f>ROUND(BC65,0)</f>
        <v>0</v>
      </c>
      <c r="I786" s="273">
        <f>ROUND(BC66,0)</f>
        <v>0</v>
      </c>
      <c r="J786" s="273">
        <f>ROUND(BC67,0)</f>
        <v>0</v>
      </c>
      <c r="K786" s="273">
        <f>ROUND(BC68,0)</f>
        <v>0</v>
      </c>
      <c r="L786" s="273">
        <f>ROUND(BC69,0)</f>
        <v>0</v>
      </c>
      <c r="M786" s="273">
        <f>ROUND(BC70,0)</f>
        <v>0</v>
      </c>
      <c r="N786" s="273"/>
      <c r="O786" s="273"/>
      <c r="P786" s="273">
        <f>IF(BC76&gt;0,ROUND(BC76,0),0)</f>
        <v>0</v>
      </c>
      <c r="Q786" s="273">
        <f>IF(BC77&gt;0,ROUND(BC77,0),0)</f>
        <v>0</v>
      </c>
      <c r="R786" s="273">
        <f>IF(BC78&gt;0,ROUND(BC78,0),0)</f>
        <v>0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5" customHeight="1" x14ac:dyDescent="0.35">
      <c r="A787" s="208" t="str">
        <f>RIGHT($C$83,3)&amp;"*"&amp;RIGHT($C$82,4)&amp;"*"&amp;BD$55&amp;"*"&amp;"A"</f>
        <v>104*2020*8420*A</v>
      </c>
      <c r="B787" s="273"/>
      <c r="C787" s="275">
        <f>ROUND(BD60,2)</f>
        <v>2.3199999999999998</v>
      </c>
      <c r="D787" s="273">
        <f>ROUND(BD61,0)</f>
        <v>189569</v>
      </c>
      <c r="E787" s="273">
        <f>ROUND(BD62,0)</f>
        <v>54005</v>
      </c>
      <c r="F787" s="273">
        <f>ROUND(BD63,0)</f>
        <v>0</v>
      </c>
      <c r="G787" s="273">
        <f>ROUND(BD64,0)</f>
        <v>-24097</v>
      </c>
      <c r="H787" s="273">
        <f>ROUND(BD65,0)</f>
        <v>0</v>
      </c>
      <c r="I787" s="273">
        <f>ROUND(BD66,0)</f>
        <v>3797</v>
      </c>
      <c r="J787" s="273">
        <f>ROUND(BD67,0)</f>
        <v>64490</v>
      </c>
      <c r="K787" s="273">
        <f>ROUND(BD68,0)</f>
        <v>0</v>
      </c>
      <c r="L787" s="273">
        <f>ROUND(BD69,0)</f>
        <v>457</v>
      </c>
      <c r="M787" s="273">
        <f>ROUND(BD70,0)</f>
        <v>0</v>
      </c>
      <c r="N787" s="273"/>
      <c r="O787" s="273"/>
      <c r="P787" s="273">
        <f>IF(BD76&gt;0,ROUND(BD76,0),0)</f>
        <v>3220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5" customHeight="1" x14ac:dyDescent="0.35">
      <c r="A788" s="208" t="str">
        <f>RIGHT($C$83,3)&amp;"*"&amp;RIGHT($C$82,4)&amp;"*"&amp;BE$55&amp;"*"&amp;"A"</f>
        <v>104*2020*8430*A</v>
      </c>
      <c r="B788" s="273">
        <f>ROUND(BE59,0)</f>
        <v>83637</v>
      </c>
      <c r="C788" s="275">
        <f>ROUND(BE60,2)</f>
        <v>8.0399999999999991</v>
      </c>
      <c r="D788" s="273">
        <f>ROUND(BE61,0)</f>
        <v>517465</v>
      </c>
      <c r="E788" s="273">
        <f>ROUND(BE62,0)</f>
        <v>147417</v>
      </c>
      <c r="F788" s="273">
        <f>ROUND(BE63,0)</f>
        <v>0</v>
      </c>
      <c r="G788" s="273">
        <f>ROUND(BE64,0)</f>
        <v>69049</v>
      </c>
      <c r="H788" s="273">
        <f>ROUND(BE65,0)</f>
        <v>452381</v>
      </c>
      <c r="I788" s="273">
        <f>ROUND(BE66,0)</f>
        <v>600213</v>
      </c>
      <c r="J788" s="273">
        <f>ROUND(BE67,0)</f>
        <v>499379</v>
      </c>
      <c r="K788" s="273">
        <f>ROUND(BE68,0)</f>
        <v>6674</v>
      </c>
      <c r="L788" s="273">
        <f>ROUND(BE69,0)</f>
        <v>2022</v>
      </c>
      <c r="M788" s="273">
        <f>ROUND(BE70,0)</f>
        <v>0</v>
      </c>
      <c r="N788" s="273"/>
      <c r="O788" s="273"/>
      <c r="P788" s="273">
        <f>IF(BE76&gt;0,ROUND(BE76,0),0)</f>
        <v>10476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5" customHeight="1" x14ac:dyDescent="0.35">
      <c r="A789" s="208" t="str">
        <f>RIGHT($C$83,3)&amp;"*"&amp;RIGHT($C$82,4)&amp;"*"&amp;BF$55&amp;"*"&amp;"A"</f>
        <v>104*2020*8460*A</v>
      </c>
      <c r="B789" s="273"/>
      <c r="C789" s="275">
        <f>ROUND(BF60,2)</f>
        <v>15.36</v>
      </c>
      <c r="D789" s="273">
        <f>ROUND(BF61,0)</f>
        <v>680390</v>
      </c>
      <c r="E789" s="273">
        <f>ROUND(BF62,0)</f>
        <v>193832</v>
      </c>
      <c r="F789" s="273">
        <f>ROUND(BF63,0)</f>
        <v>0</v>
      </c>
      <c r="G789" s="273">
        <f>ROUND(BF64,0)</f>
        <v>59057</v>
      </c>
      <c r="H789" s="273">
        <f>ROUND(BF65,0)</f>
        <v>0</v>
      </c>
      <c r="I789" s="273">
        <f>ROUND(BF66,0)</f>
        <v>91605</v>
      </c>
      <c r="J789" s="273">
        <f>ROUND(BF67,0)</f>
        <v>7711</v>
      </c>
      <c r="K789" s="273">
        <f>ROUND(BF68,0)</f>
        <v>0</v>
      </c>
      <c r="L789" s="273">
        <f>ROUND(BF69,0)</f>
        <v>0</v>
      </c>
      <c r="M789" s="273">
        <f>ROUND(BF70,0)</f>
        <v>0</v>
      </c>
      <c r="N789" s="273"/>
      <c r="O789" s="273"/>
      <c r="P789" s="273">
        <f>IF(BF76&gt;0,ROUND(BF76,0),0)</f>
        <v>385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5" customHeight="1" x14ac:dyDescent="0.35">
      <c r="A790" s="208" t="str">
        <f>RIGHT($C$83,3)&amp;"*"&amp;RIGHT($C$82,4)&amp;"*"&amp;BG$55&amp;"*"&amp;"A"</f>
        <v>104*2020*8470*A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104890</v>
      </c>
      <c r="I790" s="273">
        <f>ROUND(BG66,0)</f>
        <v>0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5" customHeight="1" x14ac:dyDescent="0.35">
      <c r="A791" s="208" t="str">
        <f>RIGHT($C$83,3)&amp;"*"&amp;RIGHT($C$82,4)&amp;"*"&amp;BH$55&amp;"*"&amp;"A"</f>
        <v>104*2020*8480*A</v>
      </c>
      <c r="B791" s="273"/>
      <c r="C791" s="275">
        <f>ROUND(BH60,2)</f>
        <v>5.97</v>
      </c>
      <c r="D791" s="273">
        <f>ROUND(BH61,0)</f>
        <v>506680</v>
      </c>
      <c r="E791" s="273">
        <f>ROUND(BH62,0)</f>
        <v>144345</v>
      </c>
      <c r="F791" s="273">
        <f>ROUND(BH63,0)</f>
        <v>0</v>
      </c>
      <c r="G791" s="273">
        <f>ROUND(BH64,0)</f>
        <v>113013</v>
      </c>
      <c r="H791" s="273">
        <f>ROUND(BH65,0)</f>
        <v>0</v>
      </c>
      <c r="I791" s="273">
        <f>ROUND(BH66,0)</f>
        <v>914553</v>
      </c>
      <c r="J791" s="273">
        <f>ROUND(BH67,0)</f>
        <v>112095</v>
      </c>
      <c r="K791" s="273">
        <f>ROUND(BH68,0)</f>
        <v>24695</v>
      </c>
      <c r="L791" s="273">
        <f>ROUND(BH69,0)</f>
        <v>629</v>
      </c>
      <c r="M791" s="273">
        <f>ROUND(BH70,0)</f>
        <v>0</v>
      </c>
      <c r="N791" s="273"/>
      <c r="O791" s="273"/>
      <c r="P791" s="273">
        <f>IF(BH76&gt;0,ROUND(BH76,0),0)</f>
        <v>1300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5" customHeight="1" x14ac:dyDescent="0.35">
      <c r="A792" s="208" t="str">
        <f>RIGHT($C$83,3)&amp;"*"&amp;RIGHT($C$82,4)&amp;"*"&amp;BI$55&amp;"*"&amp;"A"</f>
        <v>104*2020*8490*A</v>
      </c>
      <c r="B792" s="273"/>
      <c r="C792" s="275">
        <f>ROUND(BI60,2)</f>
        <v>2.4</v>
      </c>
      <c r="D792" s="273">
        <f>ROUND(BI61,0)</f>
        <v>1183352</v>
      </c>
      <c r="E792" s="273">
        <f>ROUND(BI62,0)</f>
        <v>337117</v>
      </c>
      <c r="F792" s="273">
        <f>ROUND(BI63,0)</f>
        <v>0</v>
      </c>
      <c r="G792" s="273">
        <f>ROUND(BI64,0)</f>
        <v>169972</v>
      </c>
      <c r="H792" s="273">
        <f>ROUND(BI65,0)</f>
        <v>0</v>
      </c>
      <c r="I792" s="273">
        <f>ROUND(BI66,0)</f>
        <v>100018</v>
      </c>
      <c r="J792" s="273">
        <f>ROUND(BI67,0)</f>
        <v>0</v>
      </c>
      <c r="K792" s="273">
        <f>ROUND(BI68,0)</f>
        <v>80278</v>
      </c>
      <c r="L792" s="273">
        <f>ROUND(BI69,0)</f>
        <v>157</v>
      </c>
      <c r="M792" s="273">
        <f>ROUND(BI70,0)</f>
        <v>0</v>
      </c>
      <c r="N792" s="273"/>
      <c r="O792" s="273"/>
      <c r="P792" s="273">
        <f>IF(BI76&gt;0,ROUND(BI76,0),0)</f>
        <v>0</v>
      </c>
      <c r="Q792" s="273">
        <f>IF(BI77&gt;0,ROUND(BI77,0),0)</f>
        <v>0</v>
      </c>
      <c r="R792" s="273">
        <f>IF(BI78&gt;0,ROUND(BI78,0),0)</f>
        <v>0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5" customHeight="1" x14ac:dyDescent="0.35">
      <c r="A793" s="208" t="str">
        <f>RIGHT($C$83,3)&amp;"*"&amp;RIGHT($C$82,4)&amp;"*"&amp;BJ$55&amp;"*"&amp;"A"</f>
        <v>104*2020*8510*A</v>
      </c>
      <c r="B793" s="273"/>
      <c r="C793" s="275">
        <f>ROUND(BJ60,2)</f>
        <v>2.93</v>
      </c>
      <c r="D793" s="273">
        <f>ROUND(BJ61,0)</f>
        <v>232413</v>
      </c>
      <c r="E793" s="273">
        <f>ROUND(BJ62,0)</f>
        <v>66211</v>
      </c>
      <c r="F793" s="273">
        <f>ROUND(BJ63,0)</f>
        <v>131844</v>
      </c>
      <c r="G793" s="273">
        <f>ROUND(BJ64,0)</f>
        <v>2210</v>
      </c>
      <c r="H793" s="273">
        <f>ROUND(BJ65,0)</f>
        <v>0</v>
      </c>
      <c r="I793" s="273">
        <f>ROUND(BJ66,0)</f>
        <v>0</v>
      </c>
      <c r="J793" s="273">
        <f>ROUND(BJ67,0)</f>
        <v>0</v>
      </c>
      <c r="K793" s="273">
        <f>ROUND(BJ68,0)</f>
        <v>0</v>
      </c>
      <c r="L793" s="273">
        <f>ROUND(BJ69,0)</f>
        <v>837</v>
      </c>
      <c r="M793" s="273">
        <f>ROUND(BJ70,0)</f>
        <v>0</v>
      </c>
      <c r="N793" s="273"/>
      <c r="O793" s="273"/>
      <c r="P793" s="273">
        <f>IF(BJ76&gt;0,ROUND(BJ76,0),0)</f>
        <v>0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5" customHeight="1" x14ac:dyDescent="0.35">
      <c r="A794" s="208" t="str">
        <f>RIGHT($C$83,3)&amp;"*"&amp;RIGHT($C$82,4)&amp;"*"&amp;BK$55&amp;"*"&amp;"A"</f>
        <v>104*2020*8530*A</v>
      </c>
      <c r="B794" s="273"/>
      <c r="C794" s="275">
        <f>ROUND(BK60,2)</f>
        <v>7.58</v>
      </c>
      <c r="D794" s="273">
        <f>ROUND(BK61,0)</f>
        <v>386582</v>
      </c>
      <c r="E794" s="273">
        <f>ROUND(BK62,0)</f>
        <v>110131</v>
      </c>
      <c r="F794" s="273">
        <f>ROUND(BK63,0)</f>
        <v>-9777</v>
      </c>
      <c r="G794" s="273">
        <f>ROUND(BK64,0)</f>
        <v>5134</v>
      </c>
      <c r="H794" s="273">
        <f>ROUND(BK65,0)</f>
        <v>0</v>
      </c>
      <c r="I794" s="273">
        <f>ROUND(BK66,0)</f>
        <v>265063</v>
      </c>
      <c r="J794" s="273">
        <f>ROUND(BK67,0)</f>
        <v>24033</v>
      </c>
      <c r="K794" s="273">
        <f>ROUND(BK68,0)</f>
        <v>5762</v>
      </c>
      <c r="L794" s="273">
        <f>ROUND(BK69,0)</f>
        <v>318</v>
      </c>
      <c r="M794" s="273">
        <f>ROUND(BK70,0)</f>
        <v>0</v>
      </c>
      <c r="N794" s="273"/>
      <c r="O794" s="273"/>
      <c r="P794" s="273">
        <f>IF(BK76&gt;0,ROUND(BK76,0),0)</f>
        <v>1200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5" customHeight="1" x14ac:dyDescent="0.35">
      <c r="A795" s="208" t="str">
        <f>RIGHT($C$83,3)&amp;"*"&amp;RIGHT($C$82,4)&amp;"*"&amp;BL$55&amp;"*"&amp;"A"</f>
        <v>104*2020*8560*A</v>
      </c>
      <c r="B795" s="273"/>
      <c r="C795" s="275">
        <f>ROUND(BL60,2)</f>
        <v>11.33</v>
      </c>
      <c r="D795" s="273">
        <f>ROUND(BL61,0)</f>
        <v>521551</v>
      </c>
      <c r="E795" s="273">
        <f>ROUND(BL62,0)</f>
        <v>148581</v>
      </c>
      <c r="F795" s="273">
        <f>ROUND(BL63,0)</f>
        <v>0</v>
      </c>
      <c r="G795" s="273">
        <f>ROUND(BL64,0)</f>
        <v>12002</v>
      </c>
      <c r="H795" s="273">
        <f>ROUND(BL65,0)</f>
        <v>0</v>
      </c>
      <c r="I795" s="273">
        <f>ROUND(BL66,0)</f>
        <v>0</v>
      </c>
      <c r="J795" s="273">
        <f>ROUND(BL67,0)</f>
        <v>8412</v>
      </c>
      <c r="K795" s="273">
        <f>ROUND(BL68,0)</f>
        <v>0</v>
      </c>
      <c r="L795" s="273">
        <f>ROUND(BL69,0)</f>
        <v>436</v>
      </c>
      <c r="M795" s="273">
        <f>ROUND(BL70,0)</f>
        <v>0</v>
      </c>
      <c r="N795" s="273"/>
      <c r="O795" s="273"/>
      <c r="P795" s="273">
        <f>IF(BL76&gt;0,ROUND(BL76,0),0)</f>
        <v>420</v>
      </c>
      <c r="Q795" s="273">
        <f>IF(BL77&gt;0,ROUND(BL77,0),0)</f>
        <v>0</v>
      </c>
      <c r="R795" s="273">
        <f>IF(BL78&gt;0,ROUND(BL78,0),0)</f>
        <v>0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5" customHeight="1" x14ac:dyDescent="0.35">
      <c r="A796" s="208" t="str">
        <f>RIGHT($C$83,3)&amp;"*"&amp;RIGHT($C$82,4)&amp;"*"&amp;BM$55&amp;"*"&amp;"A"</f>
        <v>104*2020*8590*A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5" customHeight="1" x14ac:dyDescent="0.35">
      <c r="A797" s="208" t="str">
        <f>RIGHT($C$83,3)&amp;"*"&amp;RIGHT($C$82,4)&amp;"*"&amp;BN$55&amp;"*"&amp;"A"</f>
        <v>104*2020*8610*A</v>
      </c>
      <c r="B797" s="273"/>
      <c r="C797" s="275">
        <f>ROUND(BN60,2)</f>
        <v>5.68</v>
      </c>
      <c r="D797" s="273">
        <f>ROUND(BN61,0)</f>
        <v>1594486</v>
      </c>
      <c r="E797" s="273">
        <f>ROUND(BN62,0)</f>
        <v>454243</v>
      </c>
      <c r="F797" s="273">
        <f>ROUND(BN63,0)</f>
        <v>99319</v>
      </c>
      <c r="G797" s="273">
        <f>ROUND(BN64,0)</f>
        <v>26445</v>
      </c>
      <c r="H797" s="273">
        <f>ROUND(BN65,0)</f>
        <v>0</v>
      </c>
      <c r="I797" s="273">
        <f>ROUND(BN66,0)</f>
        <v>1717543</v>
      </c>
      <c r="J797" s="273">
        <f>ROUND(BN67,0)</f>
        <v>116722</v>
      </c>
      <c r="K797" s="273">
        <f>ROUND(BN68,0)</f>
        <v>106497</v>
      </c>
      <c r="L797" s="273">
        <f>ROUND(BN69,0)</f>
        <v>129023</v>
      </c>
      <c r="M797" s="273">
        <f>ROUND(BN70,0)</f>
        <v>0</v>
      </c>
      <c r="N797" s="273"/>
      <c r="O797" s="273"/>
      <c r="P797" s="273">
        <f>IF(BN76&gt;0,ROUND(BN76,0),0)</f>
        <v>5828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5" customHeight="1" x14ac:dyDescent="0.35">
      <c r="A798" s="208" t="str">
        <f>RIGHT($C$83,3)&amp;"*"&amp;RIGHT($C$82,4)&amp;"*"&amp;BO$55&amp;"*"&amp;"A"</f>
        <v>104*2020*8620*A</v>
      </c>
      <c r="B798" s="273"/>
      <c r="C798" s="275">
        <f>ROUND(BO60,2)</f>
        <v>0.32</v>
      </c>
      <c r="D798" s="273">
        <f>ROUND(BO61,0)</f>
        <v>31763</v>
      </c>
      <c r="E798" s="273">
        <f>ROUND(BO62,0)</f>
        <v>9049</v>
      </c>
      <c r="F798" s="273">
        <f>ROUND(BO63,0)</f>
        <v>0</v>
      </c>
      <c r="G798" s="273">
        <f>ROUND(BO64,0)</f>
        <v>3105</v>
      </c>
      <c r="H798" s="273">
        <f>ROUND(BO65,0)</f>
        <v>0</v>
      </c>
      <c r="I798" s="273">
        <f>ROUND(BO66,0)</f>
        <v>10320</v>
      </c>
      <c r="J798" s="273">
        <f>ROUND(BO67,0)</f>
        <v>0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5" customHeight="1" x14ac:dyDescent="0.35">
      <c r="A799" s="208" t="str">
        <f>RIGHT($C$83,3)&amp;"*"&amp;RIGHT($C$82,4)&amp;"*"&amp;BP$55&amp;"*"&amp;"A"</f>
        <v>104*2020*8630*A</v>
      </c>
      <c r="B799" s="273"/>
      <c r="C799" s="275">
        <f>ROUND(BP60,2)</f>
        <v>0</v>
      </c>
      <c r="D799" s="273">
        <f>ROUND(BP61,0)</f>
        <v>0</v>
      </c>
      <c r="E799" s="273">
        <f>ROUND(BP62,0)</f>
        <v>0</v>
      </c>
      <c r="F799" s="273">
        <f>ROUND(BP63,0)</f>
        <v>2520</v>
      </c>
      <c r="G799" s="273">
        <f>ROUND(BP64,0)</f>
        <v>0</v>
      </c>
      <c r="H799" s="273">
        <f>ROUND(BP65,0)</f>
        <v>0</v>
      </c>
      <c r="I799" s="273">
        <f>ROUND(BP66,0)</f>
        <v>13465</v>
      </c>
      <c r="J799" s="273">
        <f>ROUND(BP67,0)</f>
        <v>0</v>
      </c>
      <c r="K799" s="273">
        <f>ROUND(BP68,0)</f>
        <v>0</v>
      </c>
      <c r="L799" s="273">
        <f>ROUND(BP69,0)</f>
        <v>0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5" customHeight="1" x14ac:dyDescent="0.35">
      <c r="A800" s="208" t="str">
        <f>RIGHT($C$83,3)&amp;"*"&amp;RIGHT($C$82,4)&amp;"*"&amp;BQ$55&amp;"*"&amp;"A"</f>
        <v>104*2020*8640*A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5" customHeight="1" x14ac:dyDescent="0.35">
      <c r="A801" s="208" t="str">
        <f>RIGHT($C$83,3)&amp;"*"&amp;RIGHT($C$82,4)&amp;"*"&amp;BR$55&amp;"*"&amp;"A"</f>
        <v>104*2020*8650*A</v>
      </c>
      <c r="B801" s="273"/>
      <c r="C801" s="275">
        <f>ROUND(BR60,2)</f>
        <v>2.2200000000000002</v>
      </c>
      <c r="D801" s="273">
        <f>ROUND(BR61,0)</f>
        <v>223852</v>
      </c>
      <c r="E801" s="273">
        <f>ROUND(BR62,0)</f>
        <v>63772</v>
      </c>
      <c r="F801" s="273">
        <f>ROUND(BR63,0)</f>
        <v>81667</v>
      </c>
      <c r="G801" s="273">
        <f>ROUND(BR64,0)</f>
        <v>2980</v>
      </c>
      <c r="H801" s="273">
        <f>ROUND(BR65,0)</f>
        <v>0</v>
      </c>
      <c r="I801" s="273">
        <f>ROUND(BR66,0)</f>
        <v>130625</v>
      </c>
      <c r="J801" s="273">
        <f>ROUND(BR67,0)</f>
        <v>12017</v>
      </c>
      <c r="K801" s="273">
        <f>ROUND(BR68,0)</f>
        <v>0</v>
      </c>
      <c r="L801" s="273">
        <f>ROUND(BR69,0)</f>
        <v>710</v>
      </c>
      <c r="M801" s="273">
        <f>ROUND(BR70,0)</f>
        <v>0</v>
      </c>
      <c r="N801" s="273"/>
      <c r="O801" s="273"/>
      <c r="P801" s="273">
        <f>IF(BR76&gt;0,ROUND(BR76,0),0)</f>
        <v>600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5" customHeight="1" x14ac:dyDescent="0.35">
      <c r="A802" s="208" t="str">
        <f>RIGHT($C$83,3)&amp;"*"&amp;RIGHT($C$82,4)&amp;"*"&amp;BS$55&amp;"*"&amp;"A"</f>
        <v>104*2020*8660*A</v>
      </c>
      <c r="B802" s="273"/>
      <c r="C802" s="275">
        <f>ROUND(BS60,2)</f>
        <v>0</v>
      </c>
      <c r="D802" s="273">
        <f>ROUND(BS61,0)</f>
        <v>0</v>
      </c>
      <c r="E802" s="273">
        <f>ROUND(BS62,0)</f>
        <v>0</v>
      </c>
      <c r="F802" s="273">
        <f>ROUND(BS63,0)</f>
        <v>0</v>
      </c>
      <c r="G802" s="273">
        <f>ROUND(BS64,0)</f>
        <v>153</v>
      </c>
      <c r="H802" s="273">
        <f>ROUND(BS65,0)</f>
        <v>0</v>
      </c>
      <c r="I802" s="273">
        <f>ROUND(BS66,0)</f>
        <v>0</v>
      </c>
      <c r="J802" s="273">
        <f>ROUND(BS67,0)</f>
        <v>0</v>
      </c>
      <c r="K802" s="273">
        <f>ROUND(BS68,0)</f>
        <v>0</v>
      </c>
      <c r="L802" s="273">
        <f>ROUND(BS69,0)</f>
        <v>0</v>
      </c>
      <c r="M802" s="273">
        <f>ROUND(BS70,0)</f>
        <v>0</v>
      </c>
      <c r="N802" s="273"/>
      <c r="O802" s="273"/>
      <c r="P802" s="273">
        <f>IF(BS76&gt;0,ROUND(BS76,0),0)</f>
        <v>0</v>
      </c>
      <c r="Q802" s="273">
        <f>IF(BS77&gt;0,ROUND(BS77,0),0)</f>
        <v>0</v>
      </c>
      <c r="R802" s="273">
        <f>IF(BS78&gt;0,ROUND(BS78,0),0)</f>
        <v>0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5" customHeight="1" x14ac:dyDescent="0.35">
      <c r="A803" s="208" t="str">
        <f>RIGHT($C$83,3)&amp;"*"&amp;RIGHT($C$82,4)&amp;"*"&amp;BT$55&amp;"*"&amp;"A"</f>
        <v>104*2020*8670*A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0</v>
      </c>
      <c r="H803" s="273">
        <f>ROUND(BT65,0)</f>
        <v>0</v>
      </c>
      <c r="I803" s="273">
        <f>ROUND(BT66,0)</f>
        <v>0</v>
      </c>
      <c r="J803" s="273">
        <f>ROUND(BT67,0)</f>
        <v>0</v>
      </c>
      <c r="K803" s="273">
        <f>ROUND(BT68,0)</f>
        <v>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0</v>
      </c>
      <c r="Q803" s="273">
        <f>IF(BT77&gt;0,ROUND(BT77,0),0)</f>
        <v>0</v>
      </c>
      <c r="R803" s="273">
        <f>IF(BT78&gt;0,ROUND(BT78,0),0)</f>
        <v>0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5" customHeight="1" x14ac:dyDescent="0.35">
      <c r="A804" s="208" t="str">
        <f>RIGHT($C$83,3)&amp;"*"&amp;RIGHT($C$82,4)&amp;"*"&amp;BU$55&amp;"*"&amp;"A"</f>
        <v>104*2020*8680*A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5" customHeight="1" x14ac:dyDescent="0.35">
      <c r="A805" s="208" t="str">
        <f>RIGHT($C$83,3)&amp;"*"&amp;RIGHT($C$82,4)&amp;"*"&amp;BV$55&amp;"*"&amp;"A"</f>
        <v>104*2020*8690*A</v>
      </c>
      <c r="B805" s="273"/>
      <c r="C805" s="275">
        <f>ROUND(BV60,2)</f>
        <v>10.130000000000001</v>
      </c>
      <c r="D805" s="273">
        <f>ROUND(BV61,0)</f>
        <v>518796</v>
      </c>
      <c r="E805" s="273">
        <f>ROUND(BV62,0)</f>
        <v>147796</v>
      </c>
      <c r="F805" s="273">
        <f>ROUND(BV63,0)</f>
        <v>0</v>
      </c>
      <c r="G805" s="273">
        <f>ROUND(BV64,0)</f>
        <v>2368</v>
      </c>
      <c r="H805" s="273">
        <f>ROUND(BV65,0)</f>
        <v>0</v>
      </c>
      <c r="I805" s="273">
        <f>ROUND(BV66,0)</f>
        <v>176185</v>
      </c>
      <c r="J805" s="273">
        <f>ROUND(BV67,0)</f>
        <v>54616</v>
      </c>
      <c r="K805" s="273">
        <f>ROUND(BV68,0)</f>
        <v>0</v>
      </c>
      <c r="L805" s="273">
        <f>ROUND(BV69,0)</f>
        <v>0</v>
      </c>
      <c r="M805" s="273">
        <f>ROUND(BV70,0)</f>
        <v>0</v>
      </c>
      <c r="N805" s="273"/>
      <c r="O805" s="273"/>
      <c r="P805" s="273">
        <f>IF(BV76&gt;0,ROUND(BV76,0),0)</f>
        <v>2727</v>
      </c>
      <c r="Q805" s="273">
        <f>IF(BV77&gt;0,ROUND(BV77,0),0)</f>
        <v>0</v>
      </c>
      <c r="R805" s="273">
        <f>IF(BV78&gt;0,ROUND(BV78,0),0)</f>
        <v>0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5" customHeight="1" x14ac:dyDescent="0.35">
      <c r="A806" s="208" t="str">
        <f>RIGHT($C$83,3)&amp;"*"&amp;RIGHT($C$82,4)&amp;"*"&amp;BW$55&amp;"*"&amp;"A"</f>
        <v>104*2020*8700*A</v>
      </c>
      <c r="B806" s="273"/>
      <c r="C806" s="275">
        <f>ROUND(BW60,2)</f>
        <v>1.01</v>
      </c>
      <c r="D806" s="273">
        <f>ROUND(BW61,0)</f>
        <v>67639</v>
      </c>
      <c r="E806" s="273">
        <f>ROUND(BW62,0)</f>
        <v>19269</v>
      </c>
      <c r="F806" s="273">
        <f>ROUND(BW63,0)</f>
        <v>0</v>
      </c>
      <c r="G806" s="273">
        <f>ROUND(BW64,0)</f>
        <v>592</v>
      </c>
      <c r="H806" s="273">
        <f>ROUND(BW65,0)</f>
        <v>0</v>
      </c>
      <c r="I806" s="273">
        <f>ROUND(BW66,0)</f>
        <v>23855</v>
      </c>
      <c r="J806" s="273">
        <f>ROUND(BW67,0)</f>
        <v>0</v>
      </c>
      <c r="K806" s="273">
        <f>ROUND(BW68,0)</f>
        <v>0</v>
      </c>
      <c r="L806" s="273">
        <f>ROUND(BW69,0)</f>
        <v>5053</v>
      </c>
      <c r="M806" s="273">
        <f>ROUND(BW70,0)</f>
        <v>0</v>
      </c>
      <c r="N806" s="273"/>
      <c r="O806" s="273"/>
      <c r="P806" s="273">
        <f>IF(BW76&gt;0,ROUND(BW76,0),0)</f>
        <v>0</v>
      </c>
      <c r="Q806" s="273">
        <f>IF(BW77&gt;0,ROUND(BW77,0),0)</f>
        <v>0</v>
      </c>
      <c r="R806" s="273">
        <f>IF(BW78&gt;0,ROUND(BW78,0),0)</f>
        <v>0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5" customHeight="1" x14ac:dyDescent="0.35">
      <c r="A807" s="208" t="str">
        <f>RIGHT($C$83,3)&amp;"*"&amp;RIGHT($C$82,4)&amp;"*"&amp;BX$55&amp;"*"&amp;"A"</f>
        <v>104*2020*8710*A</v>
      </c>
      <c r="B807" s="273"/>
      <c r="C807" s="275">
        <f>ROUND(BX60,2)</f>
        <v>6.35</v>
      </c>
      <c r="D807" s="273">
        <f>ROUND(BX61,0)</f>
        <v>580048</v>
      </c>
      <c r="E807" s="273">
        <f>ROUND(BX62,0)</f>
        <v>165246</v>
      </c>
      <c r="F807" s="273">
        <f>ROUND(BX63,0)</f>
        <v>0</v>
      </c>
      <c r="G807" s="273">
        <f>ROUND(BX64,0)</f>
        <v>2121</v>
      </c>
      <c r="H807" s="273">
        <f>ROUND(BX65,0)</f>
        <v>0</v>
      </c>
      <c r="I807" s="273">
        <f>ROUND(BX66,0)</f>
        <v>134750</v>
      </c>
      <c r="J807" s="273">
        <f>ROUND(BX67,0)</f>
        <v>0</v>
      </c>
      <c r="K807" s="273">
        <f>ROUND(BX68,0)</f>
        <v>0</v>
      </c>
      <c r="L807" s="273">
        <f>ROUND(BX69,0)</f>
        <v>1709</v>
      </c>
      <c r="M807" s="273">
        <f>ROUND(BX70,0)</f>
        <v>0</v>
      </c>
      <c r="N807" s="273"/>
      <c r="O807" s="273"/>
      <c r="P807" s="273">
        <f>IF(BX76&gt;0,ROUND(BX76,0),0)</f>
        <v>0</v>
      </c>
      <c r="Q807" s="273">
        <f>IF(BX77&gt;0,ROUND(BX77,0),0)</f>
        <v>0</v>
      </c>
      <c r="R807" s="273">
        <f>IF(BX78&gt;0,ROUND(BX78,0),0)</f>
        <v>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5" customHeight="1" x14ac:dyDescent="0.35">
      <c r="A808" s="208" t="str">
        <f>RIGHT($C$83,3)&amp;"*"&amp;RIGHT($C$82,4)&amp;"*"&amp;BY$55&amp;"*"&amp;"A"</f>
        <v>104*2020*8720*A</v>
      </c>
      <c r="B808" s="273"/>
      <c r="C808" s="275">
        <f>ROUND(BY60,2)</f>
        <v>2.27</v>
      </c>
      <c r="D808" s="273">
        <f>ROUND(BY61,0)</f>
        <v>270509</v>
      </c>
      <c r="E808" s="273">
        <f>ROUND(BY62,0)</f>
        <v>77064</v>
      </c>
      <c r="F808" s="273">
        <f>ROUND(BY63,0)</f>
        <v>0</v>
      </c>
      <c r="G808" s="273">
        <f>ROUND(BY64,0)</f>
        <v>221</v>
      </c>
      <c r="H808" s="273">
        <f>ROUND(BY65,0)</f>
        <v>0</v>
      </c>
      <c r="I808" s="273">
        <f>ROUND(BY66,0)</f>
        <v>0</v>
      </c>
      <c r="J808" s="273">
        <f>ROUND(BY67,0)</f>
        <v>14961</v>
      </c>
      <c r="K808" s="273">
        <f>ROUND(BY68,0)</f>
        <v>0</v>
      </c>
      <c r="L808" s="273">
        <f>ROUND(BY69,0)</f>
        <v>1170</v>
      </c>
      <c r="M808" s="273">
        <f>ROUND(BY70,0)</f>
        <v>0</v>
      </c>
      <c r="N808" s="273"/>
      <c r="O808" s="273"/>
      <c r="P808" s="273">
        <f>IF(BY76&gt;0,ROUND(BY76,0),0)</f>
        <v>747</v>
      </c>
      <c r="Q808" s="273">
        <f>IF(BY77&gt;0,ROUND(BY77,0),0)</f>
        <v>0</v>
      </c>
      <c r="R808" s="273">
        <f>IF(BY78&gt;0,ROUND(BY78,0),0)</f>
        <v>0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5" customHeight="1" x14ac:dyDescent="0.35">
      <c r="A809" s="208" t="str">
        <f>RIGHT($C$83,3)&amp;"*"&amp;RIGHT($C$82,4)&amp;"*"&amp;BZ$55&amp;"*"&amp;"A"</f>
        <v>104*2020*8730*A</v>
      </c>
      <c r="B809" s="273"/>
      <c r="C809" s="275">
        <f>ROUND(BZ60,2)</f>
        <v>0</v>
      </c>
      <c r="D809" s="273">
        <f>ROUND(BZ61,0)</f>
        <v>0</v>
      </c>
      <c r="E809" s="273">
        <f>ROUND(BZ62,0)</f>
        <v>0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0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5" customHeight="1" x14ac:dyDescent="0.35">
      <c r="A810" s="208" t="str">
        <f>RIGHT($C$83,3)&amp;"*"&amp;RIGHT($C$82,4)&amp;"*"&amp;CA$55&amp;"*"&amp;"A"</f>
        <v>104*2020*8740*A</v>
      </c>
      <c r="B810" s="273"/>
      <c r="C810" s="275">
        <f>ROUND(CA60,2)</f>
        <v>0</v>
      </c>
      <c r="D810" s="273">
        <f>ROUND(CA61,0)</f>
        <v>0</v>
      </c>
      <c r="E810" s="273">
        <f>ROUND(CA62,0)</f>
        <v>0</v>
      </c>
      <c r="F810" s="273">
        <f>ROUND(CA63,0)</f>
        <v>0</v>
      </c>
      <c r="G810" s="273">
        <f>ROUND(CA64,0)</f>
        <v>120</v>
      </c>
      <c r="H810" s="273">
        <f>ROUND(CA65,0)</f>
        <v>0</v>
      </c>
      <c r="I810" s="273">
        <f>ROUND(CA66,0)</f>
        <v>228</v>
      </c>
      <c r="J810" s="273">
        <f>ROUND(CA67,0)</f>
        <v>1855</v>
      </c>
      <c r="K810" s="273">
        <f>ROUND(CA68,0)</f>
        <v>0</v>
      </c>
      <c r="L810" s="273">
        <f>ROUND(CA69,0)</f>
        <v>11046</v>
      </c>
      <c r="M810" s="273">
        <f>ROUND(CA70,0)</f>
        <v>0</v>
      </c>
      <c r="N810" s="273"/>
      <c r="O810" s="273"/>
      <c r="P810" s="273">
        <f>IF(CA76&gt;0,ROUND(CA76,0),0)</f>
        <v>0</v>
      </c>
      <c r="Q810" s="273">
        <f>IF(CA77&gt;0,ROUND(CA77,0),0)</f>
        <v>0</v>
      </c>
      <c r="R810" s="273">
        <f>IF(CA78&gt;0,ROUND(CA78,0),0)</f>
        <v>0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5" customHeight="1" x14ac:dyDescent="0.35">
      <c r="A811" s="208" t="str">
        <f>RIGHT($C$83,3)&amp;"*"&amp;RIGHT($C$82,4)&amp;"*"&amp;CB$55&amp;"*"&amp;"A"</f>
        <v>104*2020*8770*A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0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5" customHeight="1" x14ac:dyDescent="0.35">
      <c r="A812" s="208" t="str">
        <f>RIGHT($C$83,3)&amp;"*"&amp;RIGHT($C$82,4)&amp;"*"&amp;CC$55&amp;"*"&amp;"A"</f>
        <v>104*2020*8790*A</v>
      </c>
      <c r="B812" s="273"/>
      <c r="C812" s="275">
        <f>ROUND(CC60,2)</f>
        <v>0</v>
      </c>
      <c r="D812" s="273">
        <f>ROUND(CC61,0)</f>
        <v>0</v>
      </c>
      <c r="E812" s="273">
        <f>ROUND(CC62,0)</f>
        <v>0</v>
      </c>
      <c r="F812" s="273">
        <f>ROUND(CC63,0)</f>
        <v>0</v>
      </c>
      <c r="G812" s="273">
        <f>ROUND(CC64,0)</f>
        <v>125887</v>
      </c>
      <c r="H812" s="273">
        <f>ROUND(CC65,0)</f>
        <v>0</v>
      </c>
      <c r="I812" s="273">
        <f>ROUND(CC66,0)</f>
        <v>0</v>
      </c>
      <c r="J812" s="273">
        <f>ROUND(CC67,0)</f>
        <v>33947</v>
      </c>
      <c r="K812" s="273">
        <f>ROUND(CC68,0)</f>
        <v>0</v>
      </c>
      <c r="L812" s="273">
        <f>ROUND(CC69,0)</f>
        <v>495856</v>
      </c>
      <c r="M812" s="273">
        <f>ROUND(CC70,0)</f>
        <v>0</v>
      </c>
      <c r="N812" s="273"/>
      <c r="O812" s="273"/>
      <c r="P812" s="273">
        <f>IF(CC76&gt;0,ROUND(CC76,0),0)</f>
        <v>1695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5" customHeight="1" x14ac:dyDescent="0.35">
      <c r="A813" s="208" t="str">
        <f>RIGHT($C$83,3)&amp;"*"&amp;RIGHT($C$82,4)&amp;"*"&amp;"9000"&amp;"*"&amp;"A"</f>
        <v>104*2020*9000*A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0</v>
      </c>
      <c r="V813" s="274">
        <f>ROUND(CD70,0)</f>
        <v>0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5" customHeight="1" x14ac:dyDescent="0.3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5" customHeight="1" x14ac:dyDescent="0.35">
      <c r="B815" s="277" t="s">
        <v>1004</v>
      </c>
      <c r="C815" s="278">
        <f t="shared" ref="C815:K815" si="22">SUM(C734:C813)</f>
        <v>266.42</v>
      </c>
      <c r="D815" s="274">
        <f t="shared" si="22"/>
        <v>24193471</v>
      </c>
      <c r="E815" s="274">
        <f t="shared" si="22"/>
        <v>6892322</v>
      </c>
      <c r="F815" s="274">
        <f t="shared" si="22"/>
        <v>2143814</v>
      </c>
      <c r="G815" s="274">
        <f t="shared" si="22"/>
        <v>6133176</v>
      </c>
      <c r="H815" s="274">
        <f t="shared" si="22"/>
        <v>608427</v>
      </c>
      <c r="I815" s="274">
        <f t="shared" si="22"/>
        <v>6751617</v>
      </c>
      <c r="J815" s="274">
        <f t="shared" si="22"/>
        <v>2418830</v>
      </c>
      <c r="K815" s="274">
        <f t="shared" si="22"/>
        <v>1184622</v>
      </c>
      <c r="L815" s="274">
        <f>SUM(L734:L813)+SUM(U734:U813)</f>
        <v>716244</v>
      </c>
      <c r="M815" s="274">
        <f>SUM(M734:M813)+SUM(V734:V813)</f>
        <v>0</v>
      </c>
      <c r="N815" s="274">
        <f t="shared" ref="N815:Y815" si="23">SUM(N734:N813)</f>
        <v>120472762</v>
      </c>
      <c r="O815" s="274">
        <f t="shared" si="23"/>
        <v>31751671</v>
      </c>
      <c r="P815" s="274">
        <f t="shared" si="23"/>
        <v>83637</v>
      </c>
      <c r="Q815" s="274">
        <f t="shared" si="23"/>
        <v>24022</v>
      </c>
      <c r="R815" s="274">
        <f t="shared" si="23"/>
        <v>21160</v>
      </c>
      <c r="S815" s="274">
        <f t="shared" si="23"/>
        <v>138397</v>
      </c>
      <c r="T815" s="278">
        <f t="shared" si="23"/>
        <v>69.34</v>
      </c>
      <c r="U815" s="274">
        <f t="shared" si="23"/>
        <v>0</v>
      </c>
      <c r="V815" s="274">
        <f t="shared" si="23"/>
        <v>0</v>
      </c>
      <c r="W815" s="274">
        <f t="shared" si="23"/>
        <v>0</v>
      </c>
      <c r="X815" s="274">
        <f t="shared" si="23"/>
        <v>0</v>
      </c>
      <c r="Y815" s="274">
        <f t="shared" si="23"/>
        <v>18891674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5" customHeight="1" x14ac:dyDescent="0.35">
      <c r="B816" s="274" t="s">
        <v>1005</v>
      </c>
      <c r="C816" s="278">
        <f>CE60</f>
        <v>266.42</v>
      </c>
      <c r="D816" s="274">
        <f>CE61</f>
        <v>24193471</v>
      </c>
      <c r="E816" s="274">
        <f>CE62</f>
        <v>6892322</v>
      </c>
      <c r="F816" s="274">
        <f>CE63</f>
        <v>2143814</v>
      </c>
      <c r="G816" s="274">
        <f>CE64</f>
        <v>6133176</v>
      </c>
      <c r="H816" s="277">
        <f>CE65</f>
        <v>608427</v>
      </c>
      <c r="I816" s="277">
        <f>CE66</f>
        <v>6751616.5300000003</v>
      </c>
      <c r="J816" s="277">
        <f>CE67</f>
        <v>2418830</v>
      </c>
      <c r="K816" s="277">
        <f>CE68</f>
        <v>1184622</v>
      </c>
      <c r="L816" s="277">
        <f>CE69</f>
        <v>716244</v>
      </c>
      <c r="M816" s="277">
        <f>CE70</f>
        <v>0</v>
      </c>
      <c r="N816" s="274">
        <f>CE75</f>
        <v>120472762</v>
      </c>
      <c r="O816" s="274">
        <f>CE73</f>
        <v>31751671</v>
      </c>
      <c r="P816" s="274">
        <f>CE76</f>
        <v>83637</v>
      </c>
      <c r="Q816" s="274">
        <f>CE77</f>
        <v>24022</v>
      </c>
      <c r="R816" s="274">
        <f>CE78</f>
        <v>21160</v>
      </c>
      <c r="S816" s="274">
        <f>CE79</f>
        <v>138397</v>
      </c>
      <c r="T816" s="278">
        <f>CE80</f>
        <v>69.34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18891674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5" customHeight="1" x14ac:dyDescent="0.35">
      <c r="B817" s="180" t="s">
        <v>471</v>
      </c>
      <c r="C817" s="198" t="s">
        <v>1007</v>
      </c>
      <c r="D817" s="180">
        <f>C378</f>
        <v>24193471</v>
      </c>
      <c r="E817" s="180">
        <f>C379</f>
        <v>6892322</v>
      </c>
      <c r="F817" s="180">
        <f>C380</f>
        <v>2143814</v>
      </c>
      <c r="G817" s="238">
        <f>C381</f>
        <v>6133176</v>
      </c>
      <c r="H817" s="238">
        <f>C382</f>
        <v>608427</v>
      </c>
      <c r="I817" s="238">
        <f>C383</f>
        <v>6751617</v>
      </c>
      <c r="J817" s="238">
        <f>C384</f>
        <v>2418830</v>
      </c>
      <c r="K817" s="238">
        <f>C385</f>
        <v>1184622</v>
      </c>
      <c r="L817" s="238">
        <f>C386+C387+C388+C389</f>
        <v>716244</v>
      </c>
      <c r="M817" s="238">
        <f>C370</f>
        <v>2637109.69</v>
      </c>
      <c r="N817" s="180">
        <f>D361</f>
        <v>120472761.61</v>
      </c>
      <c r="O817" s="180">
        <f>C359</f>
        <v>31751670.219999999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79" transitionEvaluation="1" transitionEntry="1" codeName="Sheet10">
    <pageSetUpPr autoPageBreaks="0" fitToPage="1"/>
  </sheetPr>
  <dimension ref="A1:CF817"/>
  <sheetViews>
    <sheetView showGridLines="0" topLeftCell="A379" zoomScale="75" workbookViewId="0">
      <selection activeCell="F397" sqref="F39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50" width="11.75" style="180"/>
    <col min="51" max="51" width="17.6875" style="180" customWidth="1"/>
    <col min="52" max="16384" width="11.75" style="180"/>
  </cols>
  <sheetData>
    <row r="1" spans="1:6" ht="12.75" customHeight="1" x14ac:dyDescent="0.3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3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35">
      <c r="A3" s="198"/>
      <c r="C3" s="234"/>
    </row>
    <row r="4" spans="1:6" ht="12.75" customHeight="1" x14ac:dyDescent="0.35">
      <c r="C4" s="234"/>
    </row>
    <row r="5" spans="1:6" ht="12.75" customHeight="1" x14ac:dyDescent="0.35">
      <c r="A5" s="198" t="s">
        <v>1258</v>
      </c>
      <c r="C5" s="234"/>
    </row>
    <row r="6" spans="1:6" ht="12.75" customHeight="1" x14ac:dyDescent="0.35">
      <c r="A6" s="198" t="s">
        <v>0</v>
      </c>
      <c r="C6" s="234"/>
    </row>
    <row r="7" spans="1:6" ht="12.75" customHeight="1" x14ac:dyDescent="0.35">
      <c r="A7" s="198" t="s">
        <v>1</v>
      </c>
      <c r="C7" s="234"/>
    </row>
    <row r="8" spans="1:6" ht="12.75" customHeight="1" x14ac:dyDescent="0.35">
      <c r="C8" s="234"/>
    </row>
    <row r="9" spans="1:6" ht="12.75" customHeight="1" x14ac:dyDescent="0.35">
      <c r="C9" s="234"/>
    </row>
    <row r="10" spans="1:6" ht="12.75" customHeight="1" x14ac:dyDescent="0.35">
      <c r="A10" s="197" t="s">
        <v>1228</v>
      </c>
      <c r="C10" s="234"/>
    </row>
    <row r="11" spans="1:6" ht="12.75" customHeight="1" x14ac:dyDescent="0.35">
      <c r="A11" s="197" t="s">
        <v>1231</v>
      </c>
      <c r="C11" s="234"/>
    </row>
    <row r="12" spans="1:6" ht="12.75" customHeight="1" x14ac:dyDescent="0.35">
      <c r="C12" s="234"/>
    </row>
    <row r="13" spans="1:6" ht="12.75" customHeight="1" x14ac:dyDescent="0.35">
      <c r="C13" s="234"/>
    </row>
    <row r="14" spans="1:6" ht="12.75" customHeight="1" x14ac:dyDescent="0.35">
      <c r="A14" s="198" t="s">
        <v>2</v>
      </c>
      <c r="C14" s="234"/>
    </row>
    <row r="15" spans="1:6" ht="12.75" customHeight="1" x14ac:dyDescent="0.35">
      <c r="A15" s="198"/>
      <c r="C15" s="234"/>
    </row>
    <row r="16" spans="1:6" ht="12.75" customHeight="1" x14ac:dyDescent="0.35">
      <c r="A16" s="180" t="s">
        <v>1260</v>
      </c>
      <c r="C16" s="234"/>
      <c r="F16" s="280" t="s">
        <v>1259</v>
      </c>
    </row>
    <row r="17" spans="1:6" ht="12.75" customHeight="1" x14ac:dyDescent="0.35">
      <c r="A17" s="180" t="s">
        <v>1230</v>
      </c>
      <c r="C17" s="280" t="s">
        <v>1259</v>
      </c>
    </row>
    <row r="18" spans="1:6" ht="12.75" customHeight="1" x14ac:dyDescent="0.35">
      <c r="A18" s="227"/>
      <c r="C18" s="234"/>
    </row>
    <row r="19" spans="1:6" ht="12.75" customHeight="1" x14ac:dyDescent="0.35">
      <c r="C19" s="234"/>
    </row>
    <row r="20" spans="1:6" ht="12.75" customHeight="1" x14ac:dyDescent="0.35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35">
      <c r="A21" s="198"/>
      <c r="C21" s="234"/>
    </row>
    <row r="22" spans="1:6" ht="12.65" customHeight="1" x14ac:dyDescent="0.35">
      <c r="A22" s="235" t="s">
        <v>1254</v>
      </c>
      <c r="B22" s="236"/>
      <c r="C22" s="237"/>
      <c r="D22" s="235"/>
      <c r="E22" s="235"/>
    </row>
    <row r="23" spans="1:6" ht="12.65" customHeight="1" x14ac:dyDescent="0.35">
      <c r="B23" s="198"/>
      <c r="C23" s="234"/>
    </row>
    <row r="24" spans="1:6" ht="12.65" customHeight="1" x14ac:dyDescent="0.35">
      <c r="A24" s="238" t="s">
        <v>3</v>
      </c>
      <c r="C24" s="234"/>
    </row>
    <row r="25" spans="1:6" ht="12.65" customHeight="1" x14ac:dyDescent="0.35">
      <c r="A25" s="197" t="s">
        <v>1235</v>
      </c>
      <c r="C25" s="234"/>
    </row>
    <row r="26" spans="1:6" ht="12.65" customHeight="1" x14ac:dyDescent="0.35">
      <c r="A26" s="198" t="s">
        <v>4</v>
      </c>
      <c r="C26" s="234"/>
    </row>
    <row r="27" spans="1:6" ht="12.65" customHeight="1" x14ac:dyDescent="0.35">
      <c r="A27" s="197" t="s">
        <v>1236</v>
      </c>
      <c r="C27" s="234"/>
    </row>
    <row r="28" spans="1:6" ht="12.65" customHeight="1" x14ac:dyDescent="0.35">
      <c r="A28" s="198" t="s">
        <v>5</v>
      </c>
      <c r="C28" s="234"/>
    </row>
    <row r="29" spans="1:6" ht="12.65" customHeight="1" x14ac:dyDescent="0.35">
      <c r="A29" s="197"/>
      <c r="C29" s="234"/>
    </row>
    <row r="30" spans="1:6" ht="12.65" customHeight="1" x14ac:dyDescent="0.35">
      <c r="A30" s="180" t="s">
        <v>6</v>
      </c>
      <c r="C30" s="234"/>
    </row>
    <row r="31" spans="1:6" ht="12.65" customHeight="1" x14ac:dyDescent="0.35">
      <c r="A31" s="198" t="s">
        <v>7</v>
      </c>
      <c r="C31" s="234"/>
    </row>
    <row r="32" spans="1:6" ht="12.65" customHeight="1" x14ac:dyDescent="0.35">
      <c r="A32" s="198" t="s">
        <v>8</v>
      </c>
      <c r="C32" s="234"/>
    </row>
    <row r="33" spans="1:83" ht="12.65" customHeight="1" x14ac:dyDescent="0.35">
      <c r="A33" s="197" t="s">
        <v>1237</v>
      </c>
      <c r="C33" s="234"/>
    </row>
    <row r="34" spans="1:83" ht="12.65" customHeight="1" x14ac:dyDescent="0.35">
      <c r="A34" s="198" t="s">
        <v>9</v>
      </c>
      <c r="C34" s="234"/>
    </row>
    <row r="35" spans="1:83" ht="12.65" customHeight="1" x14ac:dyDescent="0.35">
      <c r="A35" s="198"/>
      <c r="C35" s="234"/>
    </row>
    <row r="36" spans="1:83" ht="12.65" customHeight="1" x14ac:dyDescent="0.35">
      <c r="A36" s="197" t="s">
        <v>1238</v>
      </c>
      <c r="C36" s="234"/>
    </row>
    <row r="37" spans="1:83" ht="12.65" customHeight="1" x14ac:dyDescent="0.35">
      <c r="A37" s="198" t="s">
        <v>1229</v>
      </c>
      <c r="C37" s="234"/>
    </row>
    <row r="38" spans="1:83" ht="12" customHeight="1" x14ac:dyDescent="0.35">
      <c r="A38" s="197"/>
      <c r="C38" s="234"/>
    </row>
    <row r="39" spans="1:83" ht="12.65" customHeight="1" x14ac:dyDescent="0.35">
      <c r="A39" s="198"/>
      <c r="C39" s="234"/>
    </row>
    <row r="40" spans="1:83" ht="12" customHeight="1" x14ac:dyDescent="0.35">
      <c r="A40" s="198"/>
      <c r="C40" s="234"/>
    </row>
    <row r="41" spans="1:83" ht="12" customHeight="1" x14ac:dyDescent="0.35">
      <c r="A41" s="198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35">
      <c r="A42" s="198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35">
      <c r="A43" s="198"/>
      <c r="C43" s="234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4"/>
      <c r="CE47" s="194">
        <f>SUM(C47:CC47)</f>
        <v>0</v>
      </c>
    </row>
    <row r="48" spans="1:83" ht="12.65" customHeight="1" x14ac:dyDescent="0.35">
      <c r="A48" s="175" t="s">
        <v>205</v>
      </c>
      <c r="B48" s="183">
        <v>7606228</v>
      </c>
      <c r="C48" s="243">
        <f>ROUND(((B48/CE61)*C61),0)</f>
        <v>319314</v>
      </c>
      <c r="D48" s="243">
        <f>ROUND(((B48/CE61)*D61),0)</f>
        <v>0</v>
      </c>
      <c r="E48" s="194">
        <f>ROUND(((B48/CE61)*E61),0)</f>
        <v>649146</v>
      </c>
      <c r="F48" s="194">
        <f>ROUND(((B48/CE61)*F61),0)</f>
        <v>0</v>
      </c>
      <c r="G48" s="194">
        <f>ROUND(((B48/CE61)*G61),0)</f>
        <v>45035</v>
      </c>
      <c r="H48" s="194">
        <f>ROUND(((B48/CE61)*H61),0)</f>
        <v>0</v>
      </c>
      <c r="I48" s="194">
        <f>ROUND(((B48/CE61)*I61),0)</f>
        <v>783929</v>
      </c>
      <c r="J48" s="194">
        <f>ROUND(((B48/CE61)*J61),0)</f>
        <v>0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0</v>
      </c>
      <c r="N48" s="194">
        <f>ROUND(((B48/CE61)*N61),0)</f>
        <v>70357</v>
      </c>
      <c r="O48" s="194">
        <f>ROUND(((B48/CE61)*O61),0)</f>
        <v>0</v>
      </c>
      <c r="P48" s="194">
        <f>ROUND(((B48/CE61)*P61),0)</f>
        <v>323741</v>
      </c>
      <c r="Q48" s="194">
        <f>ROUND(((B48/CE61)*Q61),0)</f>
        <v>104782</v>
      </c>
      <c r="R48" s="194">
        <f>ROUND(((B48/CE61)*R61),0)</f>
        <v>0</v>
      </c>
      <c r="S48" s="194">
        <f>ROUND(((B48/CE61)*S61),0)</f>
        <v>31971</v>
      </c>
      <c r="T48" s="194">
        <f>ROUND(((B48/CE61)*T61),0)</f>
        <v>0</v>
      </c>
      <c r="U48" s="194">
        <f>ROUND(((B48/CE61)*U61),0)</f>
        <v>351203</v>
      </c>
      <c r="V48" s="194">
        <f>ROUND(((B48/CE61)*V61),0)</f>
        <v>0</v>
      </c>
      <c r="W48" s="194">
        <f>ROUND(((B48/CE61)*W61),0)</f>
        <v>74581</v>
      </c>
      <c r="X48" s="194">
        <f>ROUND(((B48/CE61)*X61),0)</f>
        <v>189342</v>
      </c>
      <c r="Y48" s="194">
        <f>ROUND(((B48/CE61)*Y61),0)</f>
        <v>67745</v>
      </c>
      <c r="Z48" s="194">
        <f>ROUND(((B48/CE61)*Z61),0)</f>
        <v>0</v>
      </c>
      <c r="AA48" s="194">
        <f>ROUND(((B48/CE61)*AA61),0)</f>
        <v>16368</v>
      </c>
      <c r="AB48" s="194">
        <f>ROUND(((B48/CE61)*AB61),0)</f>
        <v>214991</v>
      </c>
      <c r="AC48" s="194">
        <f>ROUND(((B48/CE61)*AC61),0)</f>
        <v>128243</v>
      </c>
      <c r="AD48" s="194">
        <f>ROUND(((B48/CE61)*AD61),0)</f>
        <v>0</v>
      </c>
      <c r="AE48" s="194">
        <f>ROUND(((B48/CE61)*AE61),0)</f>
        <v>124623</v>
      </c>
      <c r="AF48" s="194">
        <f>ROUND(((B48/CE61)*AF61),0)</f>
        <v>0</v>
      </c>
      <c r="AG48" s="194">
        <f>ROUND(((B48/CE61)*AG61),0)</f>
        <v>763549</v>
      </c>
      <c r="AH48" s="194">
        <f>ROUND(((B48/CE61)*AH61),0)</f>
        <v>0</v>
      </c>
      <c r="AI48" s="194">
        <f>ROUND(((B48/CE61)*AI61),0)</f>
        <v>159977</v>
      </c>
      <c r="AJ48" s="194">
        <f>ROUND(((B48/CE61)*AJ61),0)</f>
        <v>0</v>
      </c>
      <c r="AK48" s="194">
        <f>ROUND(((B48/CE61)*AK61),0)</f>
        <v>0</v>
      </c>
      <c r="AL48" s="194">
        <f>ROUND(((B48/CE61)*AL61),0)</f>
        <v>0</v>
      </c>
      <c r="AM48" s="194">
        <f>ROUND(((B48/CE61)*AM61),0)</f>
        <v>0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0</v>
      </c>
      <c r="AQ48" s="194">
        <f>ROUND(((B48/CE61)*AQ61),0)</f>
        <v>0</v>
      </c>
      <c r="AR48" s="194">
        <f>ROUND(((B48/CE61)*AR61),0)</f>
        <v>0</v>
      </c>
      <c r="AS48" s="194">
        <f>ROUND(((B48/CE61)*AS61),0)</f>
        <v>0</v>
      </c>
      <c r="AT48" s="194">
        <f>ROUND(((B48/CE61)*AT61),0)</f>
        <v>0</v>
      </c>
      <c r="AU48" s="194">
        <f>ROUND(((B48/CE61)*AU61),0)</f>
        <v>0</v>
      </c>
      <c r="AV48" s="194">
        <f>ROUND(((B48/CE61)*AV61),0)</f>
        <v>839334</v>
      </c>
      <c r="AW48" s="194">
        <f>ROUND(((B48/CE61)*AW61),0)</f>
        <v>0</v>
      </c>
      <c r="AX48" s="194">
        <f>ROUND(((B48/CE61)*AX61),0)</f>
        <v>0</v>
      </c>
      <c r="AY48" s="194">
        <f>ROUND(((B48/CE61)*AY61),0)</f>
        <v>213453</v>
      </c>
      <c r="AZ48" s="194">
        <f>ROUND(((B48/CE61)*AZ61),0)</f>
        <v>0</v>
      </c>
      <c r="BA48" s="194">
        <f>ROUND(((B48/CE61)*BA61),0)</f>
        <v>0</v>
      </c>
      <c r="BB48" s="194">
        <f>ROUND(((B48/CE61)*BB61),0)</f>
        <v>0</v>
      </c>
      <c r="BC48" s="194">
        <f>ROUND(((B48/CE61)*BC61),0)</f>
        <v>0</v>
      </c>
      <c r="BD48" s="194">
        <f>ROUND(((B48/CE61)*BD61),0)</f>
        <v>43530</v>
      </c>
      <c r="BE48" s="194">
        <f>ROUND(((B48/CE61)*BE61),0)</f>
        <v>138466</v>
      </c>
      <c r="BF48" s="194">
        <f>ROUND(((B48/CE61)*BF61),0)</f>
        <v>215415</v>
      </c>
      <c r="BG48" s="194">
        <f>ROUND(((B48/CE61)*BG61),0)</f>
        <v>0</v>
      </c>
      <c r="BH48" s="194">
        <f>ROUND(((B48/CE61)*BH61),0)</f>
        <v>0</v>
      </c>
      <c r="BI48" s="194">
        <f>ROUND(((B48/CE61)*BI61),0)</f>
        <v>35886</v>
      </c>
      <c r="BJ48" s="194">
        <f>ROUND(((B48/CE61)*BJ61),0)</f>
        <v>55213</v>
      </c>
      <c r="BK48" s="194">
        <f>ROUND(((B48/CE61)*BK61),0)</f>
        <v>111770</v>
      </c>
      <c r="BL48" s="194">
        <f>ROUND(((B48/CE61)*BL61),0)</f>
        <v>194315</v>
      </c>
      <c r="BM48" s="194">
        <f>ROUND(((B48/CE61)*BM61),0)</f>
        <v>139158</v>
      </c>
      <c r="BN48" s="194">
        <f>ROUND(((B48/CE61)*BN61),0)</f>
        <v>646840</v>
      </c>
      <c r="BO48" s="194">
        <f>ROUND(((B48/CE61)*BO61),0)</f>
        <v>0</v>
      </c>
      <c r="BP48" s="194">
        <f>ROUND(((B48/CE61)*BP61),0)</f>
        <v>27333</v>
      </c>
      <c r="BQ48" s="194">
        <f>ROUND(((B48/CE61)*BQ61),0)</f>
        <v>0</v>
      </c>
      <c r="BR48" s="194">
        <f>ROUND(((B48/CE61)*BR61),0)</f>
        <v>72490</v>
      </c>
      <c r="BS48" s="194">
        <f>ROUND(((B48/CE61)*BS61),0)</f>
        <v>0</v>
      </c>
      <c r="BT48" s="194">
        <f>ROUND(((B48/CE61)*BT61),0)</f>
        <v>0</v>
      </c>
      <c r="BU48" s="194">
        <f>ROUND(((B48/CE61)*BU61),0)</f>
        <v>0</v>
      </c>
      <c r="BV48" s="194">
        <f>ROUND(((B48/CE61)*BV61),0)</f>
        <v>153084</v>
      </c>
      <c r="BW48" s="194">
        <f>ROUND(((B48/CE61)*BW61),0)</f>
        <v>19455</v>
      </c>
      <c r="BX48" s="194">
        <f>ROUND(((B48/CE61)*BX61),0)</f>
        <v>0</v>
      </c>
      <c r="BY48" s="194">
        <f>ROUND(((B48/CE61)*BY61),0)</f>
        <v>105545</v>
      </c>
      <c r="BZ48" s="194">
        <f>ROUND(((B48/CE61)*BZ61),0)</f>
        <v>0</v>
      </c>
      <c r="CA48" s="194">
        <f>ROUND(((B48/CE61)*CA61),0)</f>
        <v>0</v>
      </c>
      <c r="CB48" s="194">
        <f>ROUND(((B48/CE61)*CB61),0)</f>
        <v>0</v>
      </c>
      <c r="CC48" s="194">
        <f>ROUND(((B48/CE61)*CC61),0)</f>
        <v>176047</v>
      </c>
      <c r="CD48" s="194"/>
      <c r="CE48" s="194">
        <f>SUM(C48:CD48)</f>
        <v>7606231</v>
      </c>
    </row>
    <row r="49" spans="1:84" ht="12.65" customHeight="1" x14ac:dyDescent="0.35">
      <c r="A49" s="175" t="s">
        <v>206</v>
      </c>
      <c r="B49" s="194">
        <f>B47+B48</f>
        <v>7606228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4" ht="12.65" customHeight="1" x14ac:dyDescent="0.35">
      <c r="A50" s="175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4"/>
      <c r="CE51" s="194">
        <f>SUM(C51:CD51)</f>
        <v>0</v>
      </c>
    </row>
    <row r="52" spans="1:84" ht="12.65" customHeight="1" x14ac:dyDescent="0.35">
      <c r="A52" s="171" t="s">
        <v>208</v>
      </c>
      <c r="B52" s="184">
        <v>1943048</v>
      </c>
      <c r="C52" s="194">
        <f>ROUND((B52/(CE76+CF76)*C76),0)</f>
        <v>43074</v>
      </c>
      <c r="D52" s="194">
        <f>ROUND((B52/(CE76+CF76)*D76),0)</f>
        <v>0</v>
      </c>
      <c r="E52" s="194">
        <f>ROUND((B52/(CE76+CF76)*E76),0)</f>
        <v>180619</v>
      </c>
      <c r="F52" s="194">
        <f>ROUND((B52/(CE76+CF76)*F76),0)</f>
        <v>0</v>
      </c>
      <c r="G52" s="194">
        <f>ROUND((B52/(CE76+CF76)*G76),0)</f>
        <v>0</v>
      </c>
      <c r="H52" s="194">
        <f>ROUND((B52/(CE76+CF76)*H76),0)</f>
        <v>0</v>
      </c>
      <c r="I52" s="194">
        <f>ROUND((B52/(CE76+CF76)*I76),0)</f>
        <v>305202</v>
      </c>
      <c r="J52" s="194">
        <f>ROUND((B52/(CE76+CF76)*J76),0)</f>
        <v>0</v>
      </c>
      <c r="K52" s="194">
        <f>ROUND((B52/(CE76+CF76)*K76),0)</f>
        <v>0</v>
      </c>
      <c r="L52" s="194">
        <f>ROUND((B52/(CE76+CF76)*L76),0)</f>
        <v>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0</v>
      </c>
      <c r="P52" s="194">
        <f>ROUND((B52/(CE76+CF76)*P76),0)</f>
        <v>106159</v>
      </c>
      <c r="Q52" s="194">
        <f>ROUND((B52/(CE76+CF76)*Q76),0)</f>
        <v>11748</v>
      </c>
      <c r="R52" s="194">
        <f>ROUND((B52/(CE76+CF76)*R76),0)</f>
        <v>3563</v>
      </c>
      <c r="S52" s="194">
        <f>ROUND((B52/(CE76+CF76)*S76),0)</f>
        <v>0</v>
      </c>
      <c r="T52" s="194">
        <f>ROUND((B52/(CE76+CF76)*T76),0)</f>
        <v>0</v>
      </c>
      <c r="U52" s="194">
        <f>ROUND((B52/(CE76+CF76)*U76),0)</f>
        <v>25061</v>
      </c>
      <c r="V52" s="194">
        <f>ROUND((B52/(CE76+CF76)*V76),0)</f>
        <v>0</v>
      </c>
      <c r="W52" s="194">
        <f>ROUND((B52/(CE76+CF76)*W76),0)</f>
        <v>9398</v>
      </c>
      <c r="X52" s="194">
        <f>ROUND((B52/(CE76+CF76)*X76),0)</f>
        <v>7930</v>
      </c>
      <c r="Y52" s="194">
        <f>ROUND((B52/(CE76+CF76)*Y76),0)</f>
        <v>49888</v>
      </c>
      <c r="Z52" s="194">
        <f>ROUND((B52/(CE76+CF76)*Z76),0)</f>
        <v>0</v>
      </c>
      <c r="AA52" s="194">
        <f>ROUND((B52/(CE76+CF76)*AA76),0)</f>
        <v>8360</v>
      </c>
      <c r="AB52" s="194">
        <f>ROUND((B52/(CE76+CF76)*AB76),0)</f>
        <v>15879</v>
      </c>
      <c r="AC52" s="194">
        <f>ROUND((B52/(CE76+CF76)*AC76),0)</f>
        <v>14978</v>
      </c>
      <c r="AD52" s="194">
        <f>ROUND((B52/(CE76+CF76)*AD76),0)</f>
        <v>0</v>
      </c>
      <c r="AE52" s="194">
        <f>ROUND((B52/(CE76+CF76)*AE76),0)</f>
        <v>5091</v>
      </c>
      <c r="AF52" s="194">
        <f>ROUND((B52/(CE76+CF76)*AF76),0)</f>
        <v>0</v>
      </c>
      <c r="AG52" s="194">
        <f>ROUND((B52/(CE76+CF76)*AG76),0)</f>
        <v>152718</v>
      </c>
      <c r="AH52" s="194">
        <f>ROUND((B52/(CE76+CF76)*AH76),0)</f>
        <v>0</v>
      </c>
      <c r="AI52" s="194">
        <f>ROUND((B52/(CE76+CF76)*AI76),0)</f>
        <v>11748</v>
      </c>
      <c r="AJ52" s="194">
        <f>ROUND((B52/(CE76+CF76)*AJ76),0)</f>
        <v>0</v>
      </c>
      <c r="AK52" s="194">
        <f>ROUND((B52/(CE76+CF76)*AK76),0)</f>
        <v>0</v>
      </c>
      <c r="AL52" s="194">
        <f>ROUND((B52/(CE76+CF76)*AL76),0)</f>
        <v>0</v>
      </c>
      <c r="AM52" s="194">
        <f>ROUND((B52/(CE76+CF76)*AM76),0)</f>
        <v>0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0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0</v>
      </c>
      <c r="AU52" s="194">
        <f>ROUND((B52/(CE76+CF76)*AU76),0)</f>
        <v>0</v>
      </c>
      <c r="AV52" s="194">
        <f>ROUND((B52/(CE76+CF76)*AV76),0)</f>
        <v>484607</v>
      </c>
      <c r="AW52" s="194">
        <f>ROUND((B52/(CE76+CF76)*AW76),0)</f>
        <v>0</v>
      </c>
      <c r="AX52" s="194">
        <f>ROUND((B52/(CE76+CF76)*AX76),0)</f>
        <v>0</v>
      </c>
      <c r="AY52" s="194">
        <f>ROUND((B52/(CE76+CF76)*AY76),0)</f>
        <v>0</v>
      </c>
      <c r="AZ52" s="194">
        <f>ROUND((B52/(CE76+CF76)*AZ76),0)</f>
        <v>0</v>
      </c>
      <c r="BA52" s="194">
        <f>ROUND((B52/(CE76+CF76)*BA76),0)</f>
        <v>0</v>
      </c>
      <c r="BB52" s="194">
        <f>ROUND((B52/(CE76+CF76)*BB76),0)</f>
        <v>0</v>
      </c>
      <c r="BC52" s="194">
        <f>ROUND((B52/(CE76+CF76)*BC76),0)</f>
        <v>0</v>
      </c>
      <c r="BD52" s="194">
        <f>ROUND((B52/(CE76+CF76)*BD76),0)</f>
        <v>0</v>
      </c>
      <c r="BE52" s="194">
        <f>ROUND((B52/(CE76+CF76)*BE76),0)</f>
        <v>0</v>
      </c>
      <c r="BF52" s="194">
        <f>ROUND((B52/(CE76+CF76)*BF76),0)</f>
        <v>0</v>
      </c>
      <c r="BG52" s="194">
        <f>ROUND((B52/(CE76+CF76)*BG76),0)</f>
        <v>0</v>
      </c>
      <c r="BH52" s="194">
        <f>ROUND((B52/(CE76+CF76)*BH76),0)</f>
        <v>0</v>
      </c>
      <c r="BI52" s="194">
        <f>ROUND((B52/(CE76+CF76)*BI76),0)</f>
        <v>0</v>
      </c>
      <c r="BJ52" s="194">
        <f>ROUND((B52/(CE76+CF76)*BJ76),0)</f>
        <v>0</v>
      </c>
      <c r="BK52" s="194">
        <f>ROUND((B52/(CE76+CF76)*BK76),0)</f>
        <v>0</v>
      </c>
      <c r="BL52" s="194">
        <f>ROUND((B52/(CE76+CF76)*BL76),0)</f>
        <v>0</v>
      </c>
      <c r="BM52" s="194">
        <f>ROUND((B52/(CE76+CF76)*BM76),0)</f>
        <v>0</v>
      </c>
      <c r="BN52" s="194">
        <f>ROUND((B52/(CE76+CF76)*BN76),0)</f>
        <v>0</v>
      </c>
      <c r="BO52" s="194">
        <f>ROUND((B52/(CE76+CF76)*BO76),0)</f>
        <v>0</v>
      </c>
      <c r="BP52" s="194">
        <f>ROUND((B52/(CE76+CF76)*BP76),0)</f>
        <v>0</v>
      </c>
      <c r="BQ52" s="194">
        <f>ROUND((B52/(CE76+CF76)*BQ76),0)</f>
        <v>0</v>
      </c>
      <c r="BR52" s="194">
        <f>ROUND((B52/(CE76+CF76)*BR76),0)</f>
        <v>0</v>
      </c>
      <c r="BS52" s="194">
        <f>ROUND((B52/(CE76+CF76)*BS76),0)</f>
        <v>0</v>
      </c>
      <c r="BT52" s="194">
        <f>ROUND((B52/(CE76+CF76)*BT76),0)</f>
        <v>0</v>
      </c>
      <c r="BU52" s="194">
        <f>ROUND((B52/(CE76+CF76)*BU76),0)</f>
        <v>0</v>
      </c>
      <c r="BV52" s="194">
        <f>ROUND((B52/(CE76+CF76)*BV76),0)</f>
        <v>0</v>
      </c>
      <c r="BW52" s="194">
        <f>ROUND((B52/(CE76+CF76)*BW76),0)</f>
        <v>0</v>
      </c>
      <c r="BX52" s="194">
        <f>ROUND((B52/(CE76+CF76)*BX76),0)</f>
        <v>0</v>
      </c>
      <c r="BY52" s="194">
        <f>ROUND((B52/(CE76+CF76)*BY76),0)</f>
        <v>0</v>
      </c>
      <c r="BZ52" s="194">
        <f>ROUND((B52/(CE76+CF76)*BZ76),0)</f>
        <v>0</v>
      </c>
      <c r="CA52" s="194">
        <f>ROUND((B52/(CE76+CF76)*CA76),0)</f>
        <v>0</v>
      </c>
      <c r="CB52" s="194">
        <f>ROUND((B52/(CE76+CF76)*CB76),0)</f>
        <v>0</v>
      </c>
      <c r="CC52" s="194">
        <f>ROUND((B52/(CE76+CF76)*CC76),0)</f>
        <v>507025</v>
      </c>
      <c r="CD52" s="194"/>
      <c r="CE52" s="194">
        <f>SUM(C52:CD52)</f>
        <v>1943048</v>
      </c>
    </row>
    <row r="53" spans="1:84" ht="12.65" customHeight="1" x14ac:dyDescent="0.35">
      <c r="A53" s="175" t="s">
        <v>206</v>
      </c>
      <c r="B53" s="194">
        <f>B51+B52</f>
        <v>1943048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4" ht="15.75" customHeight="1" x14ac:dyDescent="0.35">
      <c r="A54" s="175"/>
      <c r="B54" s="175"/>
      <c r="C54" s="190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5" customHeight="1" x14ac:dyDescent="0.35">
      <c r="A59" s="171" t="s">
        <v>233</v>
      </c>
      <c r="B59" s="175"/>
      <c r="C59" s="184">
        <v>709</v>
      </c>
      <c r="D59" s="184"/>
      <c r="E59" s="184">
        <v>2666</v>
      </c>
      <c r="F59" s="184"/>
      <c r="G59" s="184">
        <f>4770+100</f>
        <v>4870</v>
      </c>
      <c r="H59" s="184"/>
      <c r="I59" s="184">
        <v>7319</v>
      </c>
      <c r="J59" s="184"/>
      <c r="K59" s="184"/>
      <c r="L59" s="184"/>
      <c r="M59" s="184"/>
      <c r="N59" s="184">
        <f>743</f>
        <v>743</v>
      </c>
      <c r="O59" s="184"/>
      <c r="P59" s="185">
        <f>40483+62945</f>
        <v>103428</v>
      </c>
      <c r="Q59" s="287">
        <v>65374</v>
      </c>
      <c r="R59" s="185">
        <f>40483+62945</f>
        <v>103428</v>
      </c>
      <c r="S59" s="246"/>
      <c r="T59" s="246"/>
      <c r="U59" s="185">
        <f>32976+94124</f>
        <v>127100</v>
      </c>
      <c r="V59" s="185">
        <f>580+3515</f>
        <v>4095</v>
      </c>
      <c r="W59" s="185">
        <f>55+1087</f>
        <v>1142</v>
      </c>
      <c r="X59" s="185">
        <f>642+4451</f>
        <v>5093</v>
      </c>
      <c r="Y59" s="185">
        <f>1377+8048</f>
        <v>9425</v>
      </c>
      <c r="Z59" s="185"/>
      <c r="AA59" s="185">
        <f>5+45</f>
        <v>50</v>
      </c>
      <c r="AB59" s="246"/>
      <c r="AC59" s="185">
        <f>2276+1237</f>
        <v>3513</v>
      </c>
      <c r="AD59" s="185"/>
      <c r="AE59" s="185">
        <f>2043+14700</f>
        <v>16743</v>
      </c>
      <c r="AF59" s="185"/>
      <c r="AG59" s="185">
        <v>15712</v>
      </c>
      <c r="AH59" s="185"/>
      <c r="AI59" s="185">
        <v>874</v>
      </c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6"/>
      <c r="AW59" s="246"/>
      <c r="AX59" s="246"/>
      <c r="AY59" s="287">
        <v>104241</v>
      </c>
      <c r="AZ59" s="185"/>
      <c r="BA59" s="246"/>
      <c r="BB59" s="246"/>
      <c r="BC59" s="246"/>
      <c r="BD59" s="246"/>
      <c r="BE59" s="185">
        <v>99240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4"/>
    </row>
    <row r="60" spans="1:84" ht="12.65" customHeight="1" x14ac:dyDescent="0.35">
      <c r="A60" s="248" t="s">
        <v>234</v>
      </c>
      <c r="B60" s="175"/>
      <c r="C60" s="288">
        <v>8.01</v>
      </c>
      <c r="D60" s="286"/>
      <c r="E60" s="286">
        <v>25.88</v>
      </c>
      <c r="F60" s="222"/>
      <c r="G60" s="286">
        <f>1.29+0.12</f>
        <v>1.4100000000000001</v>
      </c>
      <c r="H60" s="186"/>
      <c r="I60" s="286">
        <v>32.090000000000003</v>
      </c>
      <c r="J60" s="222"/>
      <c r="K60" s="186"/>
      <c r="L60" s="186"/>
      <c r="M60" s="186"/>
      <c r="N60" s="286">
        <f>2.83</f>
        <v>2.83</v>
      </c>
      <c r="O60" s="186"/>
      <c r="P60" s="289">
        <v>10.83</v>
      </c>
      <c r="Q60" s="289">
        <v>2.2799999999999998</v>
      </c>
      <c r="R60" s="289"/>
      <c r="S60" s="220"/>
      <c r="T60" s="220"/>
      <c r="U60" s="289">
        <v>10.88</v>
      </c>
      <c r="V60" s="289">
        <v>1.23</v>
      </c>
      <c r="W60" s="289">
        <v>2.02</v>
      </c>
      <c r="X60" s="289">
        <v>7.86</v>
      </c>
      <c r="Y60" s="289">
        <v>2.97</v>
      </c>
      <c r="Z60" s="220"/>
      <c r="AA60" s="289">
        <v>0.62</v>
      </c>
      <c r="AB60" s="289">
        <v>6.87</v>
      </c>
      <c r="AC60" s="289">
        <v>5.1100000000000003</v>
      </c>
      <c r="AD60" s="289"/>
      <c r="AE60" s="289">
        <v>5.78</v>
      </c>
      <c r="AF60" s="220"/>
      <c r="AG60" s="289">
        <v>26.4</v>
      </c>
      <c r="AH60" s="289"/>
      <c r="AI60" s="289">
        <v>6.1</v>
      </c>
      <c r="AJ60" s="220"/>
      <c r="AK60" s="220"/>
      <c r="AL60" s="220"/>
      <c r="AM60" s="220"/>
      <c r="AN60" s="220"/>
      <c r="AO60" s="220"/>
      <c r="AP60" s="220"/>
      <c r="AQ60" s="220"/>
      <c r="AR60" s="220"/>
      <c r="AS60" s="220"/>
      <c r="AT60" s="220"/>
      <c r="AU60" s="220"/>
      <c r="AV60" s="289">
        <f>0.85+1.92+0.03+0.17+0.92+2.66+1+3.4+1.46+0.44</f>
        <v>12.85</v>
      </c>
      <c r="AW60" s="220"/>
      <c r="AX60" s="220"/>
      <c r="AY60" s="289">
        <v>16.739999999999998</v>
      </c>
      <c r="AZ60" s="220"/>
      <c r="BA60" s="220"/>
      <c r="BB60" s="220"/>
      <c r="BC60" s="220"/>
      <c r="BD60" s="289">
        <v>2.85</v>
      </c>
      <c r="BE60" s="289">
        <v>7.85</v>
      </c>
      <c r="BF60" s="289">
        <v>16.71</v>
      </c>
      <c r="BG60" s="220"/>
      <c r="BH60" s="220"/>
      <c r="BI60" s="289">
        <f>0.01+0.98</f>
        <v>0.99</v>
      </c>
      <c r="BJ60" s="289">
        <v>2.6</v>
      </c>
      <c r="BK60" s="289">
        <v>7.95</v>
      </c>
      <c r="BL60" s="289">
        <v>14.11</v>
      </c>
      <c r="BM60" s="289">
        <f>5.47</f>
        <v>5.47</v>
      </c>
      <c r="BN60" s="289">
        <v>3.26</v>
      </c>
      <c r="BO60" s="220"/>
      <c r="BP60" s="289">
        <v>0.82</v>
      </c>
      <c r="BQ60" s="220"/>
      <c r="BR60" s="289">
        <v>2</v>
      </c>
      <c r="BS60" s="220"/>
      <c r="BT60" s="220"/>
      <c r="BU60" s="220"/>
      <c r="BV60" s="289">
        <v>9.51</v>
      </c>
      <c r="BW60" s="289">
        <v>1.0900000000000001</v>
      </c>
      <c r="BX60" s="220"/>
      <c r="BY60" s="289">
        <v>2.74</v>
      </c>
      <c r="BZ60" s="220"/>
      <c r="CA60" s="220"/>
      <c r="CB60" s="220"/>
      <c r="CC60" s="289">
        <f>0.94+1.19+1.4+2.99+0.67</f>
        <v>7.1899999999999995</v>
      </c>
      <c r="CD60" s="247" t="s">
        <v>221</v>
      </c>
      <c r="CE60" s="249">
        <f t="shared" ref="CE60:CE70" si="0">SUM(C60:CD60)</f>
        <v>273.89999999999998</v>
      </c>
    </row>
    <row r="61" spans="1:84" ht="12.65" customHeight="1" x14ac:dyDescent="0.35">
      <c r="A61" s="171" t="s">
        <v>235</v>
      </c>
      <c r="B61" s="175"/>
      <c r="C61" s="184">
        <v>1023798</v>
      </c>
      <c r="D61" s="184"/>
      <c r="E61" s="184">
        <v>2081321</v>
      </c>
      <c r="F61" s="185"/>
      <c r="G61" s="184">
        <v>144392</v>
      </c>
      <c r="H61" s="184"/>
      <c r="I61" s="185">
        <v>2513466</v>
      </c>
      <c r="J61" s="185"/>
      <c r="K61" s="185"/>
      <c r="L61" s="185"/>
      <c r="M61" s="184"/>
      <c r="N61" s="184">
        <f>225581</f>
        <v>225581</v>
      </c>
      <c r="O61" s="184"/>
      <c r="P61" s="185">
        <v>1037991</v>
      </c>
      <c r="Q61" s="185">
        <v>335955</v>
      </c>
      <c r="R61" s="185">
        <v>0</v>
      </c>
      <c r="S61" s="185">
        <v>102506</v>
      </c>
      <c r="T61" s="185"/>
      <c r="U61" s="185">
        <v>1126041</v>
      </c>
      <c r="V61" s="185"/>
      <c r="W61" s="185">
        <v>239125</v>
      </c>
      <c r="X61" s="185">
        <v>607077</v>
      </c>
      <c r="Y61" s="185">
        <v>217206</v>
      </c>
      <c r="Z61" s="185"/>
      <c r="AA61" s="185">
        <v>52481</v>
      </c>
      <c r="AB61" s="185">
        <f>689312</f>
        <v>689312</v>
      </c>
      <c r="AC61" s="185">
        <v>411177</v>
      </c>
      <c r="AD61" s="185"/>
      <c r="AE61" s="185">
        <v>399573</v>
      </c>
      <c r="AF61" s="185"/>
      <c r="AG61" s="185">
        <v>2448125</v>
      </c>
      <c r="AH61" s="185"/>
      <c r="AI61" s="185">
        <v>512925</v>
      </c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203371+74312+282465+334875+333250+93049+1369785</f>
        <v>2691107</v>
      </c>
      <c r="AW61" s="185"/>
      <c r="AX61" s="185"/>
      <c r="AY61" s="185">
        <v>684381</v>
      </c>
      <c r="AZ61" s="185"/>
      <c r="BA61" s="185"/>
      <c r="BB61" s="185"/>
      <c r="BC61" s="185"/>
      <c r="BD61" s="185">
        <v>139568</v>
      </c>
      <c r="BE61" s="185">
        <v>443956</v>
      </c>
      <c r="BF61" s="185">
        <v>690673</v>
      </c>
      <c r="BG61" s="185"/>
      <c r="BH61" s="185"/>
      <c r="BI61" s="185">
        <v>115059</v>
      </c>
      <c r="BJ61" s="185">
        <v>177027</v>
      </c>
      <c r="BK61" s="185">
        <v>358361</v>
      </c>
      <c r="BL61" s="185">
        <v>623022</v>
      </c>
      <c r="BM61" s="185">
        <f>446174</f>
        <v>446174</v>
      </c>
      <c r="BN61" s="185">
        <v>2073927</v>
      </c>
      <c r="BO61" s="185"/>
      <c r="BP61" s="185">
        <v>87635</v>
      </c>
      <c r="BQ61" s="185"/>
      <c r="BR61" s="185">
        <v>232419</v>
      </c>
      <c r="BS61" s="185"/>
      <c r="BT61" s="185"/>
      <c r="BU61" s="185"/>
      <c r="BV61" s="185">
        <v>490824</v>
      </c>
      <c r="BW61" s="185">
        <v>62376</v>
      </c>
      <c r="BX61" s="185"/>
      <c r="BY61" s="185">
        <v>338403</v>
      </c>
      <c r="BZ61" s="185"/>
      <c r="CA61" s="185"/>
      <c r="CB61" s="185"/>
      <c r="CC61" s="185">
        <f>21504+87677+116182+339085-1860+1861</f>
        <v>564449</v>
      </c>
      <c r="CD61" s="247" t="s">
        <v>221</v>
      </c>
      <c r="CE61" s="194">
        <f t="shared" si="0"/>
        <v>24387413</v>
      </c>
      <c r="CF61" s="250"/>
    </row>
    <row r="62" spans="1:84" ht="12.65" customHeight="1" x14ac:dyDescent="0.35">
      <c r="A62" s="171" t="s">
        <v>3</v>
      </c>
      <c r="B62" s="175"/>
      <c r="C62" s="194">
        <f t="shared" ref="C62:BN62" si="1">ROUND(C47+C48,0)</f>
        <v>319314</v>
      </c>
      <c r="D62" s="194">
        <f t="shared" si="1"/>
        <v>0</v>
      </c>
      <c r="E62" s="194">
        <f t="shared" si="1"/>
        <v>649146</v>
      </c>
      <c r="F62" s="194">
        <f t="shared" si="1"/>
        <v>0</v>
      </c>
      <c r="G62" s="194">
        <f t="shared" si="1"/>
        <v>45035</v>
      </c>
      <c r="H62" s="194">
        <f t="shared" si="1"/>
        <v>0</v>
      </c>
      <c r="I62" s="194">
        <f t="shared" si="1"/>
        <v>783929</v>
      </c>
      <c r="J62" s="194">
        <f>ROUND(J47+J48,0)</f>
        <v>0</v>
      </c>
      <c r="K62" s="194">
        <f t="shared" si="1"/>
        <v>0</v>
      </c>
      <c r="L62" s="194">
        <f t="shared" si="1"/>
        <v>0</v>
      </c>
      <c r="M62" s="194">
        <f t="shared" si="1"/>
        <v>0</v>
      </c>
      <c r="N62" s="194">
        <f t="shared" si="1"/>
        <v>70357</v>
      </c>
      <c r="O62" s="194">
        <f t="shared" si="1"/>
        <v>0</v>
      </c>
      <c r="P62" s="194">
        <f t="shared" si="1"/>
        <v>323741</v>
      </c>
      <c r="Q62" s="194">
        <f t="shared" si="1"/>
        <v>104782</v>
      </c>
      <c r="R62" s="194">
        <f t="shared" si="1"/>
        <v>0</v>
      </c>
      <c r="S62" s="194">
        <f t="shared" si="1"/>
        <v>31971</v>
      </c>
      <c r="T62" s="194">
        <f t="shared" si="1"/>
        <v>0</v>
      </c>
      <c r="U62" s="194">
        <f t="shared" si="1"/>
        <v>351203</v>
      </c>
      <c r="V62" s="194">
        <f t="shared" si="1"/>
        <v>0</v>
      </c>
      <c r="W62" s="194">
        <f t="shared" si="1"/>
        <v>74581</v>
      </c>
      <c r="X62" s="194">
        <f t="shared" si="1"/>
        <v>189342</v>
      </c>
      <c r="Y62" s="194">
        <f t="shared" si="1"/>
        <v>67745</v>
      </c>
      <c r="Z62" s="194">
        <f t="shared" si="1"/>
        <v>0</v>
      </c>
      <c r="AA62" s="194">
        <f t="shared" si="1"/>
        <v>16368</v>
      </c>
      <c r="AB62" s="194">
        <f t="shared" si="1"/>
        <v>214991</v>
      </c>
      <c r="AC62" s="194">
        <f t="shared" si="1"/>
        <v>128243</v>
      </c>
      <c r="AD62" s="194">
        <f t="shared" si="1"/>
        <v>0</v>
      </c>
      <c r="AE62" s="194">
        <f t="shared" si="1"/>
        <v>124623</v>
      </c>
      <c r="AF62" s="194">
        <f t="shared" si="1"/>
        <v>0</v>
      </c>
      <c r="AG62" s="194">
        <f t="shared" si="1"/>
        <v>763549</v>
      </c>
      <c r="AH62" s="194">
        <f t="shared" si="1"/>
        <v>0</v>
      </c>
      <c r="AI62" s="194">
        <f t="shared" si="1"/>
        <v>159977</v>
      </c>
      <c r="AJ62" s="194">
        <f t="shared" si="1"/>
        <v>0</v>
      </c>
      <c r="AK62" s="194">
        <f t="shared" si="1"/>
        <v>0</v>
      </c>
      <c r="AL62" s="194">
        <f t="shared" si="1"/>
        <v>0</v>
      </c>
      <c r="AM62" s="194">
        <f t="shared" si="1"/>
        <v>0</v>
      </c>
      <c r="AN62" s="194">
        <f t="shared" si="1"/>
        <v>0</v>
      </c>
      <c r="AO62" s="194">
        <f t="shared" si="1"/>
        <v>0</v>
      </c>
      <c r="AP62" s="194">
        <f t="shared" si="1"/>
        <v>0</v>
      </c>
      <c r="AQ62" s="194">
        <f t="shared" si="1"/>
        <v>0</v>
      </c>
      <c r="AR62" s="194">
        <f t="shared" si="1"/>
        <v>0</v>
      </c>
      <c r="AS62" s="194">
        <f t="shared" si="1"/>
        <v>0</v>
      </c>
      <c r="AT62" s="194">
        <f t="shared" si="1"/>
        <v>0</v>
      </c>
      <c r="AU62" s="194">
        <f t="shared" si="1"/>
        <v>0</v>
      </c>
      <c r="AV62" s="194">
        <f t="shared" si="1"/>
        <v>839334</v>
      </c>
      <c r="AW62" s="194">
        <f t="shared" si="1"/>
        <v>0</v>
      </c>
      <c r="AX62" s="194">
        <f t="shared" si="1"/>
        <v>0</v>
      </c>
      <c r="AY62" s="194">
        <f>ROUND(AY47+AY48,0)</f>
        <v>213453</v>
      </c>
      <c r="AZ62" s="194">
        <f>ROUND(AZ47+AZ48,0)</f>
        <v>0</v>
      </c>
      <c r="BA62" s="194">
        <f>ROUND(BA47+BA48,0)</f>
        <v>0</v>
      </c>
      <c r="BB62" s="194">
        <f t="shared" si="1"/>
        <v>0</v>
      </c>
      <c r="BC62" s="194">
        <f t="shared" si="1"/>
        <v>0</v>
      </c>
      <c r="BD62" s="194">
        <f t="shared" si="1"/>
        <v>43530</v>
      </c>
      <c r="BE62" s="194">
        <f t="shared" si="1"/>
        <v>138466</v>
      </c>
      <c r="BF62" s="194">
        <f t="shared" si="1"/>
        <v>215415</v>
      </c>
      <c r="BG62" s="194">
        <f t="shared" si="1"/>
        <v>0</v>
      </c>
      <c r="BH62" s="194">
        <f t="shared" si="1"/>
        <v>0</v>
      </c>
      <c r="BI62" s="194">
        <f t="shared" si="1"/>
        <v>35886</v>
      </c>
      <c r="BJ62" s="194">
        <f t="shared" si="1"/>
        <v>55213</v>
      </c>
      <c r="BK62" s="194">
        <f t="shared" si="1"/>
        <v>111770</v>
      </c>
      <c r="BL62" s="194">
        <f t="shared" si="1"/>
        <v>194315</v>
      </c>
      <c r="BM62" s="194">
        <f t="shared" si="1"/>
        <v>139158</v>
      </c>
      <c r="BN62" s="194">
        <f t="shared" si="1"/>
        <v>646840</v>
      </c>
      <c r="BO62" s="194">
        <f t="shared" ref="BO62:CC62" si="2">ROUND(BO47+BO48,0)</f>
        <v>0</v>
      </c>
      <c r="BP62" s="194">
        <f t="shared" si="2"/>
        <v>27333</v>
      </c>
      <c r="BQ62" s="194">
        <f t="shared" si="2"/>
        <v>0</v>
      </c>
      <c r="BR62" s="194">
        <f t="shared" si="2"/>
        <v>72490</v>
      </c>
      <c r="BS62" s="194">
        <f t="shared" si="2"/>
        <v>0</v>
      </c>
      <c r="BT62" s="194">
        <f t="shared" si="2"/>
        <v>0</v>
      </c>
      <c r="BU62" s="194">
        <f t="shared" si="2"/>
        <v>0</v>
      </c>
      <c r="BV62" s="194">
        <f t="shared" si="2"/>
        <v>153084</v>
      </c>
      <c r="BW62" s="194">
        <f t="shared" si="2"/>
        <v>19455</v>
      </c>
      <c r="BX62" s="194">
        <f t="shared" si="2"/>
        <v>0</v>
      </c>
      <c r="BY62" s="194">
        <f t="shared" si="2"/>
        <v>105545</v>
      </c>
      <c r="BZ62" s="194">
        <f t="shared" si="2"/>
        <v>0</v>
      </c>
      <c r="CA62" s="194">
        <f t="shared" si="2"/>
        <v>0</v>
      </c>
      <c r="CB62" s="194">
        <f t="shared" si="2"/>
        <v>0</v>
      </c>
      <c r="CC62" s="194">
        <f t="shared" si="2"/>
        <v>176047</v>
      </c>
      <c r="CD62" s="247" t="s">
        <v>221</v>
      </c>
      <c r="CE62" s="194">
        <f t="shared" si="0"/>
        <v>7606231</v>
      </c>
      <c r="CF62" s="250"/>
    </row>
    <row r="63" spans="1:84" ht="12.65" customHeight="1" x14ac:dyDescent="0.35">
      <c r="A63" s="171" t="s">
        <v>236</v>
      </c>
      <c r="B63" s="175"/>
      <c r="C63" s="184">
        <v>0</v>
      </c>
      <c r="D63" s="184"/>
      <c r="E63" s="184">
        <v>0</v>
      </c>
      <c r="F63" s="185"/>
      <c r="G63" s="184">
        <v>0</v>
      </c>
      <c r="H63" s="184"/>
      <c r="I63" s="185">
        <v>0</v>
      </c>
      <c r="J63" s="185"/>
      <c r="K63" s="185"/>
      <c r="L63" s="185"/>
      <c r="M63" s="184"/>
      <c r="N63" s="184">
        <v>0</v>
      </c>
      <c r="O63" s="184"/>
      <c r="P63" s="185">
        <v>0</v>
      </c>
      <c r="Q63" s="185">
        <v>0</v>
      </c>
      <c r="R63" s="185">
        <v>0</v>
      </c>
      <c r="S63" s="185">
        <v>0</v>
      </c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>
        <v>1308365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68806</v>
      </c>
      <c r="AZ63" s="185"/>
      <c r="BA63" s="185"/>
      <c r="BB63" s="185"/>
      <c r="BC63" s="185"/>
      <c r="BD63" s="185"/>
      <c r="BE63" s="185"/>
      <c r="BF63" s="185">
        <v>3292</v>
      </c>
      <c r="BG63" s="185"/>
      <c r="BH63" s="185"/>
      <c r="BI63" s="185"/>
      <c r="BJ63" s="185">
        <v>71510</v>
      </c>
      <c r="BK63" s="185">
        <v>43242</v>
      </c>
      <c r="BL63" s="185"/>
      <c r="BM63" s="185"/>
      <c r="BN63" s="185">
        <v>74558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7" t="s">
        <v>221</v>
      </c>
      <c r="CE63" s="194">
        <f t="shared" si="0"/>
        <v>1569773</v>
      </c>
      <c r="CF63" s="250"/>
    </row>
    <row r="64" spans="1:84" ht="12.65" customHeight="1" x14ac:dyDescent="0.35">
      <c r="A64" s="171" t="s">
        <v>237</v>
      </c>
      <c r="B64" s="175"/>
      <c r="C64" s="184">
        <v>38381</v>
      </c>
      <c r="D64" s="184"/>
      <c r="E64" s="185">
        <v>123112</v>
      </c>
      <c r="F64" s="185"/>
      <c r="G64" s="184">
        <v>3253</v>
      </c>
      <c r="H64" s="184"/>
      <c r="I64" s="185">
        <v>156271</v>
      </c>
      <c r="J64" s="185"/>
      <c r="K64" s="185"/>
      <c r="L64" s="185"/>
      <c r="M64" s="184"/>
      <c r="N64" s="184">
        <f>629414</f>
        <v>629414</v>
      </c>
      <c r="O64" s="184"/>
      <c r="P64" s="185">
        <v>2959609</v>
      </c>
      <c r="Q64" s="185">
        <v>3167</v>
      </c>
      <c r="R64" s="185">
        <v>53026</v>
      </c>
      <c r="S64" s="185">
        <v>50055</v>
      </c>
      <c r="T64" s="185"/>
      <c r="U64" s="185">
        <v>654112</v>
      </c>
      <c r="V64" s="185"/>
      <c r="W64" s="185">
        <v>7292</v>
      </c>
      <c r="X64" s="185">
        <v>46979</v>
      </c>
      <c r="Y64" s="185">
        <v>16081</v>
      </c>
      <c r="Z64" s="185"/>
      <c r="AA64" s="185">
        <v>4784</v>
      </c>
      <c r="AB64" s="185">
        <f>977798+5511</f>
        <v>983309</v>
      </c>
      <c r="AC64" s="185">
        <v>21366</v>
      </c>
      <c r="AD64" s="185"/>
      <c r="AE64" s="185">
        <v>13624</v>
      </c>
      <c r="AF64" s="185"/>
      <c r="AG64" s="185">
        <v>232268</v>
      </c>
      <c r="AH64" s="185"/>
      <c r="AI64" s="185">
        <v>152061</v>
      </c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23+23229+734+387+4564-14+119698+282+2734</f>
        <v>151637</v>
      </c>
      <c r="AW64" s="185"/>
      <c r="AX64" s="185"/>
      <c r="AY64" s="185">
        <v>381199</v>
      </c>
      <c r="AZ64" s="185"/>
      <c r="BA64" s="185">
        <v>493</v>
      </c>
      <c r="BB64" s="185"/>
      <c r="BC64" s="185"/>
      <c r="BD64" s="185">
        <v>115656</v>
      </c>
      <c r="BE64" s="185">
        <v>36637</v>
      </c>
      <c r="BF64" s="185">
        <v>78094</v>
      </c>
      <c r="BG64" s="185"/>
      <c r="BH64" s="185"/>
      <c r="BI64" s="185"/>
      <c r="BJ64" s="185">
        <v>3149</v>
      </c>
      <c r="BK64" s="185">
        <v>2531</v>
      </c>
      <c r="BL64" s="185">
        <v>9017</v>
      </c>
      <c r="BM64" s="185">
        <f>37539</f>
        <v>37539</v>
      </c>
      <c r="BN64" s="185">
        <v>13659</v>
      </c>
      <c r="BO64" s="185"/>
      <c r="BP64" s="185">
        <v>763</v>
      </c>
      <c r="BQ64" s="185"/>
      <c r="BR64" s="185">
        <v>4115</v>
      </c>
      <c r="BS64" s="185"/>
      <c r="BT64" s="185"/>
      <c r="BU64" s="185"/>
      <c r="BV64" s="185">
        <v>2703</v>
      </c>
      <c r="BW64" s="185">
        <v>1404</v>
      </c>
      <c r="BX64" s="185"/>
      <c r="BY64" s="185"/>
      <c r="BZ64" s="185"/>
      <c r="CA64" s="185"/>
      <c r="CB64" s="185"/>
      <c r="CC64" s="185">
        <f>1134+1363+8558+1631+591+4580+1648</f>
        <v>19505</v>
      </c>
      <c r="CD64" s="247" t="s">
        <v>221</v>
      </c>
      <c r="CE64" s="194">
        <f t="shared" si="0"/>
        <v>7006265</v>
      </c>
      <c r="CF64" s="250"/>
    </row>
    <row r="65" spans="1:84" ht="12.65" customHeight="1" x14ac:dyDescent="0.35">
      <c r="A65" s="171" t="s">
        <v>238</v>
      </c>
      <c r="B65" s="175"/>
      <c r="C65" s="184">
        <v>0</v>
      </c>
      <c r="D65" s="184"/>
      <c r="E65" s="184">
        <v>0</v>
      </c>
      <c r="F65" s="184"/>
      <c r="G65" s="184">
        <v>0</v>
      </c>
      <c r="H65" s="184"/>
      <c r="I65" s="185">
        <v>54923</v>
      </c>
      <c r="J65" s="184"/>
      <c r="K65" s="185"/>
      <c r="L65" s="185"/>
      <c r="M65" s="184"/>
      <c r="N65" s="184"/>
      <c r="O65" s="184"/>
      <c r="P65" s="185">
        <v>0</v>
      </c>
      <c r="Q65" s="185">
        <v>0</v>
      </c>
      <c r="R65" s="185">
        <v>0</v>
      </c>
      <c r="S65" s="185">
        <v>0</v>
      </c>
      <c r="T65" s="185"/>
      <c r="U65" s="185">
        <v>0</v>
      </c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494335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7" t="s">
        <v>221</v>
      </c>
      <c r="CE65" s="194">
        <f t="shared" si="0"/>
        <v>549258</v>
      </c>
      <c r="CF65" s="250"/>
    </row>
    <row r="66" spans="1:84" ht="12.65" customHeight="1" x14ac:dyDescent="0.35">
      <c r="A66" s="171" t="s">
        <v>239</v>
      </c>
      <c r="B66" s="175"/>
      <c r="C66" s="184">
        <v>22730</v>
      </c>
      <c r="D66" s="184"/>
      <c r="E66" s="184">
        <v>31977</v>
      </c>
      <c r="F66" s="184"/>
      <c r="G66" s="184">
        <v>16563</v>
      </c>
      <c r="H66" s="184"/>
      <c r="I66" s="184">
        <v>51097</v>
      </c>
      <c r="J66" s="184"/>
      <c r="K66" s="185"/>
      <c r="L66" s="185"/>
      <c r="M66" s="184"/>
      <c r="N66" s="184"/>
      <c r="O66" s="185"/>
      <c r="P66" s="185">
        <v>83221</v>
      </c>
      <c r="Q66" s="185">
        <v>41022</v>
      </c>
      <c r="R66" s="185">
        <v>423638</v>
      </c>
      <c r="S66" s="184">
        <v>10661</v>
      </c>
      <c r="T66" s="184"/>
      <c r="U66" s="185">
        <v>449158</v>
      </c>
      <c r="V66" s="185"/>
      <c r="W66" s="185">
        <v>120494</v>
      </c>
      <c r="X66" s="185">
        <v>105103</v>
      </c>
      <c r="Y66" s="185">
        <v>160654</v>
      </c>
      <c r="Z66" s="185"/>
      <c r="AA66" s="185">
        <v>21897</v>
      </c>
      <c r="AB66" s="185">
        <v>154309</v>
      </c>
      <c r="AC66" s="185">
        <v>7017</v>
      </c>
      <c r="AD66" s="185"/>
      <c r="AE66" s="185"/>
      <c r="AF66" s="185"/>
      <c r="AG66" s="185">
        <v>12204</v>
      </c>
      <c r="AH66" s="185"/>
      <c r="AI66" s="185">
        <v>235419</v>
      </c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113975+15955+58677+23408+153605+165</f>
        <v>365785</v>
      </c>
      <c r="AW66" s="185"/>
      <c r="AX66" s="185"/>
      <c r="AY66" s="185">
        <v>35936</v>
      </c>
      <c r="AZ66" s="185"/>
      <c r="BA66" s="185">
        <v>251609</v>
      </c>
      <c r="BB66" s="185"/>
      <c r="BC66" s="185"/>
      <c r="BD66" s="185"/>
      <c r="BE66" s="185">
        <v>551709</v>
      </c>
      <c r="BF66" s="185">
        <v>69655</v>
      </c>
      <c r="BG66" s="185">
        <v>106588</v>
      </c>
      <c r="BH66" s="185"/>
      <c r="BI66" s="185">
        <f>100352+3812+22100</f>
        <v>126264</v>
      </c>
      <c r="BJ66" s="185">
        <v>751</v>
      </c>
      <c r="BK66" s="185">
        <v>274937</v>
      </c>
      <c r="BL66" s="185"/>
      <c r="BM66" s="185">
        <f>111+991063</f>
        <v>991174</v>
      </c>
      <c r="BN66" s="185">
        <v>2123237</v>
      </c>
      <c r="BO66" s="185"/>
      <c r="BP66" s="185">
        <v>25299</v>
      </c>
      <c r="BQ66" s="185"/>
      <c r="BR66" s="185">
        <v>109742</v>
      </c>
      <c r="BS66" s="185"/>
      <c r="BT66" s="185"/>
      <c r="BU66" s="185"/>
      <c r="BV66" s="185">
        <v>177198</v>
      </c>
      <c r="BW66" s="185">
        <v>26978</v>
      </c>
      <c r="BX66" s="185"/>
      <c r="BY66" s="185"/>
      <c r="BZ66" s="185"/>
      <c r="CA66" s="185"/>
      <c r="CB66" s="185"/>
      <c r="CC66" s="185">
        <f>5637+22905+90190+25117</f>
        <v>143849</v>
      </c>
      <c r="CD66" s="247" t="s">
        <v>221</v>
      </c>
      <c r="CE66" s="194">
        <f t="shared" si="0"/>
        <v>7327875</v>
      </c>
      <c r="CF66" s="250"/>
    </row>
    <row r="67" spans="1:84" ht="12.65" customHeight="1" x14ac:dyDescent="0.35">
      <c r="A67" s="171" t="s">
        <v>6</v>
      </c>
      <c r="B67" s="175"/>
      <c r="C67" s="194">
        <f>ROUND(C51+C52,0)</f>
        <v>43074</v>
      </c>
      <c r="D67" s="194">
        <f>ROUND(D51+D52,0)</f>
        <v>0</v>
      </c>
      <c r="E67" s="194">
        <f t="shared" ref="E67:BP67" si="3">ROUND(E51+E52,0)</f>
        <v>180619</v>
      </c>
      <c r="F67" s="194">
        <f t="shared" si="3"/>
        <v>0</v>
      </c>
      <c r="G67" s="194">
        <f t="shared" si="3"/>
        <v>0</v>
      </c>
      <c r="H67" s="194">
        <f t="shared" si="3"/>
        <v>0</v>
      </c>
      <c r="I67" s="194">
        <f t="shared" si="3"/>
        <v>305202</v>
      </c>
      <c r="J67" s="194">
        <f>ROUND(J51+J52,0)</f>
        <v>0</v>
      </c>
      <c r="K67" s="194">
        <f t="shared" si="3"/>
        <v>0</v>
      </c>
      <c r="L67" s="194">
        <f t="shared" si="3"/>
        <v>0</v>
      </c>
      <c r="M67" s="194">
        <f t="shared" si="3"/>
        <v>0</v>
      </c>
      <c r="N67" s="194">
        <f t="shared" si="3"/>
        <v>0</v>
      </c>
      <c r="O67" s="194">
        <f t="shared" si="3"/>
        <v>0</v>
      </c>
      <c r="P67" s="194">
        <f t="shared" si="3"/>
        <v>106159</v>
      </c>
      <c r="Q67" s="194">
        <f t="shared" si="3"/>
        <v>11748</v>
      </c>
      <c r="R67" s="194">
        <f t="shared" si="3"/>
        <v>3563</v>
      </c>
      <c r="S67" s="194">
        <f t="shared" si="3"/>
        <v>0</v>
      </c>
      <c r="T67" s="194">
        <f t="shared" si="3"/>
        <v>0</v>
      </c>
      <c r="U67" s="194">
        <f t="shared" si="3"/>
        <v>25061</v>
      </c>
      <c r="V67" s="194">
        <f t="shared" si="3"/>
        <v>0</v>
      </c>
      <c r="W67" s="194">
        <f t="shared" si="3"/>
        <v>9398</v>
      </c>
      <c r="X67" s="194">
        <f t="shared" si="3"/>
        <v>7930</v>
      </c>
      <c r="Y67" s="194">
        <f t="shared" si="3"/>
        <v>49888</v>
      </c>
      <c r="Z67" s="194">
        <f t="shared" si="3"/>
        <v>0</v>
      </c>
      <c r="AA67" s="194">
        <f t="shared" si="3"/>
        <v>8360</v>
      </c>
      <c r="AB67" s="194">
        <f t="shared" si="3"/>
        <v>15879</v>
      </c>
      <c r="AC67" s="194">
        <f t="shared" si="3"/>
        <v>14978</v>
      </c>
      <c r="AD67" s="194">
        <f t="shared" si="3"/>
        <v>0</v>
      </c>
      <c r="AE67" s="194">
        <f t="shared" si="3"/>
        <v>5091</v>
      </c>
      <c r="AF67" s="194">
        <f t="shared" si="3"/>
        <v>0</v>
      </c>
      <c r="AG67" s="194">
        <f t="shared" si="3"/>
        <v>152718</v>
      </c>
      <c r="AH67" s="194">
        <f t="shared" si="3"/>
        <v>0</v>
      </c>
      <c r="AI67" s="194">
        <f t="shared" si="3"/>
        <v>11748</v>
      </c>
      <c r="AJ67" s="194">
        <f t="shared" si="3"/>
        <v>0</v>
      </c>
      <c r="AK67" s="194">
        <f t="shared" si="3"/>
        <v>0</v>
      </c>
      <c r="AL67" s="194">
        <f t="shared" si="3"/>
        <v>0</v>
      </c>
      <c r="AM67" s="194">
        <f t="shared" si="3"/>
        <v>0</v>
      </c>
      <c r="AN67" s="194">
        <f t="shared" si="3"/>
        <v>0</v>
      </c>
      <c r="AO67" s="194">
        <f t="shared" si="3"/>
        <v>0</v>
      </c>
      <c r="AP67" s="194">
        <f t="shared" si="3"/>
        <v>0</v>
      </c>
      <c r="AQ67" s="194">
        <f t="shared" si="3"/>
        <v>0</v>
      </c>
      <c r="AR67" s="194">
        <f t="shared" si="3"/>
        <v>0</v>
      </c>
      <c r="AS67" s="194">
        <f t="shared" si="3"/>
        <v>0</v>
      </c>
      <c r="AT67" s="194">
        <f t="shared" si="3"/>
        <v>0</v>
      </c>
      <c r="AU67" s="194">
        <f t="shared" si="3"/>
        <v>0</v>
      </c>
      <c r="AV67" s="194">
        <f t="shared" si="3"/>
        <v>484607</v>
      </c>
      <c r="AW67" s="194">
        <f t="shared" si="3"/>
        <v>0</v>
      </c>
      <c r="AX67" s="194">
        <f t="shared" si="3"/>
        <v>0</v>
      </c>
      <c r="AY67" s="194">
        <f t="shared" si="3"/>
        <v>0</v>
      </c>
      <c r="AZ67" s="194">
        <f>ROUND(AZ51+AZ52,0)</f>
        <v>0</v>
      </c>
      <c r="BA67" s="194">
        <f>ROUND(BA51+BA52,0)</f>
        <v>0</v>
      </c>
      <c r="BB67" s="194">
        <f t="shared" si="3"/>
        <v>0</v>
      </c>
      <c r="BC67" s="194">
        <f t="shared" si="3"/>
        <v>0</v>
      </c>
      <c r="BD67" s="194">
        <f t="shared" si="3"/>
        <v>0</v>
      </c>
      <c r="BE67" s="194">
        <f t="shared" si="3"/>
        <v>0</v>
      </c>
      <c r="BF67" s="194">
        <f t="shared" si="3"/>
        <v>0</v>
      </c>
      <c r="BG67" s="194">
        <f t="shared" si="3"/>
        <v>0</v>
      </c>
      <c r="BH67" s="194">
        <f t="shared" si="3"/>
        <v>0</v>
      </c>
      <c r="BI67" s="194">
        <f t="shared" si="3"/>
        <v>0</v>
      </c>
      <c r="BJ67" s="194">
        <f t="shared" si="3"/>
        <v>0</v>
      </c>
      <c r="BK67" s="194">
        <f t="shared" si="3"/>
        <v>0</v>
      </c>
      <c r="BL67" s="194">
        <f t="shared" si="3"/>
        <v>0</v>
      </c>
      <c r="BM67" s="194">
        <f t="shared" si="3"/>
        <v>0</v>
      </c>
      <c r="BN67" s="194">
        <f t="shared" si="3"/>
        <v>0</v>
      </c>
      <c r="BO67" s="194">
        <f t="shared" si="3"/>
        <v>0</v>
      </c>
      <c r="BP67" s="194">
        <f t="shared" si="3"/>
        <v>0</v>
      </c>
      <c r="BQ67" s="194">
        <f t="shared" ref="BQ67:CC67" si="4">ROUND(BQ51+BQ52,0)</f>
        <v>0</v>
      </c>
      <c r="BR67" s="194">
        <f t="shared" si="4"/>
        <v>0</v>
      </c>
      <c r="BS67" s="194">
        <f t="shared" si="4"/>
        <v>0</v>
      </c>
      <c r="BT67" s="194">
        <f t="shared" si="4"/>
        <v>0</v>
      </c>
      <c r="BU67" s="194">
        <f t="shared" si="4"/>
        <v>0</v>
      </c>
      <c r="BV67" s="194">
        <f t="shared" si="4"/>
        <v>0</v>
      </c>
      <c r="BW67" s="194">
        <f t="shared" si="4"/>
        <v>0</v>
      </c>
      <c r="BX67" s="194">
        <f t="shared" si="4"/>
        <v>0</v>
      </c>
      <c r="BY67" s="194">
        <f t="shared" si="4"/>
        <v>0</v>
      </c>
      <c r="BZ67" s="194">
        <f t="shared" si="4"/>
        <v>0</v>
      </c>
      <c r="CA67" s="194">
        <f t="shared" si="4"/>
        <v>0</v>
      </c>
      <c r="CB67" s="194">
        <f t="shared" si="4"/>
        <v>0</v>
      </c>
      <c r="CC67" s="194">
        <f t="shared" si="4"/>
        <v>507025</v>
      </c>
      <c r="CD67" s="247" t="s">
        <v>221</v>
      </c>
      <c r="CE67" s="194">
        <f t="shared" si="0"/>
        <v>1943048</v>
      </c>
      <c r="CF67" s="250"/>
    </row>
    <row r="68" spans="1:84" ht="12.65" customHeight="1" x14ac:dyDescent="0.35">
      <c r="A68" s="171" t="s">
        <v>240</v>
      </c>
      <c r="B68" s="175"/>
      <c r="C68" s="184">
        <v>6823</v>
      </c>
      <c r="D68" s="184"/>
      <c r="E68" s="184">
        <v>11840</v>
      </c>
      <c r="F68" s="184"/>
      <c r="G68" s="184">
        <v>0</v>
      </c>
      <c r="H68" s="184"/>
      <c r="I68" s="184">
        <v>447654</v>
      </c>
      <c r="J68" s="184"/>
      <c r="K68" s="185"/>
      <c r="L68" s="185"/>
      <c r="M68" s="184"/>
      <c r="N68" s="184"/>
      <c r="O68" s="184"/>
      <c r="P68" s="185">
        <v>0</v>
      </c>
      <c r="Q68" s="185">
        <v>0</v>
      </c>
      <c r="R68" s="185">
        <v>0</v>
      </c>
      <c r="S68" s="185">
        <v>0</v>
      </c>
      <c r="T68" s="185"/>
      <c r="U68" s="185">
        <v>30277</v>
      </c>
      <c r="V68" s="185"/>
      <c r="W68" s="185">
        <v>57325</v>
      </c>
      <c r="X68" s="185"/>
      <c r="Y68" s="185"/>
      <c r="Z68" s="185"/>
      <c r="AA68" s="185"/>
      <c r="AB68" s="185">
        <v>150887</v>
      </c>
      <c r="AC68" s="185"/>
      <c r="AD68" s="185"/>
      <c r="AE68" s="185">
        <v>101412</v>
      </c>
      <c r="AF68" s="185"/>
      <c r="AG68" s="185">
        <v>381</v>
      </c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f>51784+51784</f>
        <v>103568</v>
      </c>
      <c r="AW68" s="185"/>
      <c r="AX68" s="185"/>
      <c r="AY68" s="185">
        <v>226</v>
      </c>
      <c r="AZ68" s="185"/>
      <c r="BA68" s="185"/>
      <c r="BB68" s="185"/>
      <c r="BC68" s="185"/>
      <c r="BD68" s="185"/>
      <c r="BE68" s="185">
        <v>6739</v>
      </c>
      <c r="BF68" s="185"/>
      <c r="BG68" s="185"/>
      <c r="BH68" s="185"/>
      <c r="BI68" s="185"/>
      <c r="BJ68" s="185"/>
      <c r="BK68" s="185">
        <v>-411</v>
      </c>
      <c r="BL68" s="185"/>
      <c r="BM68" s="185">
        <f>12816</f>
        <v>12816</v>
      </c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100841</v>
      </c>
      <c r="CD68" s="247" t="s">
        <v>221</v>
      </c>
      <c r="CE68" s="194">
        <f t="shared" si="0"/>
        <v>1030378</v>
      </c>
      <c r="CF68" s="250"/>
    </row>
    <row r="69" spans="1:84" ht="12.65" customHeight="1" x14ac:dyDescent="0.35">
      <c r="A69" s="171" t="s">
        <v>241</v>
      </c>
      <c r="B69" s="175"/>
      <c r="C69" s="184">
        <v>0</v>
      </c>
      <c r="D69" s="184"/>
      <c r="E69" s="185">
        <v>2154</v>
      </c>
      <c r="F69" s="185"/>
      <c r="G69" s="184">
        <v>1350</v>
      </c>
      <c r="H69" s="184"/>
      <c r="I69" s="185">
        <v>24999</v>
      </c>
      <c r="J69" s="185"/>
      <c r="K69" s="185"/>
      <c r="L69" s="185"/>
      <c r="M69" s="184"/>
      <c r="N69" s="184"/>
      <c r="O69" s="184"/>
      <c r="P69" s="185">
        <v>793</v>
      </c>
      <c r="Q69" s="185">
        <v>250</v>
      </c>
      <c r="R69" s="223">
        <v>0</v>
      </c>
      <c r="S69" s="185">
        <v>0</v>
      </c>
      <c r="T69" s="184"/>
      <c r="U69" s="185">
        <v>6703</v>
      </c>
      <c r="V69" s="185"/>
      <c r="W69" s="184"/>
      <c r="X69" s="185">
        <v>150</v>
      </c>
      <c r="Y69" s="185">
        <v>1523</v>
      </c>
      <c r="Z69" s="185"/>
      <c r="AA69" s="185">
        <v>12172</v>
      </c>
      <c r="AB69" s="185">
        <v>4085</v>
      </c>
      <c r="AC69" s="185">
        <v>185</v>
      </c>
      <c r="AD69" s="185"/>
      <c r="AE69" s="185">
        <v>1130</v>
      </c>
      <c r="AF69" s="185"/>
      <c r="AG69" s="185">
        <v>4297</v>
      </c>
      <c r="AH69" s="185"/>
      <c r="AI69" s="185">
        <v>30</v>
      </c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4671+471+471+13364</f>
        <v>18977</v>
      </c>
      <c r="AW69" s="185"/>
      <c r="AX69" s="185"/>
      <c r="AY69" s="185">
        <v>579</v>
      </c>
      <c r="AZ69" s="185"/>
      <c r="BA69" s="185"/>
      <c r="BB69" s="185"/>
      <c r="BC69" s="185"/>
      <c r="BD69" s="185">
        <v>4119</v>
      </c>
      <c r="BE69" s="185">
        <v>1246</v>
      </c>
      <c r="BF69" s="185"/>
      <c r="BG69" s="185"/>
      <c r="BH69" s="223"/>
      <c r="BI69" s="185"/>
      <c r="BJ69" s="185">
        <v>1044</v>
      </c>
      <c r="BK69" s="185">
        <v>334</v>
      </c>
      <c r="BL69" s="185">
        <v>400</v>
      </c>
      <c r="BM69" s="185">
        <f>12956+1116</f>
        <v>14072</v>
      </c>
      <c r="BN69" s="185">
        <v>165703</v>
      </c>
      <c r="BO69" s="185"/>
      <c r="BP69" s="185">
        <v>1527</v>
      </c>
      <c r="BQ69" s="185"/>
      <c r="BR69" s="185">
        <v>3749</v>
      </c>
      <c r="BS69" s="185"/>
      <c r="BT69" s="185"/>
      <c r="BU69" s="185"/>
      <c r="BV69" s="185">
        <v>518</v>
      </c>
      <c r="BW69" s="185">
        <v>442</v>
      </c>
      <c r="BX69" s="185"/>
      <c r="BY69" s="185">
        <v>288</v>
      </c>
      <c r="BZ69" s="185"/>
      <c r="CA69" s="185"/>
      <c r="CB69" s="185"/>
      <c r="CC69" s="185">
        <f>506+1250+5873+188+162150+118079+422431+35119+181</f>
        <v>745777</v>
      </c>
      <c r="CD69" s="187">
        <f>1302327</f>
        <v>1302327</v>
      </c>
      <c r="CE69" s="194">
        <f t="shared" si="0"/>
        <v>2320923</v>
      </c>
      <c r="CF69" s="250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7"/>
      <c r="CE70" s="194">
        <f t="shared" si="0"/>
        <v>0</v>
      </c>
      <c r="CF70" s="250"/>
    </row>
    <row r="71" spans="1:84" ht="12.65" customHeight="1" x14ac:dyDescent="0.35">
      <c r="A71" s="171" t="s">
        <v>243</v>
      </c>
      <c r="B71" s="175"/>
      <c r="C71" s="194">
        <f>SUM(C61:C68)+C69-C70</f>
        <v>1454120</v>
      </c>
      <c r="D71" s="194">
        <f t="shared" ref="D71:AI71" si="5">SUM(D61:D69)-D70</f>
        <v>0</v>
      </c>
      <c r="E71" s="194">
        <f t="shared" si="5"/>
        <v>3080169</v>
      </c>
      <c r="F71" s="194">
        <f t="shared" si="5"/>
        <v>0</v>
      </c>
      <c r="G71" s="194">
        <f t="shared" si="5"/>
        <v>210593</v>
      </c>
      <c r="H71" s="194">
        <f t="shared" si="5"/>
        <v>0</v>
      </c>
      <c r="I71" s="194">
        <f t="shared" si="5"/>
        <v>4337541</v>
      </c>
      <c r="J71" s="194">
        <f t="shared" si="5"/>
        <v>0</v>
      </c>
      <c r="K71" s="194">
        <f t="shared" si="5"/>
        <v>0</v>
      </c>
      <c r="L71" s="194">
        <f t="shared" si="5"/>
        <v>0</v>
      </c>
      <c r="M71" s="194">
        <f t="shared" si="5"/>
        <v>0</v>
      </c>
      <c r="N71" s="194">
        <f t="shared" si="5"/>
        <v>925352</v>
      </c>
      <c r="O71" s="194">
        <f t="shared" si="5"/>
        <v>0</v>
      </c>
      <c r="P71" s="194">
        <f t="shared" si="5"/>
        <v>4511514</v>
      </c>
      <c r="Q71" s="194">
        <f t="shared" si="5"/>
        <v>496924</v>
      </c>
      <c r="R71" s="194">
        <f t="shared" si="5"/>
        <v>480227</v>
      </c>
      <c r="S71" s="194">
        <f t="shared" si="5"/>
        <v>195193</v>
      </c>
      <c r="T71" s="194">
        <f t="shared" si="5"/>
        <v>0</v>
      </c>
      <c r="U71" s="194">
        <f t="shared" si="5"/>
        <v>2642555</v>
      </c>
      <c r="V71" s="194">
        <f t="shared" si="5"/>
        <v>0</v>
      </c>
      <c r="W71" s="194">
        <f t="shared" si="5"/>
        <v>508215</v>
      </c>
      <c r="X71" s="194">
        <f t="shared" si="5"/>
        <v>956581</v>
      </c>
      <c r="Y71" s="194">
        <f t="shared" si="5"/>
        <v>513097</v>
      </c>
      <c r="Z71" s="194">
        <f t="shared" si="5"/>
        <v>0</v>
      </c>
      <c r="AA71" s="194">
        <f t="shared" si="5"/>
        <v>116062</v>
      </c>
      <c r="AB71" s="194">
        <f t="shared" si="5"/>
        <v>2212772</v>
      </c>
      <c r="AC71" s="194">
        <f t="shared" si="5"/>
        <v>582966</v>
      </c>
      <c r="AD71" s="194">
        <f t="shared" si="5"/>
        <v>0</v>
      </c>
      <c r="AE71" s="194">
        <f t="shared" si="5"/>
        <v>645453</v>
      </c>
      <c r="AF71" s="194">
        <f t="shared" si="5"/>
        <v>0</v>
      </c>
      <c r="AG71" s="194">
        <f t="shared" si="5"/>
        <v>4921907</v>
      </c>
      <c r="AH71" s="194">
        <f t="shared" si="5"/>
        <v>0</v>
      </c>
      <c r="AI71" s="194">
        <f t="shared" si="5"/>
        <v>1072160</v>
      </c>
      <c r="AJ71" s="194">
        <f t="shared" ref="AJ71:BO71" si="6">SUM(AJ61:AJ69)-AJ70</f>
        <v>0</v>
      </c>
      <c r="AK71" s="194">
        <f t="shared" si="6"/>
        <v>0</v>
      </c>
      <c r="AL71" s="194">
        <f t="shared" si="6"/>
        <v>0</v>
      </c>
      <c r="AM71" s="194">
        <f t="shared" si="6"/>
        <v>0</v>
      </c>
      <c r="AN71" s="194">
        <f t="shared" si="6"/>
        <v>0</v>
      </c>
      <c r="AO71" s="194">
        <f t="shared" si="6"/>
        <v>0</v>
      </c>
      <c r="AP71" s="194">
        <f t="shared" si="6"/>
        <v>0</v>
      </c>
      <c r="AQ71" s="194">
        <f t="shared" si="6"/>
        <v>0</v>
      </c>
      <c r="AR71" s="194">
        <f t="shared" si="6"/>
        <v>0</v>
      </c>
      <c r="AS71" s="194">
        <f t="shared" si="6"/>
        <v>0</v>
      </c>
      <c r="AT71" s="194">
        <f t="shared" si="6"/>
        <v>0</v>
      </c>
      <c r="AU71" s="194">
        <f t="shared" si="6"/>
        <v>0</v>
      </c>
      <c r="AV71" s="194">
        <f t="shared" si="6"/>
        <v>4655015</v>
      </c>
      <c r="AW71" s="194">
        <f t="shared" si="6"/>
        <v>0</v>
      </c>
      <c r="AX71" s="194">
        <f t="shared" si="6"/>
        <v>0</v>
      </c>
      <c r="AY71" s="194">
        <f t="shared" si="6"/>
        <v>1384580</v>
      </c>
      <c r="AZ71" s="194">
        <f t="shared" si="6"/>
        <v>0</v>
      </c>
      <c r="BA71" s="194">
        <f t="shared" si="6"/>
        <v>252102</v>
      </c>
      <c r="BB71" s="194">
        <f t="shared" si="6"/>
        <v>0</v>
      </c>
      <c r="BC71" s="194">
        <f t="shared" si="6"/>
        <v>0</v>
      </c>
      <c r="BD71" s="194">
        <f t="shared" si="6"/>
        <v>302873</v>
      </c>
      <c r="BE71" s="194">
        <f t="shared" si="6"/>
        <v>1673088</v>
      </c>
      <c r="BF71" s="194">
        <f t="shared" si="6"/>
        <v>1057129</v>
      </c>
      <c r="BG71" s="194">
        <f t="shared" si="6"/>
        <v>106588</v>
      </c>
      <c r="BH71" s="194">
        <f t="shared" si="6"/>
        <v>0</v>
      </c>
      <c r="BI71" s="194">
        <f t="shared" si="6"/>
        <v>277209</v>
      </c>
      <c r="BJ71" s="194">
        <f t="shared" si="6"/>
        <v>308694</v>
      </c>
      <c r="BK71" s="194">
        <f t="shared" si="6"/>
        <v>790764</v>
      </c>
      <c r="BL71" s="194">
        <f t="shared" si="6"/>
        <v>826754</v>
      </c>
      <c r="BM71" s="194">
        <f t="shared" si="6"/>
        <v>1640933</v>
      </c>
      <c r="BN71" s="194">
        <f t="shared" si="6"/>
        <v>5097924</v>
      </c>
      <c r="BO71" s="194">
        <f t="shared" si="6"/>
        <v>0</v>
      </c>
      <c r="BP71" s="194">
        <f t="shared" ref="BP71:CC71" si="7">SUM(BP61:BP69)-BP70</f>
        <v>142557</v>
      </c>
      <c r="BQ71" s="194">
        <f t="shared" si="7"/>
        <v>0</v>
      </c>
      <c r="BR71" s="194">
        <f t="shared" si="7"/>
        <v>422515</v>
      </c>
      <c r="BS71" s="194">
        <f t="shared" si="7"/>
        <v>0</v>
      </c>
      <c r="BT71" s="194">
        <f t="shared" si="7"/>
        <v>0</v>
      </c>
      <c r="BU71" s="194">
        <f t="shared" si="7"/>
        <v>0</v>
      </c>
      <c r="BV71" s="194">
        <f t="shared" si="7"/>
        <v>824327</v>
      </c>
      <c r="BW71" s="194">
        <f t="shared" si="7"/>
        <v>110655</v>
      </c>
      <c r="BX71" s="194">
        <f t="shared" si="7"/>
        <v>0</v>
      </c>
      <c r="BY71" s="194">
        <f t="shared" si="7"/>
        <v>444236</v>
      </c>
      <c r="BZ71" s="194">
        <f t="shared" si="7"/>
        <v>0</v>
      </c>
      <c r="CA71" s="194">
        <f t="shared" si="7"/>
        <v>0</v>
      </c>
      <c r="CB71" s="194">
        <f t="shared" si="7"/>
        <v>0</v>
      </c>
      <c r="CC71" s="194">
        <f t="shared" si="7"/>
        <v>2257493</v>
      </c>
      <c r="CD71" s="243">
        <f>CD69-CD70</f>
        <v>1302327</v>
      </c>
      <c r="CE71" s="194">
        <f>SUM(CE61:CE69)-CE70</f>
        <v>53741164</v>
      </c>
      <c r="CF71" s="250"/>
    </row>
    <row r="72" spans="1:84" ht="12.65" customHeight="1" x14ac:dyDescent="0.35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7">
        <v>4736049</v>
      </c>
      <c r="CF72" s="250"/>
    </row>
    <row r="73" spans="1:84" ht="12.65" customHeight="1" x14ac:dyDescent="0.35">
      <c r="A73" s="171" t="s">
        <v>245</v>
      </c>
      <c r="B73" s="175"/>
      <c r="C73" s="184">
        <v>2133537</v>
      </c>
      <c r="D73" s="184"/>
      <c r="E73" s="185">
        <v>5094217</v>
      </c>
      <c r="F73" s="185"/>
      <c r="G73" s="184">
        <v>475</v>
      </c>
      <c r="H73" s="184"/>
      <c r="I73" s="185">
        <v>6880259</v>
      </c>
      <c r="J73" s="185"/>
      <c r="K73" s="185"/>
      <c r="L73" s="185"/>
      <c r="M73" s="184"/>
      <c r="N73" s="184">
        <f>5124</f>
        <v>5124</v>
      </c>
      <c r="O73" s="184"/>
      <c r="P73" s="185">
        <v>9783698</v>
      </c>
      <c r="Q73" s="185">
        <v>890194</v>
      </c>
      <c r="R73" s="185">
        <v>779909</v>
      </c>
      <c r="S73" s="185">
        <v>0</v>
      </c>
      <c r="T73" s="185"/>
      <c r="U73" s="185">
        <v>2446900</v>
      </c>
      <c r="V73" s="185">
        <f>172719</f>
        <v>172719</v>
      </c>
      <c r="W73" s="185">
        <v>190702</v>
      </c>
      <c r="X73" s="185">
        <v>2054003</v>
      </c>
      <c r="Y73" s="185">
        <v>541498</v>
      </c>
      <c r="Z73" s="185"/>
      <c r="AA73" s="185">
        <v>20796</v>
      </c>
      <c r="AB73" s="185">
        <v>2736539</v>
      </c>
      <c r="AC73" s="185">
        <v>509961</v>
      </c>
      <c r="AD73" s="185"/>
      <c r="AE73" s="185">
        <f>417616-3583</f>
        <v>414033</v>
      </c>
      <c r="AF73" s="185"/>
      <c r="AG73" s="185">
        <v>3201019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23530+477532+136589+4635</f>
        <v>642286</v>
      </c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4">
        <f t="shared" ref="CE73:CE80" si="8">SUM(C73:CD73)</f>
        <v>38497869</v>
      </c>
      <c r="CF73" s="250"/>
    </row>
    <row r="74" spans="1:84" ht="12.65" customHeight="1" x14ac:dyDescent="0.35">
      <c r="A74" s="171" t="s">
        <v>246</v>
      </c>
      <c r="B74" s="175"/>
      <c r="C74" s="184">
        <v>46767</v>
      </c>
      <c r="D74" s="184"/>
      <c r="E74" s="185">
        <v>798487</v>
      </c>
      <c r="F74" s="185"/>
      <c r="G74" s="184">
        <v>887644</v>
      </c>
      <c r="H74" s="184"/>
      <c r="I74" s="184">
        <v>492667</v>
      </c>
      <c r="J74" s="185"/>
      <c r="K74" s="185"/>
      <c r="L74" s="185"/>
      <c r="M74" s="184"/>
      <c r="N74" s="184">
        <f>1053502</f>
        <v>1053502</v>
      </c>
      <c r="O74" s="184"/>
      <c r="P74" s="185">
        <v>13132146</v>
      </c>
      <c r="Q74" s="185">
        <v>1488999</v>
      </c>
      <c r="R74" s="185">
        <v>1305835</v>
      </c>
      <c r="S74" s="185">
        <v>0</v>
      </c>
      <c r="T74" s="185"/>
      <c r="U74" s="185">
        <v>8635551</v>
      </c>
      <c r="V74" s="185">
        <v>1058664</v>
      </c>
      <c r="W74" s="185">
        <v>3517504</v>
      </c>
      <c r="X74" s="185">
        <v>12826523</v>
      </c>
      <c r="Y74" s="185">
        <v>3331970</v>
      </c>
      <c r="Z74" s="185"/>
      <c r="AA74" s="185">
        <v>168211</v>
      </c>
      <c r="AB74" s="185">
        <f>5908345+246272</f>
        <v>6154617</v>
      </c>
      <c r="AC74" s="185">
        <v>304527</v>
      </c>
      <c r="AD74" s="185"/>
      <c r="AE74" s="185">
        <v>2451592</v>
      </c>
      <c r="AF74" s="185"/>
      <c r="AG74" s="185">
        <v>31691303</v>
      </c>
      <c r="AH74" s="185"/>
      <c r="AI74" s="185">
        <v>2543613</v>
      </c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31101+1094488+561644+1608439+4407338+251059+1200640</f>
        <v>9154709</v>
      </c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4">
        <f t="shared" si="8"/>
        <v>101044831</v>
      </c>
      <c r="CF74" s="250"/>
    </row>
    <row r="75" spans="1:84" ht="12.65" customHeight="1" x14ac:dyDescent="0.35">
      <c r="A75" s="171" t="s">
        <v>247</v>
      </c>
      <c r="B75" s="175"/>
      <c r="C75" s="194">
        <f t="shared" ref="C75:AV75" si="9">SUM(C73:C74)</f>
        <v>2180304</v>
      </c>
      <c r="D75" s="194">
        <f t="shared" si="9"/>
        <v>0</v>
      </c>
      <c r="E75" s="194">
        <f t="shared" si="9"/>
        <v>5892704</v>
      </c>
      <c r="F75" s="194">
        <f t="shared" si="9"/>
        <v>0</v>
      </c>
      <c r="G75" s="194">
        <f t="shared" si="9"/>
        <v>888119</v>
      </c>
      <c r="H75" s="194">
        <f t="shared" si="9"/>
        <v>0</v>
      </c>
      <c r="I75" s="194">
        <f t="shared" si="9"/>
        <v>7372926</v>
      </c>
      <c r="J75" s="194">
        <f t="shared" si="9"/>
        <v>0</v>
      </c>
      <c r="K75" s="194">
        <f t="shared" si="9"/>
        <v>0</v>
      </c>
      <c r="L75" s="194">
        <f t="shared" si="9"/>
        <v>0</v>
      </c>
      <c r="M75" s="194">
        <f t="shared" si="9"/>
        <v>0</v>
      </c>
      <c r="N75" s="194">
        <f t="shared" si="9"/>
        <v>1058626</v>
      </c>
      <c r="O75" s="194">
        <f t="shared" si="9"/>
        <v>0</v>
      </c>
      <c r="P75" s="194">
        <f t="shared" si="9"/>
        <v>22915844</v>
      </c>
      <c r="Q75" s="194">
        <f t="shared" si="9"/>
        <v>2379193</v>
      </c>
      <c r="R75" s="194">
        <f t="shared" si="9"/>
        <v>2085744</v>
      </c>
      <c r="S75" s="194">
        <f t="shared" si="9"/>
        <v>0</v>
      </c>
      <c r="T75" s="194">
        <f t="shared" si="9"/>
        <v>0</v>
      </c>
      <c r="U75" s="194">
        <f t="shared" si="9"/>
        <v>11082451</v>
      </c>
      <c r="V75" s="194">
        <f t="shared" si="9"/>
        <v>1231383</v>
      </c>
      <c r="W75" s="194">
        <f t="shared" si="9"/>
        <v>3708206</v>
      </c>
      <c r="X75" s="194">
        <f t="shared" si="9"/>
        <v>14880526</v>
      </c>
      <c r="Y75" s="194">
        <f t="shared" si="9"/>
        <v>3873468</v>
      </c>
      <c r="Z75" s="194">
        <f t="shared" si="9"/>
        <v>0</v>
      </c>
      <c r="AA75" s="194">
        <f t="shared" si="9"/>
        <v>189007</v>
      </c>
      <c r="AB75" s="194">
        <f t="shared" si="9"/>
        <v>8891156</v>
      </c>
      <c r="AC75" s="194">
        <f t="shared" si="9"/>
        <v>814488</v>
      </c>
      <c r="AD75" s="194">
        <f t="shared" si="9"/>
        <v>0</v>
      </c>
      <c r="AE75" s="194">
        <f t="shared" si="9"/>
        <v>2865625</v>
      </c>
      <c r="AF75" s="194">
        <f t="shared" si="9"/>
        <v>0</v>
      </c>
      <c r="AG75" s="194">
        <f t="shared" si="9"/>
        <v>34892322</v>
      </c>
      <c r="AH75" s="194">
        <f t="shared" si="9"/>
        <v>0</v>
      </c>
      <c r="AI75" s="194">
        <f t="shared" si="9"/>
        <v>2543613</v>
      </c>
      <c r="AJ75" s="194">
        <f t="shared" si="9"/>
        <v>0</v>
      </c>
      <c r="AK75" s="194">
        <f t="shared" si="9"/>
        <v>0</v>
      </c>
      <c r="AL75" s="194">
        <f t="shared" si="9"/>
        <v>0</v>
      </c>
      <c r="AM75" s="194">
        <f t="shared" si="9"/>
        <v>0</v>
      </c>
      <c r="AN75" s="194">
        <f t="shared" si="9"/>
        <v>0</v>
      </c>
      <c r="AO75" s="194">
        <f t="shared" si="9"/>
        <v>0</v>
      </c>
      <c r="AP75" s="194">
        <f t="shared" si="9"/>
        <v>0</v>
      </c>
      <c r="AQ75" s="194">
        <f t="shared" si="9"/>
        <v>0</v>
      </c>
      <c r="AR75" s="194">
        <f t="shared" si="9"/>
        <v>0</v>
      </c>
      <c r="AS75" s="194">
        <f t="shared" si="9"/>
        <v>0</v>
      </c>
      <c r="AT75" s="194">
        <f t="shared" si="9"/>
        <v>0</v>
      </c>
      <c r="AU75" s="194">
        <f t="shared" si="9"/>
        <v>0</v>
      </c>
      <c r="AV75" s="194">
        <f t="shared" si="9"/>
        <v>9796995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4">
        <f t="shared" si="8"/>
        <v>139542700</v>
      </c>
      <c r="CF75" s="250"/>
    </row>
    <row r="76" spans="1:84" ht="12.65" customHeight="1" x14ac:dyDescent="0.35">
      <c r="A76" s="171" t="s">
        <v>248</v>
      </c>
      <c r="B76" s="175"/>
      <c r="C76" s="184">
        <v>2200</v>
      </c>
      <c r="D76" s="184"/>
      <c r="E76" s="185">
        <v>9225</v>
      </c>
      <c r="F76" s="185"/>
      <c r="G76" s="184"/>
      <c r="H76" s="184"/>
      <c r="I76" s="185">
        <v>15588</v>
      </c>
      <c r="J76" s="185"/>
      <c r="K76" s="185"/>
      <c r="L76" s="185"/>
      <c r="M76" s="185"/>
      <c r="N76" s="185"/>
      <c r="O76" s="185"/>
      <c r="P76" s="185">
        <v>5422</v>
      </c>
      <c r="Q76" s="185">
        <v>600</v>
      </c>
      <c r="R76" s="185">
        <v>182</v>
      </c>
      <c r="S76" s="185"/>
      <c r="T76" s="185"/>
      <c r="U76" s="185">
        <v>1280</v>
      </c>
      <c r="V76" s="185"/>
      <c r="W76" s="185">
        <v>480</v>
      </c>
      <c r="X76" s="185">
        <v>405</v>
      </c>
      <c r="Y76" s="185">
        <v>2548</v>
      </c>
      <c r="Z76" s="185"/>
      <c r="AA76" s="185">
        <v>427</v>
      </c>
      <c r="AB76" s="185">
        <v>811</v>
      </c>
      <c r="AC76" s="185">
        <v>765</v>
      </c>
      <c r="AD76" s="185"/>
      <c r="AE76" s="185">
        <v>260</v>
      </c>
      <c r="AF76" s="185"/>
      <c r="AG76" s="185">
        <v>7800</v>
      </c>
      <c r="AH76" s="185"/>
      <c r="AI76" s="185">
        <v>600</v>
      </c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f>23821+930</f>
        <v>24751</v>
      </c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25896</v>
      </c>
      <c r="CD76" s="247" t="s">
        <v>221</v>
      </c>
      <c r="CE76" s="194">
        <f t="shared" si="8"/>
        <v>99240</v>
      </c>
      <c r="CF76" s="194">
        <f>BE59-CE76</f>
        <v>0</v>
      </c>
    </row>
    <row r="77" spans="1:84" ht="12.65" customHeight="1" x14ac:dyDescent="0.35">
      <c r="A77" s="171" t="s">
        <v>249</v>
      </c>
      <c r="B77" s="175"/>
      <c r="C77" s="285">
        <v>1985</v>
      </c>
      <c r="D77" s="184"/>
      <c r="E77" s="285">
        <v>9503</v>
      </c>
      <c r="F77" s="184"/>
      <c r="G77" s="285"/>
      <c r="H77" s="184"/>
      <c r="I77" s="285">
        <v>21957</v>
      </c>
      <c r="J77" s="184"/>
      <c r="K77" s="184"/>
      <c r="L77" s="184"/>
      <c r="M77" s="184"/>
      <c r="N77" s="285"/>
      <c r="O77" s="184"/>
      <c r="P77" s="285"/>
      <c r="Q77" s="285"/>
      <c r="R77" s="285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>
        <v>874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7" t="s">
        <v>221</v>
      </c>
      <c r="AY77" s="247" t="s">
        <v>221</v>
      </c>
      <c r="AZ77" s="184"/>
      <c r="BA77" s="184"/>
      <c r="BB77" s="184"/>
      <c r="BC77" s="184"/>
      <c r="BD77" s="247" t="s">
        <v>221</v>
      </c>
      <c r="BE77" s="247" t="s">
        <v>221</v>
      </c>
      <c r="BF77" s="184"/>
      <c r="BG77" s="247" t="s">
        <v>221</v>
      </c>
      <c r="BH77" s="184"/>
      <c r="BI77" s="184"/>
      <c r="BJ77" s="247" t="s">
        <v>221</v>
      </c>
      <c r="BK77" s="184"/>
      <c r="BL77" s="184"/>
      <c r="BM77" s="184"/>
      <c r="BN77" s="247" t="s">
        <v>221</v>
      </c>
      <c r="BO77" s="247" t="s">
        <v>221</v>
      </c>
      <c r="BP77" s="247" t="s">
        <v>221</v>
      </c>
      <c r="BQ77" s="247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7" t="s">
        <v>221</v>
      </c>
      <c r="CD77" s="247" t="s">
        <v>221</v>
      </c>
      <c r="CE77" s="194">
        <f>SUM(C77:CD77)</f>
        <v>34319</v>
      </c>
      <c r="CF77" s="194">
        <f>AY59-CE77</f>
        <v>69922</v>
      </c>
    </row>
    <row r="78" spans="1:84" ht="12.65" customHeight="1" x14ac:dyDescent="0.35">
      <c r="A78" s="171" t="s">
        <v>250</v>
      </c>
      <c r="B78" s="175"/>
      <c r="C78" s="285">
        <v>1042</v>
      </c>
      <c r="D78" s="285"/>
      <c r="E78" s="285">
        <v>4372</v>
      </c>
      <c r="F78" s="285"/>
      <c r="G78" s="285"/>
      <c r="H78" s="285"/>
      <c r="I78" s="285">
        <v>7388</v>
      </c>
      <c r="J78" s="285"/>
      <c r="K78" s="285"/>
      <c r="L78" s="285"/>
      <c r="M78" s="285"/>
      <c r="N78" s="285"/>
      <c r="O78" s="285"/>
      <c r="P78" s="285">
        <v>2569</v>
      </c>
      <c r="Q78" s="285">
        <v>285</v>
      </c>
      <c r="R78" s="285">
        <v>86</v>
      </c>
      <c r="S78" s="285"/>
      <c r="T78" s="285"/>
      <c r="U78" s="285">
        <v>607</v>
      </c>
      <c r="V78" s="285"/>
      <c r="W78" s="285">
        <v>227</v>
      </c>
      <c r="X78" s="285">
        <v>191</v>
      </c>
      <c r="Y78" s="285">
        <v>1207</v>
      </c>
      <c r="Z78" s="285"/>
      <c r="AA78" s="285">
        <v>202</v>
      </c>
      <c r="AB78" s="285">
        <v>384</v>
      </c>
      <c r="AC78" s="285">
        <v>362</v>
      </c>
      <c r="AD78" s="285"/>
      <c r="AE78" s="285">
        <v>123</v>
      </c>
      <c r="AF78" s="285"/>
      <c r="AG78" s="285">
        <v>3697</v>
      </c>
      <c r="AH78" s="285"/>
      <c r="AI78" s="285">
        <v>285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11737</v>
      </c>
      <c r="AW78" s="184"/>
      <c r="AX78" s="247" t="s">
        <v>221</v>
      </c>
      <c r="AY78" s="247" t="s">
        <v>221</v>
      </c>
      <c r="AZ78" s="247" t="s">
        <v>221</v>
      </c>
      <c r="BA78" s="184"/>
      <c r="BB78" s="184"/>
      <c r="BC78" s="184"/>
      <c r="BD78" s="247" t="s">
        <v>221</v>
      </c>
      <c r="BE78" s="247" t="s">
        <v>221</v>
      </c>
      <c r="BF78" s="247" t="s">
        <v>221</v>
      </c>
      <c r="BG78" s="247" t="s">
        <v>221</v>
      </c>
      <c r="BH78" s="184"/>
      <c r="BI78" s="184"/>
      <c r="BJ78" s="247" t="s">
        <v>221</v>
      </c>
      <c r="BK78" s="184"/>
      <c r="BL78" s="184"/>
      <c r="BM78" s="184"/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7" t="s">
        <v>221</v>
      </c>
      <c r="CD78" s="247" t="s">
        <v>221</v>
      </c>
      <c r="CE78" s="194">
        <f t="shared" si="8"/>
        <v>34764</v>
      </c>
      <c r="CF78" s="194"/>
    </row>
    <row r="79" spans="1:84" ht="12.65" customHeight="1" x14ac:dyDescent="0.35">
      <c r="A79" s="171" t="s">
        <v>251</v>
      </c>
      <c r="B79" s="175"/>
      <c r="C79" s="224">
        <v>9927</v>
      </c>
      <c r="D79" s="224"/>
      <c r="E79" s="184">
        <v>69481</v>
      </c>
      <c r="F79" s="184"/>
      <c r="G79" s="184"/>
      <c r="H79" s="184"/>
      <c r="I79" s="184">
        <f>6912+3672</f>
        <v>10584</v>
      </c>
      <c r="J79" s="184"/>
      <c r="K79" s="184"/>
      <c r="L79" s="184"/>
      <c r="M79" s="184"/>
      <c r="N79" s="184"/>
      <c r="O79" s="184"/>
      <c r="P79" s="184">
        <v>49633</v>
      </c>
      <c r="Q79" s="184"/>
      <c r="R79" s="184"/>
      <c r="S79" s="184"/>
      <c r="T79" s="184"/>
      <c r="U79" s="184"/>
      <c r="V79" s="184"/>
      <c r="W79" s="184">
        <v>427</v>
      </c>
      <c r="X79" s="184"/>
      <c r="Y79" s="184">
        <v>427</v>
      </c>
      <c r="Z79" s="184"/>
      <c r="AA79" s="184"/>
      <c r="AB79" s="184"/>
      <c r="AC79" s="184"/>
      <c r="AD79" s="184"/>
      <c r="AE79" s="184">
        <f>6404+427</f>
        <v>6831</v>
      </c>
      <c r="AF79" s="184"/>
      <c r="AG79" s="184">
        <v>39704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f>853+9926+15882+3970</f>
        <v>30631</v>
      </c>
      <c r="AW79" s="184"/>
      <c r="AX79" s="247" t="s">
        <v>221</v>
      </c>
      <c r="AY79" s="247" t="s">
        <v>221</v>
      </c>
      <c r="AZ79" s="247" t="s">
        <v>221</v>
      </c>
      <c r="BA79" s="247" t="s">
        <v>221</v>
      </c>
      <c r="BB79" s="184"/>
      <c r="BC79" s="184"/>
      <c r="BD79" s="247" t="s">
        <v>221</v>
      </c>
      <c r="BE79" s="247" t="s">
        <v>221</v>
      </c>
      <c r="BF79" s="247" t="s">
        <v>221</v>
      </c>
      <c r="BG79" s="247" t="s">
        <v>221</v>
      </c>
      <c r="BH79" s="184"/>
      <c r="BI79" s="184"/>
      <c r="BJ79" s="247" t="s">
        <v>221</v>
      </c>
      <c r="BK79" s="184"/>
      <c r="BL79" s="184"/>
      <c r="BM79" s="184"/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7" t="s">
        <v>221</v>
      </c>
      <c r="CD79" s="247" t="s">
        <v>221</v>
      </c>
      <c r="CE79" s="194">
        <f t="shared" si="8"/>
        <v>217645</v>
      </c>
      <c r="CF79" s="194">
        <f>BA59</f>
        <v>0</v>
      </c>
    </row>
    <row r="80" spans="1:84" ht="21" customHeight="1" x14ac:dyDescent="0.35">
      <c r="A80" s="171" t="s">
        <v>252</v>
      </c>
      <c r="B80" s="175"/>
      <c r="C80" s="286">
        <v>7.98</v>
      </c>
      <c r="D80" s="186"/>
      <c r="E80" s="286">
        <v>22.12</v>
      </c>
      <c r="F80" s="186"/>
      <c r="G80" s="286"/>
      <c r="H80" s="186"/>
      <c r="I80" s="286">
        <v>12.9</v>
      </c>
      <c r="J80" s="186"/>
      <c r="K80" s="186"/>
      <c r="L80" s="186"/>
      <c r="M80" s="186"/>
      <c r="N80" s="286"/>
      <c r="O80" s="186"/>
      <c r="P80" s="286">
        <v>3.59</v>
      </c>
      <c r="Q80" s="286">
        <v>2.2799999999999998</v>
      </c>
      <c r="R80" s="2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>
        <v>18.59</v>
      </c>
      <c r="AH80" s="186"/>
      <c r="AI80" s="186">
        <v>5.1100000000000003</v>
      </c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>
        <f>2+1.64</f>
        <v>3.6399999999999997</v>
      </c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76.210000000000008</v>
      </c>
      <c r="CF80" s="253"/>
    </row>
    <row r="81" spans="1:5" ht="12.65" customHeight="1" x14ac:dyDescent="0.35">
      <c r="A81" s="207" t="s">
        <v>253</v>
      </c>
      <c r="B81" s="207"/>
      <c r="C81" s="207"/>
      <c r="D81" s="207"/>
      <c r="E81" s="207"/>
    </row>
    <row r="82" spans="1:5" ht="12.65" customHeight="1" x14ac:dyDescent="0.35">
      <c r="A82" s="171" t="s">
        <v>254</v>
      </c>
      <c r="B82" s="172"/>
      <c r="C82" s="279" t="s">
        <v>1265</v>
      </c>
      <c r="D82" s="254"/>
      <c r="E82" s="175"/>
    </row>
    <row r="83" spans="1:5" ht="12.65" customHeight="1" x14ac:dyDescent="0.35">
      <c r="A83" s="173" t="s">
        <v>255</v>
      </c>
      <c r="B83" s="172" t="s">
        <v>256</v>
      </c>
      <c r="C83" s="226" t="s">
        <v>1267</v>
      </c>
      <c r="D83" s="254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1268</v>
      </c>
      <c r="D84" s="204"/>
      <c r="E84" s="203"/>
    </row>
    <row r="85" spans="1:5" ht="12.65" customHeight="1" x14ac:dyDescent="0.35">
      <c r="A85" s="173" t="s">
        <v>1251</v>
      </c>
      <c r="B85" s="172"/>
      <c r="C85" s="268" t="s">
        <v>1269</v>
      </c>
      <c r="D85" s="204"/>
      <c r="E85" s="203"/>
    </row>
    <row r="86" spans="1:5" ht="12.65" customHeight="1" x14ac:dyDescent="0.35">
      <c r="A86" s="173" t="s">
        <v>1252</v>
      </c>
      <c r="B86" s="172" t="s">
        <v>256</v>
      </c>
      <c r="C86" s="268" t="s">
        <v>1269</v>
      </c>
      <c r="D86" s="204"/>
      <c r="E86" s="203"/>
    </row>
    <row r="87" spans="1:5" ht="12.65" customHeight="1" x14ac:dyDescent="0.35">
      <c r="A87" s="173" t="s">
        <v>258</v>
      </c>
      <c r="B87" s="172" t="s">
        <v>256</v>
      </c>
      <c r="C87" s="229" t="s">
        <v>1270</v>
      </c>
      <c r="D87" s="204"/>
      <c r="E87" s="203"/>
    </row>
    <row r="88" spans="1:5" ht="12.65" customHeight="1" x14ac:dyDescent="0.35">
      <c r="A88" s="173" t="s">
        <v>259</v>
      </c>
      <c r="B88" s="172" t="s">
        <v>256</v>
      </c>
      <c r="C88" s="229" t="s">
        <v>1271</v>
      </c>
      <c r="D88" s="204"/>
      <c r="E88" s="203"/>
    </row>
    <row r="89" spans="1:5" ht="12.65" customHeight="1" x14ac:dyDescent="0.35">
      <c r="A89" s="173" t="s">
        <v>260</v>
      </c>
      <c r="B89" s="172" t="s">
        <v>256</v>
      </c>
      <c r="C89" s="229" t="s">
        <v>1276</v>
      </c>
      <c r="D89" s="204"/>
      <c r="E89" s="203"/>
    </row>
    <row r="90" spans="1:5" ht="12.65" customHeight="1" x14ac:dyDescent="0.35">
      <c r="A90" s="173" t="s">
        <v>261</v>
      </c>
      <c r="B90" s="172" t="s">
        <v>256</v>
      </c>
      <c r="C90" s="229" t="s">
        <v>1272</v>
      </c>
      <c r="D90" s="204"/>
      <c r="E90" s="203"/>
    </row>
    <row r="91" spans="1:5" ht="12.65" customHeight="1" x14ac:dyDescent="0.35">
      <c r="A91" s="173" t="s">
        <v>262</v>
      </c>
      <c r="B91" s="172" t="s">
        <v>256</v>
      </c>
      <c r="C91" s="229" t="s">
        <v>1273</v>
      </c>
      <c r="D91" s="204"/>
      <c r="E91" s="203"/>
    </row>
    <row r="92" spans="1:5" ht="12.65" customHeight="1" x14ac:dyDescent="0.35">
      <c r="A92" s="173" t="s">
        <v>263</v>
      </c>
      <c r="B92" s="172" t="s">
        <v>256</v>
      </c>
      <c r="C92" s="225" t="s">
        <v>1274</v>
      </c>
      <c r="D92" s="254"/>
      <c r="E92" s="175"/>
    </row>
    <row r="93" spans="1:5" ht="12.65" customHeight="1" x14ac:dyDescent="0.35">
      <c r="A93" s="173" t="s">
        <v>264</v>
      </c>
      <c r="B93" s="172" t="s">
        <v>256</v>
      </c>
      <c r="C93" s="283" t="s">
        <v>1275</v>
      </c>
      <c r="D93" s="254"/>
      <c r="E93" s="175"/>
    </row>
    <row r="94" spans="1:5" ht="12.65" customHeight="1" x14ac:dyDescent="0.35">
      <c r="A94" s="173"/>
      <c r="B94" s="173"/>
      <c r="C94" s="190"/>
      <c r="D94" s="175"/>
      <c r="E94" s="175"/>
    </row>
    <row r="95" spans="1:5" ht="12.65" customHeight="1" x14ac:dyDescent="0.35">
      <c r="A95" s="207" t="s">
        <v>265</v>
      </c>
      <c r="B95" s="207"/>
      <c r="C95" s="207"/>
      <c r="D95" s="207"/>
      <c r="E95" s="207"/>
    </row>
    <row r="96" spans="1:5" ht="12.65" customHeight="1" x14ac:dyDescent="0.35">
      <c r="A96" s="255" t="s">
        <v>266</v>
      </c>
      <c r="B96" s="255"/>
      <c r="C96" s="255"/>
      <c r="D96" s="255"/>
      <c r="E96" s="255"/>
    </row>
    <row r="97" spans="1:5" ht="12.65" customHeight="1" x14ac:dyDescent="0.35">
      <c r="A97" s="173" t="s">
        <v>267</v>
      </c>
      <c r="B97" s="172" t="s">
        <v>256</v>
      </c>
      <c r="C97" s="188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8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8">
        <v>1</v>
      </c>
      <c r="D99" s="175"/>
      <c r="E99" s="175"/>
    </row>
    <row r="100" spans="1:5" ht="12.65" customHeight="1" x14ac:dyDescent="0.35">
      <c r="A100" s="255" t="s">
        <v>269</v>
      </c>
      <c r="B100" s="255"/>
      <c r="C100" s="255"/>
      <c r="D100" s="255"/>
      <c r="E100" s="255"/>
    </row>
    <row r="101" spans="1:5" ht="12.65" customHeight="1" x14ac:dyDescent="0.35">
      <c r="A101" s="173" t="s">
        <v>270</v>
      </c>
      <c r="B101" s="172" t="s">
        <v>256</v>
      </c>
      <c r="C101" s="188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5" t="s">
        <v>271</v>
      </c>
      <c r="B103" s="255"/>
      <c r="C103" s="255"/>
      <c r="D103" s="255"/>
      <c r="E103" s="255"/>
    </row>
    <row r="104" spans="1:5" ht="12.65" customHeight="1" x14ac:dyDescent="0.35">
      <c r="A104" s="173" t="s">
        <v>272</v>
      </c>
      <c r="B104" s="172" t="s">
        <v>256</v>
      </c>
      <c r="C104" s="188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8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8"/>
      <c r="D106" s="175"/>
      <c r="E106" s="175"/>
    </row>
    <row r="107" spans="1:5" ht="21.75" customHeight="1" x14ac:dyDescent="0.35">
      <c r="A107" s="173"/>
      <c r="B107" s="172"/>
      <c r="C107" s="189"/>
      <c r="D107" s="175"/>
      <c r="E107" s="175"/>
    </row>
    <row r="108" spans="1:5" ht="13.5" customHeight="1" x14ac:dyDescent="0.35">
      <c r="A108" s="206" t="s">
        <v>275</v>
      </c>
      <c r="B108" s="207"/>
      <c r="C108" s="207"/>
      <c r="D108" s="207"/>
      <c r="E108" s="207"/>
    </row>
    <row r="109" spans="1:5" ht="13.5" customHeight="1" x14ac:dyDescent="0.35">
      <c r="A109" s="173"/>
      <c r="B109" s="172"/>
      <c r="C109" s="189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8">
        <v>910</v>
      </c>
      <c r="D111" s="174">
        <f>2666+709</f>
        <v>3375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8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8">
        <v>820</v>
      </c>
      <c r="D113" s="174">
        <v>7319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8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8">
        <v>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8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8">
        <v>23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8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8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8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8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8"/>
      <c r="D123" s="175"/>
      <c r="E123" s="175"/>
    </row>
    <row r="124" spans="1:5" ht="12.65" customHeight="1" x14ac:dyDescent="0.35">
      <c r="A124" s="173" t="s">
        <v>289</v>
      </c>
      <c r="B124" s="172"/>
      <c r="C124" s="188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8">
        <v>34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8"/>
      <c r="D126" s="175"/>
      <c r="E126" s="175"/>
    </row>
    <row r="127" spans="1:5" ht="12.65" customHeight="1" x14ac:dyDescent="0.35">
      <c r="A127" s="173" t="s">
        <v>291</v>
      </c>
      <c r="B127" s="175"/>
      <c r="C127" s="190"/>
      <c r="D127" s="175"/>
      <c r="E127" s="175">
        <f>SUM(C116:C126)</f>
        <v>61</v>
      </c>
    </row>
    <row r="128" spans="1:5" ht="12.65" customHeight="1" x14ac:dyDescent="0.35">
      <c r="A128" s="173" t="s">
        <v>292</v>
      </c>
      <c r="B128" s="172" t="s">
        <v>256</v>
      </c>
      <c r="C128" s="188">
        <v>112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8"/>
      <c r="D129" s="175"/>
      <c r="E129" s="175"/>
    </row>
    <row r="130" spans="1:6" ht="12.65" customHeight="1" x14ac:dyDescent="0.35">
      <c r="A130" s="173"/>
      <c r="B130" s="175"/>
      <c r="C130" s="190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8"/>
      <c r="D131" s="175"/>
      <c r="E131" s="175"/>
    </row>
    <row r="132" spans="1:6" ht="12.65" customHeight="1" x14ac:dyDescent="0.35">
      <c r="A132" s="173"/>
      <c r="B132" s="173"/>
      <c r="C132" s="190"/>
      <c r="D132" s="175"/>
      <c r="E132" s="175"/>
    </row>
    <row r="133" spans="1:6" ht="12.65" customHeight="1" x14ac:dyDescent="0.35">
      <c r="A133" s="173"/>
      <c r="B133" s="173"/>
      <c r="C133" s="190"/>
      <c r="D133" s="175"/>
      <c r="E133" s="175"/>
    </row>
    <row r="134" spans="1:6" ht="12.65" customHeight="1" x14ac:dyDescent="0.35">
      <c r="A134" s="173"/>
      <c r="B134" s="173"/>
      <c r="C134" s="190"/>
      <c r="D134" s="175"/>
      <c r="E134" s="175"/>
    </row>
    <row r="135" spans="1:6" ht="18" customHeight="1" x14ac:dyDescent="0.35">
      <c r="A135" s="173"/>
      <c r="B135" s="173"/>
      <c r="C135" s="190"/>
      <c r="D135" s="175"/>
      <c r="E135" s="175"/>
    </row>
    <row r="136" spans="1:6" ht="12.65" customHeight="1" x14ac:dyDescent="0.35">
      <c r="A136" s="207" t="s">
        <v>1240</v>
      </c>
      <c r="B136" s="206"/>
      <c r="C136" s="206"/>
      <c r="D136" s="206"/>
      <c r="E136" s="206"/>
    </row>
    <row r="137" spans="1:6" ht="12.65" customHeight="1" x14ac:dyDescent="0.35">
      <c r="A137" s="256" t="s">
        <v>295</v>
      </c>
      <c r="B137" s="176" t="s">
        <v>296</v>
      </c>
      <c r="C137" s="191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522</v>
      </c>
      <c r="C138" s="188">
        <v>210</v>
      </c>
      <c r="D138" s="174">
        <v>178</v>
      </c>
      <c r="E138" s="175">
        <f>SUM(B138:D138)</f>
        <v>910</v>
      </c>
    </row>
    <row r="139" spans="1:6" ht="12.65" customHeight="1" x14ac:dyDescent="0.35">
      <c r="A139" s="173" t="s">
        <v>215</v>
      </c>
      <c r="B139" s="174">
        <v>1878</v>
      </c>
      <c r="C139" s="188">
        <v>632</v>
      </c>
      <c r="D139" s="174">
        <v>865</v>
      </c>
      <c r="E139" s="175">
        <f>SUM(B139:D139)</f>
        <v>3375</v>
      </c>
    </row>
    <row r="140" spans="1:6" ht="12.65" customHeight="1" x14ac:dyDescent="0.35">
      <c r="A140" s="173" t="s">
        <v>298</v>
      </c>
      <c r="B140" s="174">
        <v>13995</v>
      </c>
      <c r="C140" s="174">
        <v>9140</v>
      </c>
      <c r="D140" s="174">
        <v>18283</v>
      </c>
      <c r="E140" s="175">
        <f>SUM(B140:D140)</f>
        <v>41418</v>
      </c>
    </row>
    <row r="141" spans="1:6" ht="12.65" customHeight="1" x14ac:dyDescent="0.35">
      <c r="A141" s="173" t="s">
        <v>245</v>
      </c>
      <c r="B141" s="174">
        <v>15039545</v>
      </c>
      <c r="C141" s="188">
        <v>6081988</v>
      </c>
      <c r="D141" s="174">
        <v>10495941</v>
      </c>
      <c r="E141" s="175">
        <f>SUM(B141:D141)</f>
        <v>31617474</v>
      </c>
      <c r="F141" s="198"/>
    </row>
    <row r="142" spans="1:6" ht="12.65" customHeight="1" x14ac:dyDescent="0.35">
      <c r="A142" s="173" t="s">
        <v>246</v>
      </c>
      <c r="B142" s="174">
        <v>30357051</v>
      </c>
      <c r="C142" s="188">
        <v>25056150</v>
      </c>
      <c r="D142" s="174">
        <v>45138964</v>
      </c>
      <c r="E142" s="175">
        <f>SUM(B142:D142)</f>
        <v>100552165</v>
      </c>
      <c r="F142" s="198"/>
    </row>
    <row r="143" spans="1:6" ht="12.65" customHeight="1" x14ac:dyDescent="0.35">
      <c r="A143" s="256" t="s">
        <v>299</v>
      </c>
      <c r="B143" s="176" t="s">
        <v>296</v>
      </c>
      <c r="C143" s="191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8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8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8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8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8"/>
      <c r="D148" s="174"/>
      <c r="E148" s="175">
        <f>SUM(B148:D148)</f>
        <v>0</v>
      </c>
    </row>
    <row r="149" spans="1:5" ht="12.65" customHeight="1" x14ac:dyDescent="0.35">
      <c r="A149" s="256" t="s">
        <v>300</v>
      </c>
      <c r="B149" s="176" t="s">
        <v>296</v>
      </c>
      <c r="C149" s="191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52</v>
      </c>
      <c r="C150" s="188">
        <v>54</v>
      </c>
      <c r="D150" s="174">
        <v>714</v>
      </c>
      <c r="E150" s="175">
        <f>SUM(B150:D150)</f>
        <v>820</v>
      </c>
    </row>
    <row r="151" spans="1:5" ht="12.65" customHeight="1" x14ac:dyDescent="0.35">
      <c r="A151" s="173" t="s">
        <v>215</v>
      </c>
      <c r="B151" s="174">
        <v>518</v>
      </c>
      <c r="C151" s="188">
        <v>615</v>
      </c>
      <c r="D151" s="174">
        <v>6186</v>
      </c>
      <c r="E151" s="175">
        <f>SUM(B151:D151)</f>
        <v>7319</v>
      </c>
    </row>
    <row r="152" spans="1:5" ht="12.65" customHeight="1" x14ac:dyDescent="0.35">
      <c r="A152" s="173" t="s">
        <v>298</v>
      </c>
      <c r="B152" s="174">
        <v>5</v>
      </c>
      <c r="C152" s="188">
        <v>3</v>
      </c>
      <c r="D152" s="174">
        <v>134</v>
      </c>
      <c r="E152" s="175">
        <f>SUM(B152:D152)</f>
        <v>142</v>
      </c>
    </row>
    <row r="153" spans="1:5" ht="12.65" customHeight="1" x14ac:dyDescent="0.35">
      <c r="A153" s="173" t="s">
        <v>245</v>
      </c>
      <c r="B153" s="174">
        <v>435130</v>
      </c>
      <c r="C153" s="188">
        <v>334611</v>
      </c>
      <c r="D153" s="174">
        <v>6110518</v>
      </c>
      <c r="E153" s="175">
        <f>SUM(B153:D153)</f>
        <v>6880259</v>
      </c>
    </row>
    <row r="154" spans="1:5" ht="12.65" customHeight="1" x14ac:dyDescent="0.35">
      <c r="A154" s="173" t="s">
        <v>246</v>
      </c>
      <c r="B154" s="174">
        <v>0</v>
      </c>
      <c r="C154" s="188">
        <v>0</v>
      </c>
      <c r="D154" s="174">
        <v>492667</v>
      </c>
      <c r="E154" s="175">
        <f>SUM(B154:D154)</f>
        <v>492667</v>
      </c>
    </row>
    <row r="155" spans="1:5" ht="12.65" customHeight="1" x14ac:dyDescent="0.35">
      <c r="A155" s="177"/>
      <c r="B155" s="177"/>
      <c r="C155" s="192"/>
      <c r="D155" s="178"/>
      <c r="E155" s="175"/>
    </row>
    <row r="156" spans="1:5" ht="12.65" customHeight="1" x14ac:dyDescent="0.35">
      <c r="A156" s="256" t="s">
        <v>301</v>
      </c>
      <c r="B156" s="176" t="s">
        <v>302</v>
      </c>
      <c r="C156" s="191" t="s">
        <v>303</v>
      </c>
      <c r="D156" s="175"/>
      <c r="E156" s="175"/>
    </row>
    <row r="157" spans="1:5" ht="12.65" customHeight="1" x14ac:dyDescent="0.35">
      <c r="A157" s="177" t="s">
        <v>304</v>
      </c>
      <c r="B157" s="290">
        <v>3168122</v>
      </c>
      <c r="C157" s="290">
        <v>1432894</v>
      </c>
      <c r="D157" s="175"/>
      <c r="E157" s="175"/>
    </row>
    <row r="158" spans="1:5" ht="12.65" customHeight="1" x14ac:dyDescent="0.35">
      <c r="A158" s="177"/>
      <c r="B158" s="178"/>
      <c r="C158" s="192"/>
      <c r="D158" s="175"/>
      <c r="E158" s="175"/>
    </row>
    <row r="159" spans="1:5" ht="12.65" customHeight="1" x14ac:dyDescent="0.35">
      <c r="A159" s="177"/>
      <c r="B159" s="177"/>
      <c r="C159" s="192"/>
      <c r="D159" s="178"/>
      <c r="E159" s="175"/>
    </row>
    <row r="160" spans="1:5" ht="12.65" customHeight="1" x14ac:dyDescent="0.35">
      <c r="A160" s="177"/>
      <c r="B160" s="177"/>
      <c r="C160" s="192"/>
      <c r="D160" s="178"/>
      <c r="E160" s="175"/>
    </row>
    <row r="161" spans="1:5" ht="12.65" customHeight="1" x14ac:dyDescent="0.35">
      <c r="A161" s="177"/>
      <c r="B161" s="177"/>
      <c r="C161" s="192"/>
      <c r="D161" s="178"/>
      <c r="E161" s="175"/>
    </row>
    <row r="162" spans="1:5" ht="21.75" customHeight="1" x14ac:dyDescent="0.35">
      <c r="A162" s="177"/>
      <c r="B162" s="177"/>
      <c r="C162" s="192"/>
      <c r="D162" s="178"/>
      <c r="E162" s="175"/>
    </row>
    <row r="163" spans="1:5" ht="11.5" customHeight="1" x14ac:dyDescent="0.35">
      <c r="A163" s="206" t="s">
        <v>305</v>
      </c>
      <c r="B163" s="207"/>
      <c r="C163" s="207"/>
      <c r="D163" s="207"/>
      <c r="E163" s="207"/>
    </row>
    <row r="164" spans="1:5" ht="11.5" customHeight="1" x14ac:dyDescent="0.35">
      <c r="A164" s="255" t="s">
        <v>306</v>
      </c>
      <c r="B164" s="255"/>
      <c r="C164" s="255"/>
      <c r="D164" s="255"/>
      <c r="E164" s="255"/>
    </row>
    <row r="165" spans="1:5" ht="11.5" customHeight="1" x14ac:dyDescent="0.35">
      <c r="A165" s="173" t="s">
        <v>307</v>
      </c>
      <c r="B165" s="172" t="s">
        <v>256</v>
      </c>
      <c r="C165" s="188">
        <v>1597918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8">
        <v>103117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8">
        <v>282580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8">
        <f>2501193</f>
        <v>2501193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8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8">
        <f>61659.63+462843.96</f>
        <v>524503.59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8">
        <v>1575248.66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8">
        <f>26862.15+6551.5+6253.53+237539.24</f>
        <v>277206.42</v>
      </c>
      <c r="D172" s="175"/>
      <c r="E172" s="175"/>
    </row>
    <row r="173" spans="1:5" ht="11.5" customHeight="1" x14ac:dyDescent="0.35">
      <c r="A173" s="173" t="s">
        <v>203</v>
      </c>
      <c r="B173" s="175"/>
      <c r="C173" s="190"/>
      <c r="D173" s="175">
        <f>SUM(C165:C172)</f>
        <v>6861766.6699999999</v>
      </c>
      <c r="E173" s="175"/>
    </row>
    <row r="174" spans="1:5" ht="11.5" customHeight="1" x14ac:dyDescent="0.35">
      <c r="A174" s="255" t="s">
        <v>314</v>
      </c>
      <c r="B174" s="255"/>
      <c r="C174" s="255"/>
      <c r="D174" s="255"/>
      <c r="E174" s="255"/>
    </row>
    <row r="175" spans="1:5" ht="11.5" customHeight="1" x14ac:dyDescent="0.35">
      <c r="A175" s="173" t="s">
        <v>315</v>
      </c>
      <c r="B175" s="172" t="s">
        <v>256</v>
      </c>
      <c r="C175" s="188">
        <v>840991.5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8">
        <v>189161.15</v>
      </c>
      <c r="D176" s="175"/>
      <c r="E176" s="175"/>
    </row>
    <row r="177" spans="1:5" ht="11.5" customHeight="1" x14ac:dyDescent="0.35">
      <c r="A177" s="173" t="s">
        <v>203</v>
      </c>
      <c r="B177" s="175"/>
      <c r="C177" s="190"/>
      <c r="D177" s="175">
        <f>SUM(C175:C176)</f>
        <v>1030152.65</v>
      </c>
      <c r="E177" s="175"/>
    </row>
    <row r="178" spans="1:5" ht="11.5" customHeight="1" x14ac:dyDescent="0.35">
      <c r="A178" s="255" t="s">
        <v>317</v>
      </c>
      <c r="B178" s="255"/>
      <c r="C178" s="255"/>
      <c r="D178" s="255"/>
      <c r="E178" s="255"/>
    </row>
    <row r="179" spans="1:5" ht="11.5" customHeight="1" x14ac:dyDescent="0.35">
      <c r="A179" s="173" t="s">
        <v>318</v>
      </c>
      <c r="B179" s="172" t="s">
        <v>256</v>
      </c>
      <c r="C179" s="188">
        <v>162150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8">
        <f>8777.87+118078.79</f>
        <v>126856.65999999999</v>
      </c>
      <c r="D180" s="175"/>
      <c r="E180" s="175"/>
    </row>
    <row r="181" spans="1:5" ht="11.5" customHeight="1" x14ac:dyDescent="0.35">
      <c r="A181" s="173" t="s">
        <v>203</v>
      </c>
      <c r="B181" s="175"/>
      <c r="C181" s="190"/>
      <c r="D181" s="175">
        <f>SUM(C179:C180)</f>
        <v>289006.65999999997</v>
      </c>
      <c r="E181" s="175"/>
    </row>
    <row r="182" spans="1:5" ht="11.5" customHeight="1" x14ac:dyDescent="0.35">
      <c r="A182" s="255" t="s">
        <v>320</v>
      </c>
      <c r="B182" s="255"/>
      <c r="C182" s="255"/>
      <c r="D182" s="255"/>
      <c r="E182" s="255"/>
    </row>
    <row r="183" spans="1:5" ht="11.5" customHeight="1" x14ac:dyDescent="0.35">
      <c r="A183" s="173" t="s">
        <v>321</v>
      </c>
      <c r="B183" s="172" t="s">
        <v>256</v>
      </c>
      <c r="C183" s="188">
        <f>125+31977.4</f>
        <v>32102.400000000001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8">
        <v>422430.77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8"/>
      <c r="D185" s="175"/>
      <c r="E185" s="175"/>
    </row>
    <row r="186" spans="1:5" ht="11.5" customHeight="1" x14ac:dyDescent="0.35">
      <c r="A186" s="173" t="s">
        <v>203</v>
      </c>
      <c r="B186" s="175"/>
      <c r="C186" s="190"/>
      <c r="D186" s="175">
        <f>SUM(C183:C185)</f>
        <v>454533.17000000004</v>
      </c>
      <c r="E186" s="175"/>
    </row>
    <row r="187" spans="1:5" ht="11.5" customHeight="1" x14ac:dyDescent="0.35">
      <c r="A187" s="255" t="s">
        <v>323</v>
      </c>
      <c r="B187" s="255"/>
      <c r="C187" s="255"/>
      <c r="D187" s="255"/>
      <c r="E187" s="255"/>
    </row>
    <row r="188" spans="1:5" ht="11.5" customHeight="1" x14ac:dyDescent="0.35">
      <c r="A188" s="173" t="s">
        <v>324</v>
      </c>
      <c r="B188" s="172" t="s">
        <v>256</v>
      </c>
      <c r="C188" s="188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8">
        <v>1419905</v>
      </c>
      <c r="D189" s="175"/>
      <c r="E189" s="175"/>
    </row>
    <row r="190" spans="1:5" ht="11.5" customHeight="1" x14ac:dyDescent="0.35">
      <c r="A190" s="173" t="s">
        <v>203</v>
      </c>
      <c r="B190" s="175"/>
      <c r="C190" s="190"/>
      <c r="D190" s="175">
        <f>SUM(C188:C189)</f>
        <v>1419905</v>
      </c>
      <c r="E190" s="175"/>
    </row>
    <row r="191" spans="1:5" ht="18" customHeight="1" x14ac:dyDescent="0.35">
      <c r="A191" s="173"/>
      <c r="B191" s="175"/>
      <c r="C191" s="190"/>
      <c r="D191" s="175"/>
      <c r="E191" s="175"/>
    </row>
    <row r="192" spans="1:5" ht="12.65" customHeight="1" x14ac:dyDescent="0.35">
      <c r="A192" s="207" t="s">
        <v>326</v>
      </c>
      <c r="B192" s="207"/>
      <c r="C192" s="207"/>
      <c r="D192" s="207"/>
      <c r="E192" s="207"/>
    </row>
    <row r="193" spans="1:8" ht="12.65" customHeight="1" x14ac:dyDescent="0.35">
      <c r="A193" s="206" t="s">
        <v>327</v>
      </c>
      <c r="B193" s="207"/>
      <c r="C193" s="207"/>
      <c r="D193" s="207"/>
      <c r="E193" s="207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1878610</v>
      </c>
      <c r="C195" s="188">
        <v>0</v>
      </c>
      <c r="D195" s="174"/>
      <c r="E195" s="175">
        <f t="shared" ref="E195:E203" si="10">SUM(B195:C195)-D195</f>
        <v>1878610</v>
      </c>
    </row>
    <row r="196" spans="1:8" ht="12.65" customHeight="1" x14ac:dyDescent="0.35">
      <c r="A196" s="173" t="s">
        <v>333</v>
      </c>
      <c r="B196" s="174">
        <v>1145661</v>
      </c>
      <c r="C196" s="188">
        <v>88090</v>
      </c>
      <c r="D196" s="174"/>
      <c r="E196" s="175">
        <f t="shared" si="10"/>
        <v>1233751</v>
      </c>
    </row>
    <row r="197" spans="1:8" ht="12.65" customHeight="1" x14ac:dyDescent="0.35">
      <c r="A197" s="173" t="s">
        <v>334</v>
      </c>
      <c r="B197" s="174">
        <v>23781856</v>
      </c>
      <c r="C197" s="188">
        <v>294406</v>
      </c>
      <c r="D197" s="174"/>
      <c r="E197" s="175">
        <f t="shared" si="10"/>
        <v>24076262</v>
      </c>
    </row>
    <row r="198" spans="1:8" ht="12.65" customHeight="1" x14ac:dyDescent="0.35">
      <c r="A198" s="173" t="s">
        <v>335</v>
      </c>
      <c r="B198" s="174">
        <v>2601202</v>
      </c>
      <c r="C198" s="188">
        <v>129321</v>
      </c>
      <c r="D198" s="174"/>
      <c r="E198" s="175">
        <f t="shared" si="10"/>
        <v>2730523</v>
      </c>
    </row>
    <row r="199" spans="1:8" ht="12.65" customHeight="1" x14ac:dyDescent="0.35">
      <c r="A199" s="173" t="s">
        <v>336</v>
      </c>
      <c r="B199" s="174">
        <v>0</v>
      </c>
      <c r="C199" s="188">
        <v>0</v>
      </c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18605687</v>
      </c>
      <c r="C200" s="188">
        <v>939241</v>
      </c>
      <c r="D200" s="174"/>
      <c r="E200" s="175">
        <f t="shared" si="10"/>
        <v>19544928</v>
      </c>
    </row>
    <row r="201" spans="1:8" ht="12.65" customHeight="1" x14ac:dyDescent="0.35">
      <c r="A201" s="173" t="s">
        <v>338</v>
      </c>
      <c r="B201" s="174"/>
      <c r="C201" s="188">
        <v>0</v>
      </c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3098250</v>
      </c>
      <c r="C202" s="188">
        <v>0</v>
      </c>
      <c r="D202" s="174"/>
      <c r="E202" s="175">
        <f t="shared" si="10"/>
        <v>3098250</v>
      </c>
    </row>
    <row r="203" spans="1:8" ht="12.65" customHeight="1" x14ac:dyDescent="0.35">
      <c r="A203" s="173" t="s">
        <v>340</v>
      </c>
      <c r="B203" s="174">
        <v>414414</v>
      </c>
      <c r="C203" s="188">
        <v>996922</v>
      </c>
      <c r="D203" s="174">
        <f>954917+310</f>
        <v>955227</v>
      </c>
      <c r="E203" s="175">
        <f t="shared" si="10"/>
        <v>456109</v>
      </c>
    </row>
    <row r="204" spans="1:8" ht="12.65" customHeight="1" x14ac:dyDescent="0.35">
      <c r="A204" s="173" t="s">
        <v>203</v>
      </c>
      <c r="B204" s="175">
        <f>SUM(B195:B203)</f>
        <v>51525680</v>
      </c>
      <c r="C204" s="190">
        <f>SUM(C195:C203)</f>
        <v>2447980</v>
      </c>
      <c r="D204" s="175">
        <f>SUM(D195:D203)</f>
        <v>955227</v>
      </c>
      <c r="E204" s="175">
        <f>SUM(E195:E203)</f>
        <v>53018433</v>
      </c>
    </row>
    <row r="205" spans="1:8" ht="12.65" customHeight="1" x14ac:dyDescent="0.35">
      <c r="A205" s="173"/>
      <c r="B205" s="173"/>
      <c r="C205" s="190"/>
      <c r="D205" s="175"/>
      <c r="E205" s="175"/>
    </row>
    <row r="206" spans="1:8" ht="12.65" customHeight="1" x14ac:dyDescent="0.35">
      <c r="A206" s="206" t="s">
        <v>341</v>
      </c>
      <c r="B206" s="206"/>
      <c r="C206" s="206"/>
      <c r="D206" s="206"/>
      <c r="E206" s="206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5" customHeight="1" x14ac:dyDescent="0.35">
      <c r="A208" s="173" t="s">
        <v>332</v>
      </c>
      <c r="B208" s="178"/>
      <c r="C208" s="192"/>
      <c r="D208" s="178"/>
      <c r="E208" s="175"/>
      <c r="H208" s="257"/>
    </row>
    <row r="209" spans="1:8" ht="12.65" customHeight="1" x14ac:dyDescent="0.35">
      <c r="A209" s="173" t="s">
        <v>333</v>
      </c>
      <c r="B209" s="174">
        <v>821486</v>
      </c>
      <c r="C209" s="188">
        <v>55196</v>
      </c>
      <c r="D209" s="174"/>
      <c r="E209" s="175">
        <f t="shared" ref="E209:E216" si="11">SUM(B209:C209)-D209</f>
        <v>876682</v>
      </c>
      <c r="H209" s="257"/>
    </row>
    <row r="210" spans="1:8" ht="12.65" customHeight="1" x14ac:dyDescent="0.35">
      <c r="A210" s="173" t="s">
        <v>334</v>
      </c>
      <c r="B210" s="174">
        <v>17743194</v>
      </c>
      <c r="C210" s="188">
        <v>748642</v>
      </c>
      <c r="D210" s="174"/>
      <c r="E210" s="175">
        <f t="shared" si="11"/>
        <v>18491836</v>
      </c>
      <c r="H210" s="257"/>
    </row>
    <row r="211" spans="1:8" ht="12.65" customHeight="1" x14ac:dyDescent="0.35">
      <c r="A211" s="173" t="s">
        <v>335</v>
      </c>
      <c r="B211" s="174">
        <v>2338308</v>
      </c>
      <c r="C211" s="188">
        <v>81688</v>
      </c>
      <c r="D211" s="174">
        <v>7066</v>
      </c>
      <c r="E211" s="175">
        <f t="shared" si="11"/>
        <v>2412930</v>
      </c>
      <c r="H211" s="257"/>
    </row>
    <row r="212" spans="1:8" ht="12.65" customHeight="1" x14ac:dyDescent="0.35">
      <c r="A212" s="173" t="s">
        <v>336</v>
      </c>
      <c r="B212" s="174"/>
      <c r="C212" s="188"/>
      <c r="D212" s="174"/>
      <c r="E212" s="175">
        <f t="shared" si="11"/>
        <v>0</v>
      </c>
      <c r="H212" s="257"/>
    </row>
    <row r="213" spans="1:8" ht="12.65" customHeight="1" x14ac:dyDescent="0.35">
      <c r="A213" s="173" t="s">
        <v>337</v>
      </c>
      <c r="B213" s="174">
        <v>15520365</v>
      </c>
      <c r="C213" s="188">
        <v>925975</v>
      </c>
      <c r="D213" s="174"/>
      <c r="E213" s="175">
        <f t="shared" si="11"/>
        <v>16446340</v>
      </c>
      <c r="H213" s="257"/>
    </row>
    <row r="214" spans="1:8" ht="12.65" customHeight="1" x14ac:dyDescent="0.35">
      <c r="A214" s="173" t="s">
        <v>338</v>
      </c>
      <c r="B214" s="174"/>
      <c r="C214" s="188"/>
      <c r="D214" s="174"/>
      <c r="E214" s="175">
        <f t="shared" si="11"/>
        <v>0</v>
      </c>
      <c r="H214" s="257"/>
    </row>
    <row r="215" spans="1:8" ht="12.65" customHeight="1" x14ac:dyDescent="0.35">
      <c r="A215" s="173" t="s">
        <v>339</v>
      </c>
      <c r="B215" s="174">
        <v>2024394</v>
      </c>
      <c r="C215" s="188">
        <v>144747</v>
      </c>
      <c r="D215" s="174"/>
      <c r="E215" s="175">
        <f t="shared" si="11"/>
        <v>2169141</v>
      </c>
      <c r="H215" s="257"/>
    </row>
    <row r="216" spans="1:8" ht="12.65" customHeight="1" x14ac:dyDescent="0.35">
      <c r="A216" s="173" t="s">
        <v>340</v>
      </c>
      <c r="B216" s="174"/>
      <c r="C216" s="188"/>
      <c r="D216" s="174"/>
      <c r="E216" s="175">
        <f t="shared" si="11"/>
        <v>0</v>
      </c>
      <c r="H216" s="257"/>
    </row>
    <row r="217" spans="1:8" ht="12.65" customHeight="1" x14ac:dyDescent="0.35">
      <c r="A217" s="173" t="s">
        <v>203</v>
      </c>
      <c r="B217" s="175">
        <f>SUM(B208:B216)</f>
        <v>38447747</v>
      </c>
      <c r="C217" s="190">
        <f>SUM(C208:C216)</f>
        <v>1956248</v>
      </c>
      <c r="D217" s="175">
        <f>SUM(D208:D216)</f>
        <v>7066</v>
      </c>
      <c r="E217" s="175">
        <f>SUM(E208:E216)</f>
        <v>40396929</v>
      </c>
    </row>
    <row r="218" spans="1:8" ht="21.75" customHeight="1" x14ac:dyDescent="0.35">
      <c r="A218" s="173"/>
      <c r="B218" s="175"/>
      <c r="C218" s="190"/>
      <c r="D218" s="175"/>
      <c r="E218" s="175"/>
    </row>
    <row r="219" spans="1:8" ht="12.65" customHeight="1" x14ac:dyDescent="0.35">
      <c r="A219" s="207" t="s">
        <v>342</v>
      </c>
      <c r="B219" s="207"/>
      <c r="C219" s="207"/>
      <c r="D219" s="207"/>
      <c r="E219" s="207"/>
    </row>
    <row r="220" spans="1:8" ht="12.65" customHeight="1" x14ac:dyDescent="0.35">
      <c r="A220" s="207"/>
      <c r="B220" s="293" t="s">
        <v>1255</v>
      </c>
      <c r="C220" s="293"/>
      <c r="D220" s="207"/>
      <c r="E220" s="207"/>
    </row>
    <row r="221" spans="1:8" ht="12.65" customHeight="1" x14ac:dyDescent="0.35">
      <c r="A221" s="269" t="s">
        <v>1255</v>
      </c>
      <c r="B221" s="207"/>
      <c r="C221" s="188">
        <v>5017754</v>
      </c>
      <c r="D221" s="172">
        <f>C221</f>
        <v>5017754</v>
      </c>
      <c r="E221" s="207"/>
    </row>
    <row r="222" spans="1:8" ht="12.65" customHeight="1" x14ac:dyDescent="0.35">
      <c r="A222" s="255" t="s">
        <v>343</v>
      </c>
      <c r="B222" s="255"/>
      <c r="C222" s="255"/>
      <c r="D222" s="255"/>
      <c r="E222" s="255"/>
    </row>
    <row r="223" spans="1:8" ht="12.65" customHeight="1" x14ac:dyDescent="0.35">
      <c r="A223" s="173" t="s">
        <v>344</v>
      </c>
      <c r="B223" s="172" t="s">
        <v>256</v>
      </c>
      <c r="C223" s="188">
        <v>33084579.640000001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8">
        <v>26574061.469999999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8">
        <v>2138951.4500000002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8">
        <v>2034039.48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8">
        <v>22333831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8"/>
      <c r="D228" s="175"/>
      <c r="E228" s="175"/>
    </row>
    <row r="229" spans="1:5" ht="12.65" customHeight="1" x14ac:dyDescent="0.35">
      <c r="A229" s="173" t="s">
        <v>350</v>
      </c>
      <c r="B229" s="175"/>
      <c r="C229" s="190"/>
      <c r="D229" s="175">
        <f>SUM(C223:C228)</f>
        <v>86165463.039999992</v>
      </c>
      <c r="E229" s="175"/>
    </row>
    <row r="230" spans="1:5" ht="12.65" customHeight="1" x14ac:dyDescent="0.35">
      <c r="A230" s="255" t="s">
        <v>351</v>
      </c>
      <c r="B230" s="255"/>
      <c r="C230" s="255"/>
      <c r="D230" s="255"/>
      <c r="E230" s="255"/>
    </row>
    <row r="231" spans="1:5" ht="12.65" customHeight="1" x14ac:dyDescent="0.35">
      <c r="A231" s="171" t="s">
        <v>352</v>
      </c>
      <c r="B231" s="172" t="s">
        <v>256</v>
      </c>
      <c r="C231" s="188">
        <v>751</v>
      </c>
      <c r="D231" s="175"/>
      <c r="E231" s="175"/>
    </row>
    <row r="232" spans="1:5" ht="12.65" customHeight="1" x14ac:dyDescent="0.35">
      <c r="A232" s="171"/>
      <c r="B232" s="172"/>
      <c r="C232" s="190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8">
        <v>347851.28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8">
        <v>562447.72</v>
      </c>
      <c r="D234" s="175"/>
      <c r="E234" s="175"/>
    </row>
    <row r="235" spans="1:5" ht="12.65" customHeight="1" x14ac:dyDescent="0.35">
      <c r="A235" s="173"/>
      <c r="B235" s="175"/>
      <c r="C235" s="190"/>
      <c r="D235" s="175"/>
      <c r="E235" s="175"/>
    </row>
    <row r="236" spans="1:5" ht="12.65" customHeight="1" x14ac:dyDescent="0.35">
      <c r="A236" s="171" t="s">
        <v>355</v>
      </c>
      <c r="B236" s="175"/>
      <c r="C236" s="190"/>
      <c r="D236" s="175">
        <f>SUM(C233:C235)</f>
        <v>910299</v>
      </c>
      <c r="E236" s="175"/>
    </row>
    <row r="237" spans="1:5" ht="12.65" customHeight="1" x14ac:dyDescent="0.35">
      <c r="A237" s="255" t="s">
        <v>356</v>
      </c>
      <c r="B237" s="255"/>
      <c r="C237" s="255"/>
      <c r="D237" s="255"/>
      <c r="E237" s="255"/>
    </row>
    <row r="238" spans="1:5" ht="12.65" customHeight="1" x14ac:dyDescent="0.35">
      <c r="A238" s="173" t="s">
        <v>357</v>
      </c>
      <c r="B238" s="172" t="s">
        <v>256</v>
      </c>
      <c r="C238" s="188">
        <v>1017952.48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8"/>
      <c r="D239" s="175"/>
      <c r="E239" s="175"/>
    </row>
    <row r="240" spans="1:5" ht="12.65" customHeight="1" x14ac:dyDescent="0.35">
      <c r="A240" s="173" t="s">
        <v>358</v>
      </c>
      <c r="B240" s="175"/>
      <c r="C240" s="190"/>
      <c r="D240" s="175">
        <f>SUM(C238:C239)</f>
        <v>1017952.48</v>
      </c>
      <c r="E240" s="175"/>
    </row>
    <row r="241" spans="1:5" ht="12.65" customHeight="1" x14ac:dyDescent="0.35">
      <c r="A241" s="173"/>
      <c r="B241" s="175"/>
      <c r="C241" s="190"/>
      <c r="D241" s="175"/>
      <c r="E241" s="175"/>
    </row>
    <row r="242" spans="1:5" ht="12.65" customHeight="1" x14ac:dyDescent="0.35">
      <c r="A242" s="173" t="s">
        <v>359</v>
      </c>
      <c r="B242" s="175"/>
      <c r="C242" s="190"/>
      <c r="D242" s="175">
        <f>D221+D229+D236+D240</f>
        <v>93111468.519999996</v>
      </c>
      <c r="E242" s="175"/>
    </row>
    <row r="243" spans="1:5" ht="12.65" customHeight="1" x14ac:dyDescent="0.35">
      <c r="A243" s="173"/>
      <c r="B243" s="173"/>
      <c r="C243" s="190"/>
      <c r="D243" s="175"/>
      <c r="E243" s="175"/>
    </row>
    <row r="244" spans="1:5" ht="12.65" customHeight="1" x14ac:dyDescent="0.35">
      <c r="A244" s="173"/>
      <c r="B244" s="173"/>
      <c r="C244" s="190"/>
      <c r="D244" s="175"/>
      <c r="E244" s="175"/>
    </row>
    <row r="245" spans="1:5" ht="12.65" customHeight="1" x14ac:dyDescent="0.35">
      <c r="A245" s="173"/>
      <c r="B245" s="173"/>
      <c r="C245" s="190"/>
      <c r="D245" s="175"/>
      <c r="E245" s="175"/>
    </row>
    <row r="246" spans="1:5" ht="12.65" customHeight="1" x14ac:dyDescent="0.35">
      <c r="A246" s="173"/>
      <c r="B246" s="173"/>
      <c r="C246" s="190"/>
      <c r="D246" s="175"/>
      <c r="E246" s="175"/>
    </row>
    <row r="247" spans="1:5" ht="21.75" customHeight="1" x14ac:dyDescent="0.35">
      <c r="A247" s="173"/>
      <c r="B247" s="173"/>
      <c r="C247" s="190"/>
      <c r="D247" s="175"/>
      <c r="E247" s="175"/>
    </row>
    <row r="248" spans="1:5" ht="12.45" customHeight="1" x14ac:dyDescent="0.35">
      <c r="A248" s="207" t="s">
        <v>360</v>
      </c>
      <c r="B248" s="207"/>
      <c r="C248" s="207"/>
      <c r="D248" s="207"/>
      <c r="E248" s="207"/>
    </row>
    <row r="249" spans="1:5" ht="11.25" customHeight="1" x14ac:dyDescent="0.35">
      <c r="A249" s="255" t="s">
        <v>361</v>
      </c>
      <c r="B249" s="255"/>
      <c r="C249" s="255"/>
      <c r="D249" s="255"/>
      <c r="E249" s="255"/>
    </row>
    <row r="250" spans="1:5" ht="12.45" customHeight="1" x14ac:dyDescent="0.35">
      <c r="A250" s="173" t="s">
        <v>362</v>
      </c>
      <c r="B250" s="172" t="s">
        <v>256</v>
      </c>
      <c r="C250" s="188">
        <v>5572967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8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8">
        <v>20901313.350000001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8">
        <v>13165980.68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8">
        <v>371216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8">
        <v>171803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8">
        <v>6254216</v>
      </c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8">
        <v>1133210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8">
        <v>333029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8"/>
      <c r="D259" s="175"/>
      <c r="E259" s="175"/>
    </row>
    <row r="260" spans="1:5" ht="12.45" customHeight="1" x14ac:dyDescent="0.35">
      <c r="A260" s="173" t="s">
        <v>371</v>
      </c>
      <c r="B260" s="175"/>
      <c r="C260" s="190"/>
      <c r="D260" s="175">
        <f>SUM(C250:C252)-C253+SUM(C254:C259)</f>
        <v>21571773.670000002</v>
      </c>
      <c r="E260" s="175"/>
    </row>
    <row r="261" spans="1:5" ht="11.25" customHeight="1" x14ac:dyDescent="0.35">
      <c r="A261" s="255" t="s">
        <v>372</v>
      </c>
      <c r="B261" s="255"/>
      <c r="C261" s="255"/>
      <c r="D261" s="255"/>
      <c r="E261" s="255"/>
    </row>
    <row r="262" spans="1:5" ht="12.45" customHeight="1" x14ac:dyDescent="0.35">
      <c r="A262" s="173" t="s">
        <v>362</v>
      </c>
      <c r="B262" s="172" t="s">
        <v>256</v>
      </c>
      <c r="C262" s="188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8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8">
        <v>0</v>
      </c>
      <c r="D264" s="175"/>
      <c r="E264" s="175"/>
    </row>
    <row r="265" spans="1:5" ht="12.45" customHeight="1" x14ac:dyDescent="0.35">
      <c r="A265" s="173" t="s">
        <v>374</v>
      </c>
      <c r="B265" s="175"/>
      <c r="C265" s="190"/>
      <c r="D265" s="175">
        <f>SUM(C262:C264)</f>
        <v>0</v>
      </c>
      <c r="E265" s="175"/>
    </row>
    <row r="266" spans="1:5" ht="11.25" customHeight="1" x14ac:dyDescent="0.35">
      <c r="A266" s="255" t="s">
        <v>375</v>
      </c>
      <c r="B266" s="255"/>
      <c r="C266" s="255"/>
      <c r="D266" s="255"/>
      <c r="E266" s="255"/>
    </row>
    <row r="267" spans="1:5" ht="12.45" customHeight="1" x14ac:dyDescent="0.35">
      <c r="A267" s="173" t="s">
        <v>332</v>
      </c>
      <c r="B267" s="172" t="s">
        <v>256</v>
      </c>
      <c r="C267" s="188">
        <v>1878609.67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8">
        <v>1233751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8">
        <v>24076261.84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8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8">
        <v>2730523.4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8">
        <v>19544927.719999999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8">
        <v>3098250.39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8">
        <v>4508526</v>
      </c>
      <c r="D274" s="175"/>
      <c r="E274" s="175"/>
    </row>
    <row r="275" spans="1:5" ht="12.45" customHeight="1" x14ac:dyDescent="0.35">
      <c r="A275" s="173" t="s">
        <v>379</v>
      </c>
      <c r="B275" s="175"/>
      <c r="C275" s="190"/>
      <c r="D275" s="175">
        <f>SUM(C267:C274)</f>
        <v>57070850.019999996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8">
        <v>40390795</v>
      </c>
      <c r="D276" s="175"/>
      <c r="E276" s="175"/>
    </row>
    <row r="277" spans="1:5" ht="12.65" customHeight="1" x14ac:dyDescent="0.35">
      <c r="A277" s="173" t="s">
        <v>381</v>
      </c>
      <c r="B277" s="175"/>
      <c r="C277" s="190"/>
      <c r="D277" s="175">
        <f>D275-C276</f>
        <v>16680055.019999996</v>
      </c>
      <c r="E277" s="175"/>
    </row>
    <row r="278" spans="1:5" ht="12.65" customHeight="1" x14ac:dyDescent="0.35">
      <c r="A278" s="255" t="s">
        <v>382</v>
      </c>
      <c r="B278" s="255"/>
      <c r="C278" s="255"/>
      <c r="D278" s="255"/>
      <c r="E278" s="255"/>
    </row>
    <row r="279" spans="1:5" ht="12.65" customHeight="1" x14ac:dyDescent="0.35">
      <c r="A279" s="173" t="s">
        <v>383</v>
      </c>
      <c r="B279" s="172" t="s">
        <v>256</v>
      </c>
      <c r="C279" s="188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8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8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8"/>
      <c r="D282" s="175"/>
      <c r="E282" s="175"/>
    </row>
    <row r="283" spans="1:5" ht="12.65" customHeight="1" x14ac:dyDescent="0.35">
      <c r="A283" s="173" t="s">
        <v>386</v>
      </c>
      <c r="B283" s="175"/>
      <c r="C283" s="190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0"/>
      <c r="D284" s="175"/>
      <c r="E284" s="175"/>
    </row>
    <row r="285" spans="1:5" ht="12.65" customHeight="1" x14ac:dyDescent="0.35">
      <c r="A285" s="255" t="s">
        <v>387</v>
      </c>
      <c r="B285" s="255"/>
      <c r="C285" s="255"/>
      <c r="D285" s="255"/>
      <c r="E285" s="255"/>
    </row>
    <row r="286" spans="1:5" ht="12.65" customHeight="1" x14ac:dyDescent="0.35">
      <c r="A286" s="173" t="s">
        <v>388</v>
      </c>
      <c r="B286" s="172" t="s">
        <v>256</v>
      </c>
      <c r="C286" s="188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8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8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8"/>
      <c r="D289" s="175"/>
      <c r="E289" s="175"/>
    </row>
    <row r="290" spans="1:5" ht="12.65" customHeight="1" x14ac:dyDescent="0.35">
      <c r="A290" s="173" t="s">
        <v>392</v>
      </c>
      <c r="B290" s="175"/>
      <c r="C290" s="190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0"/>
      <c r="D291" s="175"/>
      <c r="E291" s="175"/>
    </row>
    <row r="292" spans="1:5" ht="12.65" customHeight="1" x14ac:dyDescent="0.35">
      <c r="A292" s="173" t="s">
        <v>393</v>
      </c>
      <c r="B292" s="175"/>
      <c r="C292" s="190"/>
      <c r="D292" s="175">
        <f>D260+D265+D277+D283+D290</f>
        <v>38251828.689999998</v>
      </c>
      <c r="E292" s="175"/>
    </row>
    <row r="293" spans="1:5" ht="12.65" customHeight="1" x14ac:dyDescent="0.35">
      <c r="A293" s="173"/>
      <c r="B293" s="173"/>
      <c r="C293" s="190"/>
      <c r="D293" s="175"/>
      <c r="E293" s="175"/>
    </row>
    <row r="294" spans="1:5" ht="12.65" customHeight="1" x14ac:dyDescent="0.35">
      <c r="A294" s="173"/>
      <c r="B294" s="173"/>
      <c r="C294" s="190"/>
      <c r="D294" s="175"/>
      <c r="E294" s="175"/>
    </row>
    <row r="295" spans="1:5" ht="12.65" customHeight="1" x14ac:dyDescent="0.35">
      <c r="A295" s="173"/>
      <c r="B295" s="173"/>
      <c r="C295" s="190"/>
      <c r="D295" s="175"/>
      <c r="E295" s="175"/>
    </row>
    <row r="296" spans="1:5" ht="12.65" customHeight="1" x14ac:dyDescent="0.35">
      <c r="A296" s="173"/>
      <c r="B296" s="173"/>
      <c r="C296" s="190"/>
      <c r="D296" s="175"/>
      <c r="E296" s="175"/>
    </row>
    <row r="297" spans="1:5" ht="12.65" customHeight="1" x14ac:dyDescent="0.35">
      <c r="A297" s="173"/>
      <c r="B297" s="173"/>
      <c r="C297" s="190"/>
      <c r="D297" s="175"/>
      <c r="E297" s="175"/>
    </row>
    <row r="298" spans="1:5" ht="12.65" customHeight="1" x14ac:dyDescent="0.35">
      <c r="A298" s="173"/>
      <c r="B298" s="173"/>
      <c r="C298" s="190"/>
      <c r="D298" s="175"/>
      <c r="E298" s="175"/>
    </row>
    <row r="299" spans="1:5" ht="12.65" customHeight="1" x14ac:dyDescent="0.35">
      <c r="A299" s="173"/>
      <c r="B299" s="173"/>
      <c r="C299" s="190"/>
      <c r="D299" s="175"/>
      <c r="E299" s="175"/>
    </row>
    <row r="300" spans="1:5" ht="12.65" customHeight="1" x14ac:dyDescent="0.35">
      <c r="A300" s="173"/>
      <c r="B300" s="173"/>
      <c r="C300" s="190"/>
      <c r="D300" s="175"/>
      <c r="E300" s="175"/>
    </row>
    <row r="301" spans="1:5" ht="20.25" customHeight="1" x14ac:dyDescent="0.35">
      <c r="A301" s="173"/>
      <c r="B301" s="173"/>
      <c r="C301" s="190"/>
      <c r="D301" s="175"/>
      <c r="E301" s="175"/>
    </row>
    <row r="302" spans="1:5" ht="12.65" customHeight="1" x14ac:dyDescent="0.35">
      <c r="A302" s="207" t="s">
        <v>394</v>
      </c>
      <c r="B302" s="207"/>
      <c r="C302" s="207"/>
      <c r="D302" s="207"/>
      <c r="E302" s="207"/>
    </row>
    <row r="303" spans="1:5" ht="14.25" customHeight="1" x14ac:dyDescent="0.35">
      <c r="A303" s="255" t="s">
        <v>395</v>
      </c>
      <c r="B303" s="255"/>
      <c r="C303" s="255"/>
      <c r="D303" s="255"/>
      <c r="E303" s="255"/>
    </row>
    <row r="304" spans="1:5" ht="12.65" customHeight="1" x14ac:dyDescent="0.35">
      <c r="A304" s="173" t="s">
        <v>396</v>
      </c>
      <c r="B304" s="172" t="s">
        <v>256</v>
      </c>
      <c r="C304" s="188">
        <v>1372466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8">
        <v>6453477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8">
        <v>2819127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8">
        <f>33198+414261</f>
        <v>447459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8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8">
        <v>2749649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8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8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8">
        <v>0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8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0"/>
      <c r="D314" s="175">
        <f>SUM(C304:C313)</f>
        <v>13842178</v>
      </c>
      <c r="E314" s="175"/>
    </row>
    <row r="315" spans="1:5" ht="12.65" customHeight="1" x14ac:dyDescent="0.35">
      <c r="A315" s="255" t="s">
        <v>406</v>
      </c>
      <c r="B315" s="255"/>
      <c r="C315" s="255"/>
      <c r="D315" s="255"/>
      <c r="E315" s="255"/>
    </row>
    <row r="316" spans="1:5" ht="12.65" customHeight="1" x14ac:dyDescent="0.35">
      <c r="A316" s="173" t="s">
        <v>407</v>
      </c>
      <c r="B316" s="172" t="s">
        <v>256</v>
      </c>
      <c r="C316" s="188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8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8"/>
      <c r="D318" s="175"/>
      <c r="E318" s="175"/>
    </row>
    <row r="319" spans="1:5" ht="12.65" customHeight="1" x14ac:dyDescent="0.35">
      <c r="A319" s="173" t="s">
        <v>410</v>
      </c>
      <c r="B319" s="175"/>
      <c r="C319" s="190"/>
      <c r="D319" s="175">
        <f>SUM(C316:C318)</f>
        <v>0</v>
      </c>
      <c r="E319" s="175"/>
    </row>
    <row r="320" spans="1:5" ht="12.65" customHeight="1" x14ac:dyDescent="0.35">
      <c r="A320" s="255" t="s">
        <v>411</v>
      </c>
      <c r="B320" s="255"/>
      <c r="C320" s="255"/>
      <c r="D320" s="255"/>
      <c r="E320" s="255"/>
    </row>
    <row r="321" spans="1:5" ht="12.65" customHeight="1" x14ac:dyDescent="0.35">
      <c r="A321" s="173" t="s">
        <v>412</v>
      </c>
      <c r="B321" s="172" t="s">
        <v>256</v>
      </c>
      <c r="C321" s="188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8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8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8">
        <v>113777.98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8">
        <f>24189999.86-2473927</f>
        <v>21716072.859999999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8">
        <v>2473927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8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0"/>
      <c r="D328" s="175">
        <f>SUM(C321:C327)</f>
        <v>24303777.84</v>
      </c>
      <c r="E328" s="175"/>
    </row>
    <row r="329" spans="1:5" ht="12.65" customHeight="1" x14ac:dyDescent="0.35">
      <c r="A329" s="173" t="s">
        <v>419</v>
      </c>
      <c r="B329" s="175"/>
      <c r="C329" s="190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0"/>
      <c r="D330" s="175">
        <f>D328-D329</f>
        <v>24303777.84</v>
      </c>
      <c r="E330" s="175"/>
    </row>
    <row r="331" spans="1:5" ht="12.65" customHeight="1" x14ac:dyDescent="0.35">
      <c r="A331" s="173"/>
      <c r="B331" s="175"/>
      <c r="C331" s="190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1"/>
      <c r="D332" s="175"/>
      <c r="E332" s="175"/>
    </row>
    <row r="333" spans="1:5" ht="12.65" customHeight="1" x14ac:dyDescent="0.35">
      <c r="A333" s="173"/>
      <c r="B333" s="172"/>
      <c r="C333" s="230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1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1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1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8">
        <v>105873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8"/>
      <c r="D338" s="175"/>
      <c r="E338" s="175"/>
    </row>
    <row r="339" spans="1:5" ht="12.65" customHeight="1" x14ac:dyDescent="0.35">
      <c r="A339" s="173" t="s">
        <v>424</v>
      </c>
      <c r="B339" s="175"/>
      <c r="C339" s="190"/>
      <c r="D339" s="175">
        <f>D314+D319+D330+C332+C336+C337</f>
        <v>38251828.840000004</v>
      </c>
      <c r="E339" s="175"/>
    </row>
    <row r="340" spans="1:5" ht="12.65" customHeight="1" x14ac:dyDescent="0.35">
      <c r="A340" s="173"/>
      <c r="B340" s="175"/>
      <c r="C340" s="190"/>
      <c r="D340" s="175"/>
      <c r="E340" s="175"/>
    </row>
    <row r="341" spans="1:5" ht="12.65" customHeight="1" x14ac:dyDescent="0.35">
      <c r="A341" s="173" t="s">
        <v>425</v>
      </c>
      <c r="B341" s="175"/>
      <c r="C341" s="190"/>
      <c r="D341" s="175">
        <f>D292</f>
        <v>38251828.689999998</v>
      </c>
      <c r="E341" s="175"/>
    </row>
    <row r="342" spans="1:5" ht="12.65" customHeight="1" x14ac:dyDescent="0.35">
      <c r="A342" s="173"/>
      <c r="B342" s="173"/>
      <c r="C342" s="190"/>
      <c r="D342" s="175"/>
      <c r="E342" s="175"/>
    </row>
    <row r="343" spans="1:5" ht="12.65" customHeight="1" x14ac:dyDescent="0.35">
      <c r="A343" s="173"/>
      <c r="B343" s="173"/>
      <c r="C343" s="190"/>
      <c r="D343" s="175"/>
      <c r="E343" s="175"/>
    </row>
    <row r="344" spans="1:5" ht="12.65" customHeight="1" x14ac:dyDescent="0.35">
      <c r="A344" s="173"/>
      <c r="B344" s="173"/>
      <c r="C344" s="190"/>
      <c r="D344" s="175"/>
      <c r="E344" s="175"/>
    </row>
    <row r="345" spans="1:5" ht="12.65" customHeight="1" x14ac:dyDescent="0.35">
      <c r="A345" s="173"/>
      <c r="B345" s="173"/>
      <c r="C345" s="190"/>
      <c r="D345" s="175"/>
      <c r="E345" s="175"/>
    </row>
    <row r="346" spans="1:5" ht="12.65" customHeight="1" x14ac:dyDescent="0.35">
      <c r="A346" s="173"/>
      <c r="B346" s="173"/>
      <c r="C346" s="190"/>
      <c r="D346" s="175"/>
      <c r="E346" s="175"/>
    </row>
    <row r="347" spans="1:5" ht="12.65" customHeight="1" x14ac:dyDescent="0.35">
      <c r="A347" s="173"/>
      <c r="B347" s="173"/>
      <c r="C347" s="190"/>
      <c r="D347" s="175"/>
      <c r="E347" s="175"/>
    </row>
    <row r="348" spans="1:5" ht="12.65" customHeight="1" x14ac:dyDescent="0.35">
      <c r="A348" s="173"/>
      <c r="B348" s="173"/>
      <c r="C348" s="190"/>
      <c r="D348" s="175"/>
      <c r="E348" s="175"/>
    </row>
    <row r="349" spans="1:5" ht="12.65" customHeight="1" x14ac:dyDescent="0.35">
      <c r="A349" s="173"/>
      <c r="B349" s="173"/>
      <c r="C349" s="190"/>
      <c r="D349" s="175"/>
      <c r="E349" s="175"/>
    </row>
    <row r="350" spans="1:5" ht="12.65" customHeight="1" x14ac:dyDescent="0.35">
      <c r="A350" s="173"/>
      <c r="B350" s="173"/>
      <c r="C350" s="190"/>
      <c r="D350" s="175"/>
      <c r="E350" s="175"/>
    </row>
    <row r="351" spans="1:5" ht="12.65" customHeight="1" x14ac:dyDescent="0.35">
      <c r="A351" s="173"/>
      <c r="B351" s="173"/>
      <c r="C351" s="190"/>
      <c r="D351" s="175"/>
      <c r="E351" s="175"/>
    </row>
    <row r="352" spans="1:5" ht="12.65" customHeight="1" x14ac:dyDescent="0.35">
      <c r="A352" s="173"/>
      <c r="B352" s="173"/>
      <c r="C352" s="190"/>
      <c r="D352" s="175"/>
      <c r="E352" s="175"/>
    </row>
    <row r="353" spans="1:5" ht="12.65" customHeight="1" x14ac:dyDescent="0.35">
      <c r="A353" s="173"/>
      <c r="B353" s="173"/>
      <c r="C353" s="190"/>
      <c r="D353" s="175"/>
      <c r="E353" s="175"/>
    </row>
    <row r="354" spans="1:5" ht="12.65" customHeight="1" x14ac:dyDescent="0.35">
      <c r="A354" s="173"/>
      <c r="B354" s="173"/>
      <c r="C354" s="190"/>
      <c r="D354" s="175"/>
      <c r="E354" s="175"/>
    </row>
    <row r="355" spans="1:5" ht="12.65" customHeight="1" x14ac:dyDescent="0.35">
      <c r="A355" s="173"/>
      <c r="B355" s="173"/>
      <c r="C355" s="190"/>
      <c r="D355" s="175"/>
      <c r="E355" s="175"/>
    </row>
    <row r="356" spans="1:5" ht="20.25" customHeight="1" x14ac:dyDescent="0.35">
      <c r="A356" s="173"/>
      <c r="B356" s="173"/>
      <c r="C356" s="190"/>
      <c r="D356" s="175"/>
      <c r="E356" s="175"/>
    </row>
    <row r="357" spans="1:5" ht="12.65" customHeight="1" x14ac:dyDescent="0.35">
      <c r="A357" s="207" t="s">
        <v>426</v>
      </c>
      <c r="B357" s="207"/>
      <c r="C357" s="207"/>
      <c r="D357" s="207"/>
      <c r="E357" s="207"/>
    </row>
    <row r="358" spans="1:5" ht="12.65" customHeight="1" x14ac:dyDescent="0.35">
      <c r="A358" s="255" t="s">
        <v>427</v>
      </c>
      <c r="B358" s="255"/>
      <c r="C358" s="255"/>
      <c r="D358" s="255"/>
      <c r="E358" s="255"/>
    </row>
    <row r="359" spans="1:5" ht="12.65" customHeight="1" x14ac:dyDescent="0.35">
      <c r="A359" s="173" t="s">
        <v>428</v>
      </c>
      <c r="B359" s="172" t="s">
        <v>256</v>
      </c>
      <c r="C359" s="188">
        <f>31617608+6880259</f>
        <v>38497867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8">
        <f>100552165+492667</f>
        <v>101044832</v>
      </c>
      <c r="D360" s="175"/>
      <c r="E360" s="175"/>
    </row>
    <row r="361" spans="1:5" ht="12.65" customHeight="1" x14ac:dyDescent="0.35">
      <c r="A361" s="173" t="s">
        <v>430</v>
      </c>
      <c r="B361" s="175"/>
      <c r="C361" s="190"/>
      <c r="D361" s="175">
        <f>SUM(C359:C360)</f>
        <v>139542699</v>
      </c>
      <c r="E361" s="175"/>
    </row>
    <row r="362" spans="1:5" ht="12.65" customHeight="1" x14ac:dyDescent="0.35">
      <c r="A362" s="255" t="s">
        <v>431</v>
      </c>
      <c r="B362" s="255"/>
      <c r="C362" s="255"/>
      <c r="D362" s="255"/>
      <c r="E362" s="255"/>
    </row>
    <row r="363" spans="1:5" ht="12.65" customHeight="1" x14ac:dyDescent="0.35">
      <c r="A363" s="173" t="s">
        <v>1255</v>
      </c>
      <c r="B363" s="255"/>
      <c r="C363" s="188">
        <v>5017754</v>
      </c>
      <c r="D363" s="175"/>
      <c r="E363" s="255"/>
    </row>
    <row r="364" spans="1:5" ht="12.65" customHeight="1" x14ac:dyDescent="0.35">
      <c r="A364" s="173" t="s">
        <v>432</v>
      </c>
      <c r="B364" s="172" t="s">
        <v>256</v>
      </c>
      <c r="C364" s="188">
        <v>86165463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8">
        <v>910299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8">
        <v>1017952</v>
      </c>
      <c r="D366" s="175"/>
      <c r="E366" s="175"/>
    </row>
    <row r="367" spans="1:5" ht="12.65" customHeight="1" x14ac:dyDescent="0.35">
      <c r="A367" s="173" t="s">
        <v>359</v>
      </c>
      <c r="B367" s="175"/>
      <c r="C367" s="190"/>
      <c r="D367" s="175">
        <f>SUM(C363:C366)</f>
        <v>93111468</v>
      </c>
      <c r="E367" s="175"/>
    </row>
    <row r="368" spans="1:5" ht="12.65" customHeight="1" x14ac:dyDescent="0.35">
      <c r="A368" s="173" t="s">
        <v>435</v>
      </c>
      <c r="B368" s="175"/>
      <c r="C368" s="190"/>
      <c r="D368" s="175">
        <f>D361-D367</f>
        <v>46431231</v>
      </c>
      <c r="E368" s="175"/>
    </row>
    <row r="369" spans="1:5" ht="12.65" customHeight="1" x14ac:dyDescent="0.35">
      <c r="A369" s="255" t="s">
        <v>436</v>
      </c>
      <c r="B369" s="255"/>
      <c r="C369" s="255"/>
      <c r="D369" s="255"/>
      <c r="E369" s="255"/>
    </row>
    <row r="370" spans="1:5" ht="12.65" customHeight="1" x14ac:dyDescent="0.35">
      <c r="A370" s="173" t="s">
        <v>437</v>
      </c>
      <c r="B370" s="172" t="s">
        <v>256</v>
      </c>
      <c r="C370" s="188">
        <v>2855237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8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0"/>
      <c r="D372" s="175">
        <f>SUM(C370:C371)</f>
        <v>2855237</v>
      </c>
      <c r="E372" s="175"/>
    </row>
    <row r="373" spans="1:5" ht="12.65" customHeight="1" x14ac:dyDescent="0.35">
      <c r="A373" s="173" t="s">
        <v>440</v>
      </c>
      <c r="B373" s="175"/>
      <c r="C373" s="190"/>
      <c r="D373" s="175">
        <f>D368+D372</f>
        <v>49286468</v>
      </c>
      <c r="E373" s="175"/>
    </row>
    <row r="374" spans="1:5" ht="12.65" customHeight="1" x14ac:dyDescent="0.35">
      <c r="A374" s="173"/>
      <c r="B374" s="175"/>
      <c r="C374" s="190"/>
      <c r="D374" s="175"/>
      <c r="E374" s="175"/>
    </row>
    <row r="375" spans="1:5" ht="12.65" customHeight="1" x14ac:dyDescent="0.35">
      <c r="A375" s="173"/>
      <c r="B375" s="175"/>
      <c r="C375" s="190"/>
      <c r="D375" s="175"/>
      <c r="E375" s="175"/>
    </row>
    <row r="376" spans="1:5" ht="12.65" customHeight="1" x14ac:dyDescent="0.35">
      <c r="A376" s="173"/>
      <c r="B376" s="175"/>
      <c r="C376" s="190"/>
      <c r="D376" s="175"/>
      <c r="E376" s="175"/>
    </row>
    <row r="377" spans="1:5" ht="12.65" customHeight="1" x14ac:dyDescent="0.35">
      <c r="A377" s="255" t="s">
        <v>441</v>
      </c>
      <c r="B377" s="255"/>
      <c r="C377" s="255"/>
      <c r="D377" s="255"/>
      <c r="E377" s="255"/>
    </row>
    <row r="378" spans="1:5" ht="12.65" customHeight="1" x14ac:dyDescent="0.35">
      <c r="A378" s="173" t="s">
        <v>442</v>
      </c>
      <c r="B378" s="172" t="s">
        <v>256</v>
      </c>
      <c r="C378" s="188">
        <v>24387413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8">
        <v>7606228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8">
        <v>1569773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8">
        <v>7013745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8">
        <v>653511.79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8">
        <f>6100961.21-1582</f>
        <v>6099379.21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8">
        <v>1943048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8">
        <v>1030153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8">
        <v>289007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8">
        <v>454533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8">
        <v>35119.4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8">
        <f>1362823-41017</f>
        <v>1321806</v>
      </c>
      <c r="D389" s="175"/>
      <c r="E389" s="175"/>
    </row>
    <row r="390" spans="1:6" ht="12.65" customHeight="1" x14ac:dyDescent="0.35">
      <c r="A390" s="173" t="s">
        <v>452</v>
      </c>
      <c r="B390" s="175"/>
      <c r="C390" s="190"/>
      <c r="D390" s="175">
        <f>SUM(C378:C389)</f>
        <v>52403716.399999999</v>
      </c>
      <c r="E390" s="175"/>
    </row>
    <row r="391" spans="1:6" ht="12.65" customHeight="1" x14ac:dyDescent="0.35">
      <c r="A391" s="173" t="s">
        <v>453</v>
      </c>
      <c r="B391" s="175"/>
      <c r="C391" s="190"/>
      <c r="D391" s="175">
        <f>D373-D390</f>
        <v>-3117248.3999999985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8">
        <v>3424486</v>
      </c>
      <c r="D392" s="175"/>
      <c r="E392" s="175"/>
    </row>
    <row r="393" spans="1:6" ht="12.65" customHeight="1" x14ac:dyDescent="0.35">
      <c r="A393" s="173" t="s">
        <v>455</v>
      </c>
      <c r="B393" s="175"/>
      <c r="C393" s="190"/>
      <c r="D393" s="194">
        <f>D391+C392</f>
        <v>307237.60000000149</v>
      </c>
      <c r="E393" s="175"/>
      <c r="F393" s="196"/>
    </row>
    <row r="394" spans="1:6" ht="12.65" customHeight="1" x14ac:dyDescent="0.35">
      <c r="A394" s="173" t="s">
        <v>456</v>
      </c>
      <c r="B394" s="172" t="s">
        <v>256</v>
      </c>
      <c r="C394" s="188">
        <f>7211194+30000</f>
        <v>7241194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8"/>
      <c r="D395" s="175"/>
      <c r="E395" s="175"/>
    </row>
    <row r="396" spans="1:6" ht="12.65" customHeight="1" x14ac:dyDescent="0.35">
      <c r="A396" s="173" t="s">
        <v>458</v>
      </c>
      <c r="B396" s="175"/>
      <c r="C396" s="190"/>
      <c r="D396" s="175">
        <f>D393+C394-C395</f>
        <v>7548431.6000000015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8"/>
    </row>
    <row r="412" spans="1:5" ht="12.65" customHeight="1" x14ac:dyDescent="0.35">
      <c r="A412" s="179" t="str">
        <f>C84&amp;"   "&amp;"H-"&amp;FIXED(C83,0,TRUE)&amp;"     FYE "&amp;C82</f>
        <v>EvergreenHealth Monroe   H-0     FYE 12/31/2019</v>
      </c>
      <c r="B412" s="179"/>
      <c r="C412" s="179"/>
      <c r="D412" s="179"/>
      <c r="E412" s="258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910</v>
      </c>
      <c r="C414" s="193">
        <f>E138</f>
        <v>910</v>
      </c>
      <c r="D414" s="179"/>
    </row>
    <row r="415" spans="1:5" ht="12.65" customHeight="1" x14ac:dyDescent="0.35">
      <c r="A415" s="179" t="s">
        <v>464</v>
      </c>
      <c r="B415" s="179">
        <f>D111</f>
        <v>3375</v>
      </c>
      <c r="C415" s="179">
        <f>E139</f>
        <v>3375</v>
      </c>
      <c r="D415" s="193">
        <f>SUM(C59:H59)+N59</f>
        <v>8988</v>
      </c>
    </row>
    <row r="416" spans="1:5" ht="12.65" customHeight="1" x14ac:dyDescent="0.35">
      <c r="A416" s="179"/>
      <c r="B416" s="179"/>
      <c r="C416" s="193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3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3"/>
      <c r="D419" s="179"/>
    </row>
    <row r="420" spans="1:7" ht="12.65" customHeight="1" x14ac:dyDescent="0.35">
      <c r="A420" s="179" t="s">
        <v>467</v>
      </c>
      <c r="B420" s="179">
        <f>C113</f>
        <v>820</v>
      </c>
      <c r="C420" s="179">
        <f>E150</f>
        <v>820</v>
      </c>
      <c r="D420" s="179"/>
    </row>
    <row r="421" spans="1:7" ht="12.65" customHeight="1" x14ac:dyDescent="0.35">
      <c r="A421" s="179" t="s">
        <v>468</v>
      </c>
      <c r="B421" s="179">
        <f>D113</f>
        <v>7319</v>
      </c>
      <c r="C421" s="179">
        <f>E151</f>
        <v>7319</v>
      </c>
      <c r="D421" s="179">
        <f>I59</f>
        <v>7319</v>
      </c>
    </row>
    <row r="422" spans="1:7" ht="12.65" customHeight="1" x14ac:dyDescent="0.35">
      <c r="A422" s="205"/>
      <c r="B422" s="205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5"/>
      <c r="B425" s="205"/>
      <c r="C425" s="205"/>
      <c r="D425" s="205"/>
      <c r="F425" s="205"/>
      <c r="G425" s="205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24387413</v>
      </c>
      <c r="C427" s="179">
        <f t="shared" ref="C427:C434" si="13">CE61</f>
        <v>24387413</v>
      </c>
      <c r="D427" s="179"/>
    </row>
    <row r="428" spans="1:7" ht="12.65" customHeight="1" x14ac:dyDescent="0.35">
      <c r="A428" s="179" t="s">
        <v>3</v>
      </c>
      <c r="B428" s="179">
        <f t="shared" si="12"/>
        <v>7606228</v>
      </c>
      <c r="C428" s="179">
        <f t="shared" si="13"/>
        <v>7606231</v>
      </c>
      <c r="D428" s="179">
        <f>D173</f>
        <v>6861766.6699999999</v>
      </c>
    </row>
    <row r="429" spans="1:7" ht="12.65" customHeight="1" x14ac:dyDescent="0.35">
      <c r="A429" s="179" t="s">
        <v>236</v>
      </c>
      <c r="B429" s="179">
        <f t="shared" si="12"/>
        <v>1569773</v>
      </c>
      <c r="C429" s="179">
        <f t="shared" si="13"/>
        <v>1569773</v>
      </c>
      <c r="D429" s="179"/>
    </row>
    <row r="430" spans="1:7" ht="12.65" customHeight="1" x14ac:dyDescent="0.35">
      <c r="A430" s="179" t="s">
        <v>237</v>
      </c>
      <c r="B430" s="179">
        <f t="shared" si="12"/>
        <v>7013745</v>
      </c>
      <c r="C430" s="179">
        <f t="shared" si="13"/>
        <v>7006265</v>
      </c>
      <c r="D430" s="179"/>
    </row>
    <row r="431" spans="1:7" ht="12.65" customHeight="1" x14ac:dyDescent="0.35">
      <c r="A431" s="179" t="s">
        <v>444</v>
      </c>
      <c r="B431" s="179">
        <f t="shared" si="12"/>
        <v>653511.79</v>
      </c>
      <c r="C431" s="179">
        <f t="shared" si="13"/>
        <v>549258</v>
      </c>
      <c r="D431" s="179"/>
    </row>
    <row r="432" spans="1:7" ht="12.65" customHeight="1" x14ac:dyDescent="0.35">
      <c r="A432" s="179" t="s">
        <v>445</v>
      </c>
      <c r="B432" s="179">
        <f t="shared" si="12"/>
        <v>6099379.21</v>
      </c>
      <c r="C432" s="179">
        <f t="shared" si="13"/>
        <v>7327875</v>
      </c>
      <c r="D432" s="179"/>
    </row>
    <row r="433" spans="1:7" ht="12.65" customHeight="1" x14ac:dyDescent="0.35">
      <c r="A433" s="179" t="s">
        <v>6</v>
      </c>
      <c r="B433" s="179">
        <f t="shared" si="12"/>
        <v>1943048</v>
      </c>
      <c r="C433" s="179">
        <f t="shared" si="13"/>
        <v>1943048</v>
      </c>
      <c r="D433" s="179">
        <f>C217</f>
        <v>1956248</v>
      </c>
    </row>
    <row r="434" spans="1:7" ht="12.65" customHeight="1" x14ac:dyDescent="0.35">
      <c r="A434" s="179" t="s">
        <v>474</v>
      </c>
      <c r="B434" s="179">
        <f t="shared" si="12"/>
        <v>1030153</v>
      </c>
      <c r="C434" s="179">
        <f t="shared" si="13"/>
        <v>1030378</v>
      </c>
      <c r="D434" s="179">
        <f>D177</f>
        <v>1030152.65</v>
      </c>
    </row>
    <row r="435" spans="1:7" ht="12.65" customHeight="1" x14ac:dyDescent="0.35">
      <c r="A435" s="179" t="s">
        <v>447</v>
      </c>
      <c r="B435" s="179">
        <f t="shared" si="12"/>
        <v>289007</v>
      </c>
      <c r="C435" s="179"/>
      <c r="D435" s="179">
        <f>D181</f>
        <v>289006.65999999997</v>
      </c>
    </row>
    <row r="436" spans="1:7" ht="12.65" customHeight="1" x14ac:dyDescent="0.35">
      <c r="A436" s="179" t="s">
        <v>475</v>
      </c>
      <c r="B436" s="179">
        <f t="shared" si="12"/>
        <v>454533</v>
      </c>
      <c r="C436" s="179"/>
      <c r="D436" s="179">
        <f>D186</f>
        <v>454533.17000000004</v>
      </c>
    </row>
    <row r="437" spans="1:7" ht="12.65" customHeight="1" x14ac:dyDescent="0.35">
      <c r="A437" s="193" t="s">
        <v>449</v>
      </c>
      <c r="B437" s="193">
        <f t="shared" si="12"/>
        <v>35119.4</v>
      </c>
      <c r="C437" s="193"/>
      <c r="D437" s="193">
        <f>D190</f>
        <v>1419905</v>
      </c>
    </row>
    <row r="438" spans="1:7" ht="12.65" customHeight="1" x14ac:dyDescent="0.35">
      <c r="A438" s="193" t="s">
        <v>476</v>
      </c>
      <c r="B438" s="193">
        <f>C386+C387+C388</f>
        <v>778659.4</v>
      </c>
      <c r="C438" s="193">
        <f>CD69</f>
        <v>1302327</v>
      </c>
      <c r="D438" s="193">
        <f>D181+D186+D190</f>
        <v>2163444.83</v>
      </c>
    </row>
    <row r="439" spans="1:7" ht="12.65" customHeight="1" x14ac:dyDescent="0.35">
      <c r="A439" s="179" t="s">
        <v>451</v>
      </c>
      <c r="B439" s="193">
        <f>C389</f>
        <v>1321806</v>
      </c>
      <c r="C439" s="193">
        <f>SUM(C69:CC69)</f>
        <v>1018596</v>
      </c>
      <c r="D439" s="179"/>
    </row>
    <row r="440" spans="1:7" ht="12.65" customHeight="1" x14ac:dyDescent="0.35">
      <c r="A440" s="179" t="s">
        <v>477</v>
      </c>
      <c r="B440" s="193">
        <f>B438+B439</f>
        <v>2100465.4</v>
      </c>
      <c r="C440" s="193">
        <f>CE69</f>
        <v>2320923</v>
      </c>
      <c r="D440" s="179"/>
    </row>
    <row r="441" spans="1:7" ht="12.65" customHeight="1" x14ac:dyDescent="0.35">
      <c r="A441" s="179" t="s">
        <v>478</v>
      </c>
      <c r="B441" s="179">
        <f>D390</f>
        <v>52403716.399999999</v>
      </c>
      <c r="C441" s="179">
        <f>SUM(C427:C437)+C440</f>
        <v>53741164</v>
      </c>
      <c r="D441" s="179"/>
    </row>
    <row r="442" spans="1:7" ht="12.65" customHeight="1" x14ac:dyDescent="0.35">
      <c r="A442" s="205"/>
      <c r="B442" s="205"/>
      <c r="C442" s="205"/>
      <c r="D442" s="205"/>
      <c r="F442" s="205"/>
      <c r="G442" s="205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5017754</v>
      </c>
      <c r="C444" s="179">
        <f>C363</f>
        <v>5017754</v>
      </c>
      <c r="D444" s="179"/>
    </row>
    <row r="445" spans="1:7" ht="12.65" customHeight="1" x14ac:dyDescent="0.35">
      <c r="A445" s="179" t="s">
        <v>343</v>
      </c>
      <c r="B445" s="179">
        <f>D229</f>
        <v>86165463.039999992</v>
      </c>
      <c r="C445" s="179">
        <f>C364</f>
        <v>86165463</v>
      </c>
      <c r="D445" s="179"/>
    </row>
    <row r="446" spans="1:7" ht="12.65" customHeight="1" x14ac:dyDescent="0.35">
      <c r="A446" s="179" t="s">
        <v>351</v>
      </c>
      <c r="B446" s="179">
        <f>D236</f>
        <v>910299</v>
      </c>
      <c r="C446" s="179">
        <f>C365</f>
        <v>910299</v>
      </c>
      <c r="D446" s="179"/>
    </row>
    <row r="447" spans="1:7" ht="12.65" customHeight="1" x14ac:dyDescent="0.35">
      <c r="A447" s="179" t="s">
        <v>356</v>
      </c>
      <c r="B447" s="179">
        <f>D240</f>
        <v>1017952.48</v>
      </c>
      <c r="C447" s="179">
        <f>C366</f>
        <v>1017952</v>
      </c>
      <c r="D447" s="179"/>
    </row>
    <row r="448" spans="1:7" ht="12.65" customHeight="1" x14ac:dyDescent="0.35">
      <c r="A448" s="179" t="s">
        <v>358</v>
      </c>
      <c r="B448" s="179">
        <f>D242</f>
        <v>93111468.519999996</v>
      </c>
      <c r="C448" s="179">
        <f>D367</f>
        <v>93111468</v>
      </c>
      <c r="D448" s="179"/>
    </row>
    <row r="449" spans="1:7" ht="12.65" customHeight="1" x14ac:dyDescent="0.35">
      <c r="A449" s="205"/>
      <c r="B449" s="205"/>
      <c r="C449" s="205"/>
      <c r="D449" s="205"/>
      <c r="F449" s="205"/>
      <c r="G449" s="205"/>
    </row>
    <row r="450" spans="1:7" ht="12.65" customHeight="1" x14ac:dyDescent="0.35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8" t="s">
        <v>484</v>
      </c>
      <c r="B453" s="180">
        <f>C231</f>
        <v>751</v>
      </c>
    </row>
    <row r="454" spans="1:7" ht="12.65" customHeight="1" x14ac:dyDescent="0.35">
      <c r="A454" s="179" t="s">
        <v>168</v>
      </c>
      <c r="B454" s="179">
        <f>C233</f>
        <v>347851.28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562447.72</v>
      </c>
      <c r="C455" s="179"/>
      <c r="D455" s="179"/>
    </row>
    <row r="456" spans="1:7" ht="12.65" customHeight="1" x14ac:dyDescent="0.35">
      <c r="A456" s="205"/>
      <c r="B456" s="205"/>
      <c r="C456" s="205"/>
      <c r="D456" s="205"/>
      <c r="F456" s="205"/>
      <c r="G456" s="205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3">
        <f>C370</f>
        <v>2855237</v>
      </c>
      <c r="C458" s="193">
        <f>CE70</f>
        <v>0</v>
      </c>
      <c r="D458" s="193"/>
    </row>
    <row r="459" spans="1:7" ht="12.65" customHeight="1" x14ac:dyDescent="0.35">
      <c r="A459" s="179" t="s">
        <v>244</v>
      </c>
      <c r="B459" s="193">
        <f>C371</f>
        <v>0</v>
      </c>
      <c r="C459" s="193">
        <f>CE72</f>
        <v>4736049</v>
      </c>
      <c r="D459" s="193"/>
    </row>
    <row r="460" spans="1:7" ht="12.65" customHeight="1" x14ac:dyDescent="0.35">
      <c r="A460" s="205"/>
      <c r="B460" s="205"/>
      <c r="C460" s="205"/>
      <c r="D460" s="205"/>
      <c r="F460" s="205"/>
      <c r="G460" s="205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3">
        <f>C359</f>
        <v>38497867</v>
      </c>
      <c r="C463" s="193">
        <f>CE73</f>
        <v>38497869</v>
      </c>
      <c r="D463" s="193">
        <f>E141+E147+E153</f>
        <v>38497733</v>
      </c>
    </row>
    <row r="464" spans="1:7" ht="12.65" customHeight="1" x14ac:dyDescent="0.35">
      <c r="A464" s="179" t="s">
        <v>246</v>
      </c>
      <c r="B464" s="193">
        <f>C360</f>
        <v>101044832</v>
      </c>
      <c r="C464" s="193">
        <f>CE74</f>
        <v>101044831</v>
      </c>
      <c r="D464" s="193">
        <f>E142+E148+E154</f>
        <v>101044832</v>
      </c>
    </row>
    <row r="465" spans="1:7" ht="12.65" customHeight="1" x14ac:dyDescent="0.35">
      <c r="A465" s="179" t="s">
        <v>247</v>
      </c>
      <c r="B465" s="193">
        <f>D361</f>
        <v>139542699</v>
      </c>
      <c r="C465" s="193">
        <f>CE75</f>
        <v>139542700</v>
      </c>
      <c r="D465" s="193">
        <f>D463+D464</f>
        <v>139542565</v>
      </c>
    </row>
    <row r="466" spans="1:7" ht="12.65" customHeight="1" x14ac:dyDescent="0.35">
      <c r="A466" s="205"/>
      <c r="B466" s="205"/>
      <c r="C466" s="205"/>
      <c r="D466" s="205"/>
      <c r="F466" s="205"/>
      <c r="G466" s="205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1878609.67</v>
      </c>
      <c r="C468" s="179">
        <f>E195</f>
        <v>1878610</v>
      </c>
      <c r="D468" s="179"/>
    </row>
    <row r="469" spans="1:7" ht="12.65" customHeight="1" x14ac:dyDescent="0.35">
      <c r="A469" s="179" t="s">
        <v>333</v>
      </c>
      <c r="B469" s="179">
        <f t="shared" si="14"/>
        <v>1233751</v>
      </c>
      <c r="C469" s="179">
        <f>E196</f>
        <v>1233751</v>
      </c>
      <c r="D469" s="179"/>
    </row>
    <row r="470" spans="1:7" ht="12.65" customHeight="1" x14ac:dyDescent="0.35">
      <c r="A470" s="179" t="s">
        <v>334</v>
      </c>
      <c r="B470" s="179">
        <f t="shared" si="14"/>
        <v>24076261.84</v>
      </c>
      <c r="C470" s="179">
        <f>E197</f>
        <v>24076262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2730523</v>
      </c>
      <c r="D471" s="179"/>
    </row>
    <row r="472" spans="1:7" ht="12.65" customHeight="1" x14ac:dyDescent="0.35">
      <c r="A472" s="179" t="s">
        <v>377</v>
      </c>
      <c r="B472" s="179">
        <f t="shared" si="14"/>
        <v>2730523.4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19544927.719999999</v>
      </c>
      <c r="C473" s="179">
        <f>SUM(E200:E201)</f>
        <v>19544928</v>
      </c>
      <c r="D473" s="179"/>
    </row>
    <row r="474" spans="1:7" ht="12.65" customHeight="1" x14ac:dyDescent="0.35">
      <c r="A474" s="179" t="s">
        <v>339</v>
      </c>
      <c r="B474" s="179">
        <f t="shared" si="14"/>
        <v>3098250.39</v>
      </c>
      <c r="C474" s="179">
        <f>E202</f>
        <v>3098250</v>
      </c>
      <c r="D474" s="179"/>
    </row>
    <row r="475" spans="1:7" ht="12.65" customHeight="1" x14ac:dyDescent="0.35">
      <c r="A475" s="179" t="s">
        <v>340</v>
      </c>
      <c r="B475" s="179">
        <f t="shared" si="14"/>
        <v>4508526</v>
      </c>
      <c r="C475" s="179">
        <f>E203</f>
        <v>456109</v>
      </c>
      <c r="D475" s="179"/>
    </row>
    <row r="476" spans="1:7" ht="12.65" customHeight="1" x14ac:dyDescent="0.35">
      <c r="A476" s="179" t="s">
        <v>203</v>
      </c>
      <c r="B476" s="179">
        <f>D275</f>
        <v>57070850.019999996</v>
      </c>
      <c r="C476" s="179">
        <f>E204</f>
        <v>53018433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40390795</v>
      </c>
      <c r="C478" s="179">
        <f>E217</f>
        <v>40396929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38251828.689999998</v>
      </c>
    </row>
    <row r="482" spans="1:12" ht="12.65" customHeight="1" x14ac:dyDescent="0.35">
      <c r="A482" s="180" t="s">
        <v>499</v>
      </c>
      <c r="C482" s="180">
        <f>D339</f>
        <v>38251828.840000004</v>
      </c>
    </row>
    <row r="485" spans="1:12" ht="12.65" customHeight="1" x14ac:dyDescent="0.35">
      <c r="A485" s="198" t="s">
        <v>500</v>
      </c>
    </row>
    <row r="486" spans="1:12" ht="12.65" customHeight="1" x14ac:dyDescent="0.35">
      <c r="A486" s="198" t="s">
        <v>501</v>
      </c>
    </row>
    <row r="487" spans="1:12" ht="12.65" customHeight="1" x14ac:dyDescent="0.35">
      <c r="A487" s="198" t="s">
        <v>502</v>
      </c>
    </row>
    <row r="488" spans="1:12" ht="12.65" customHeight="1" x14ac:dyDescent="0.35">
      <c r="A488" s="198"/>
    </row>
    <row r="489" spans="1:12" ht="12.65" customHeight="1" x14ac:dyDescent="0.35">
      <c r="A489" s="197" t="s">
        <v>503</v>
      </c>
    </row>
    <row r="490" spans="1:12" ht="12.65" customHeight="1" x14ac:dyDescent="0.35">
      <c r="A490" s="198" t="s">
        <v>504</v>
      </c>
    </row>
    <row r="491" spans="1:12" ht="12.65" customHeight="1" x14ac:dyDescent="0.35">
      <c r="A491" s="198"/>
    </row>
    <row r="493" spans="1:12" ht="12.65" customHeight="1" x14ac:dyDescent="0.35">
      <c r="A493" s="180" t="str">
        <f>C83</f>
        <v>104</v>
      </c>
      <c r="B493" s="259" t="s">
        <v>1266</v>
      </c>
      <c r="C493" s="259" t="str">
        <f>RIGHT(C82,4)</f>
        <v>2019</v>
      </c>
      <c r="D493" s="259" t="s">
        <v>1266</v>
      </c>
      <c r="E493" s="259" t="str">
        <f>RIGHT(C82,4)</f>
        <v>2019</v>
      </c>
      <c r="F493" s="259" t="s">
        <v>1266</v>
      </c>
      <c r="G493" s="259" t="str">
        <f>RIGHT(C82,4)</f>
        <v>2019</v>
      </c>
      <c r="H493" s="259"/>
      <c r="K493" s="259"/>
      <c r="L493" s="259"/>
    </row>
    <row r="494" spans="1:12" ht="12.65" customHeight="1" x14ac:dyDescent="0.35">
      <c r="A494" s="197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5" customHeight="1" x14ac:dyDescent="0.35">
      <c r="A496" s="180" t="s">
        <v>512</v>
      </c>
      <c r="B496" s="238">
        <v>1064252</v>
      </c>
      <c r="C496" s="238">
        <f>C71</f>
        <v>1454120</v>
      </c>
      <c r="D496" s="238">
        <v>884</v>
      </c>
      <c r="E496" s="180">
        <f>C59</f>
        <v>709</v>
      </c>
      <c r="F496" s="261">
        <f t="shared" ref="F496:G511" si="15">IF(B496=0,"",IF(D496=0,"",B496/D496))</f>
        <v>1203.9049773755655</v>
      </c>
      <c r="G496" s="262">
        <f t="shared" si="15"/>
        <v>2050.9449929478137</v>
      </c>
      <c r="H496" s="263">
        <f>IF(B496=0,"",IF(C496=0,"",IF(D496=0,"",IF(E496=0,"",IF(G496/F496-1&lt;-0.25,G496/F496-1,IF(G496/F496-1&gt;0.25,G496/F496-1,""))))))</f>
        <v>0.70357713564632007</v>
      </c>
      <c r="I496" s="265"/>
      <c r="K496" s="259"/>
      <c r="L496" s="259"/>
    </row>
    <row r="497" spans="1:12" ht="12.65" customHeight="1" x14ac:dyDescent="0.35">
      <c r="A497" s="180" t="s">
        <v>513</v>
      </c>
      <c r="B497" s="238">
        <v>0</v>
      </c>
      <c r="C497" s="238">
        <f>D71</f>
        <v>0</v>
      </c>
      <c r="D497" s="238">
        <v>0</v>
      </c>
      <c r="E497" s="180">
        <f>D59</f>
        <v>0</v>
      </c>
      <c r="F497" s="261" t="str">
        <f t="shared" si="15"/>
        <v/>
      </c>
      <c r="G497" s="261" t="str">
        <f t="shared" si="15"/>
        <v/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5" customHeight="1" x14ac:dyDescent="0.35">
      <c r="A498" s="180" t="s">
        <v>514</v>
      </c>
      <c r="B498" s="238">
        <v>3032678</v>
      </c>
      <c r="C498" s="238">
        <f>E71</f>
        <v>3080169</v>
      </c>
      <c r="D498" s="238">
        <v>3743</v>
      </c>
      <c r="E498" s="180">
        <f>E59</f>
        <v>2666</v>
      </c>
      <c r="F498" s="261">
        <f t="shared" si="15"/>
        <v>810.22655623831156</v>
      </c>
      <c r="G498" s="261">
        <f t="shared" si="15"/>
        <v>1155.3522130532633</v>
      </c>
      <c r="H498" s="263">
        <f t="shared" si="16"/>
        <v>0.42596191664870608</v>
      </c>
      <c r="I498" s="265"/>
      <c r="K498" s="259"/>
      <c r="L498" s="259"/>
    </row>
    <row r="499" spans="1:12" ht="12.65" customHeight="1" x14ac:dyDescent="0.35">
      <c r="A499" s="180" t="s">
        <v>515</v>
      </c>
      <c r="B499" s="238">
        <v>0</v>
      </c>
      <c r="C499" s="238">
        <f>F71</f>
        <v>0</v>
      </c>
      <c r="D499" s="238">
        <v>0</v>
      </c>
      <c r="E499" s="180">
        <f>F59</f>
        <v>0</v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5" customHeight="1" x14ac:dyDescent="0.35">
      <c r="A500" s="180" t="s">
        <v>516</v>
      </c>
      <c r="B500" s="238">
        <v>0</v>
      </c>
      <c r="C500" s="238">
        <f>G71</f>
        <v>210593</v>
      </c>
      <c r="D500" s="238">
        <v>0</v>
      </c>
      <c r="E500" s="180">
        <f>G59</f>
        <v>4870</v>
      </c>
      <c r="F500" s="261" t="str">
        <f t="shared" si="15"/>
        <v/>
      </c>
      <c r="G500" s="261">
        <f t="shared" si="15"/>
        <v>43.242915811088295</v>
      </c>
      <c r="H500" s="263" t="str">
        <f t="shared" si="16"/>
        <v/>
      </c>
      <c r="I500" s="265"/>
      <c r="K500" s="259"/>
      <c r="L500" s="259"/>
    </row>
    <row r="501" spans="1:12" ht="12.65" customHeight="1" x14ac:dyDescent="0.35">
      <c r="A501" s="180" t="s">
        <v>517</v>
      </c>
      <c r="B501" s="238">
        <v>0</v>
      </c>
      <c r="C501" s="238">
        <f>H71</f>
        <v>0</v>
      </c>
      <c r="D501" s="238"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5" customHeight="1" x14ac:dyDescent="0.35">
      <c r="A502" s="180" t="s">
        <v>518</v>
      </c>
      <c r="B502" s="238">
        <v>3620527</v>
      </c>
      <c r="C502" s="238">
        <f>I71</f>
        <v>4337541</v>
      </c>
      <c r="D502" s="238">
        <v>6328</v>
      </c>
      <c r="E502" s="180">
        <f>I59</f>
        <v>7319</v>
      </c>
      <c r="F502" s="261">
        <f t="shared" si="15"/>
        <v>572.14396333754746</v>
      </c>
      <c r="G502" s="261">
        <f t="shared" si="15"/>
        <v>592.64120781527527</v>
      </c>
      <c r="H502" s="263" t="str">
        <f t="shared" si="16"/>
        <v/>
      </c>
      <c r="I502" s="265"/>
      <c r="K502" s="259"/>
      <c r="L502" s="259"/>
    </row>
    <row r="503" spans="1:12" ht="12.65" customHeight="1" x14ac:dyDescent="0.35">
      <c r="A503" s="180" t="s">
        <v>519</v>
      </c>
      <c r="B503" s="238">
        <v>0</v>
      </c>
      <c r="C503" s="238">
        <f>J71</f>
        <v>0</v>
      </c>
      <c r="D503" s="238">
        <v>0</v>
      </c>
      <c r="E503" s="180">
        <f>J59</f>
        <v>0</v>
      </c>
      <c r="F503" s="261" t="str">
        <f t="shared" si="15"/>
        <v/>
      </c>
      <c r="G503" s="261" t="str">
        <f t="shared" si="15"/>
        <v/>
      </c>
      <c r="H503" s="263" t="str">
        <f t="shared" si="16"/>
        <v/>
      </c>
      <c r="I503" s="265"/>
      <c r="K503" s="259"/>
      <c r="L503" s="259"/>
    </row>
    <row r="504" spans="1:12" ht="12.65" customHeight="1" x14ac:dyDescent="0.35">
      <c r="A504" s="180" t="s">
        <v>520</v>
      </c>
      <c r="B504" s="238">
        <v>0</v>
      </c>
      <c r="C504" s="238">
        <f>K71</f>
        <v>0</v>
      </c>
      <c r="D504" s="238"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5" customHeight="1" x14ac:dyDescent="0.35">
      <c r="A505" s="180" t="s">
        <v>521</v>
      </c>
      <c r="B505" s="238">
        <v>0</v>
      </c>
      <c r="C505" s="238">
        <f>L71</f>
        <v>0</v>
      </c>
      <c r="D505" s="238">
        <v>0</v>
      </c>
      <c r="E505" s="180">
        <f>L59</f>
        <v>0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5" customHeight="1" x14ac:dyDescent="0.35">
      <c r="A506" s="180" t="s">
        <v>522</v>
      </c>
      <c r="B506" s="238">
        <v>0</v>
      </c>
      <c r="C506" s="238">
        <f>M71</f>
        <v>0</v>
      </c>
      <c r="D506" s="238"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5" customHeight="1" x14ac:dyDescent="0.35">
      <c r="A507" s="180" t="s">
        <v>523</v>
      </c>
      <c r="B507" s="238">
        <v>0</v>
      </c>
      <c r="C507" s="238">
        <f>N71</f>
        <v>925352</v>
      </c>
      <c r="D507" s="238">
        <v>0</v>
      </c>
      <c r="E507" s="180">
        <f>N59</f>
        <v>743</v>
      </c>
      <c r="F507" s="261" t="str">
        <f t="shared" si="15"/>
        <v/>
      </c>
      <c r="G507" s="261">
        <f t="shared" si="15"/>
        <v>1245.4266487213997</v>
      </c>
      <c r="H507" s="263" t="str">
        <f t="shared" si="16"/>
        <v/>
      </c>
      <c r="I507" s="265"/>
      <c r="K507" s="259"/>
      <c r="L507" s="259"/>
    </row>
    <row r="508" spans="1:12" ht="12.65" customHeight="1" x14ac:dyDescent="0.35">
      <c r="A508" s="180" t="s">
        <v>524</v>
      </c>
      <c r="B508" s="238">
        <v>0</v>
      </c>
      <c r="C508" s="238">
        <f>O71</f>
        <v>0</v>
      </c>
      <c r="D508" s="238">
        <v>0</v>
      </c>
      <c r="E508" s="180">
        <f>O59</f>
        <v>0</v>
      </c>
      <c r="F508" s="261" t="str">
        <f t="shared" si="15"/>
        <v/>
      </c>
      <c r="G508" s="261" t="str">
        <f t="shared" si="15"/>
        <v/>
      </c>
      <c r="H508" s="263" t="str">
        <f t="shared" si="16"/>
        <v/>
      </c>
      <c r="I508" s="265"/>
      <c r="K508" s="259"/>
      <c r="L508" s="259"/>
    </row>
    <row r="509" spans="1:12" ht="12.65" customHeight="1" x14ac:dyDescent="0.35">
      <c r="A509" s="180" t="s">
        <v>525</v>
      </c>
      <c r="B509" s="238">
        <v>1548612</v>
      </c>
      <c r="C509" s="238">
        <f>P71</f>
        <v>4511514</v>
      </c>
      <c r="D509" s="238">
        <v>80829</v>
      </c>
      <c r="E509" s="180">
        <f>P59</f>
        <v>103428</v>
      </c>
      <c r="F509" s="261">
        <f t="shared" si="15"/>
        <v>19.159113684444939</v>
      </c>
      <c r="G509" s="261">
        <f t="shared" si="15"/>
        <v>43.619851490892216</v>
      </c>
      <c r="H509" s="263">
        <f t="shared" si="16"/>
        <v>1.2767155208388719</v>
      </c>
      <c r="I509" s="265"/>
      <c r="K509" s="259"/>
      <c r="L509" s="259"/>
    </row>
    <row r="510" spans="1:12" ht="12.65" customHeight="1" x14ac:dyDescent="0.35">
      <c r="A510" s="180" t="s">
        <v>526</v>
      </c>
      <c r="B510" s="238">
        <v>401117</v>
      </c>
      <c r="C510" s="238">
        <f>Q71</f>
        <v>496924</v>
      </c>
      <c r="D510" s="238">
        <v>96424</v>
      </c>
      <c r="E510" s="180">
        <f>Q59</f>
        <v>65374</v>
      </c>
      <c r="F510" s="261">
        <f t="shared" si="15"/>
        <v>4.1599290633037418</v>
      </c>
      <c r="G510" s="261">
        <f t="shared" si="15"/>
        <v>7.6012482026493711</v>
      </c>
      <c r="H510" s="263">
        <f t="shared" si="16"/>
        <v>0.82725428414219038</v>
      </c>
      <c r="I510" s="265"/>
      <c r="K510" s="259"/>
      <c r="L510" s="259"/>
    </row>
    <row r="511" spans="1:12" ht="12.65" customHeight="1" x14ac:dyDescent="0.35">
      <c r="A511" s="180" t="s">
        <v>527</v>
      </c>
      <c r="B511" s="238">
        <v>511798</v>
      </c>
      <c r="C511" s="238">
        <f>R71</f>
        <v>480227</v>
      </c>
      <c r="D511" s="238">
        <v>80829</v>
      </c>
      <c r="E511" s="180">
        <f>R59</f>
        <v>103428</v>
      </c>
      <c r="F511" s="261">
        <f t="shared" si="15"/>
        <v>6.3318610894604657</v>
      </c>
      <c r="G511" s="261">
        <f t="shared" si="15"/>
        <v>4.6431043817921642</v>
      </c>
      <c r="H511" s="263">
        <f t="shared" si="16"/>
        <v>-0.26670779472393624</v>
      </c>
      <c r="I511" s="265"/>
      <c r="K511" s="259"/>
      <c r="L511" s="259"/>
    </row>
    <row r="512" spans="1:12" ht="12.65" customHeight="1" x14ac:dyDescent="0.35">
      <c r="A512" s="180" t="s">
        <v>528</v>
      </c>
      <c r="B512" s="238">
        <v>1797310.89</v>
      </c>
      <c r="C512" s="238">
        <f>S71</f>
        <v>195193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5" customHeight="1" x14ac:dyDescent="0.35">
      <c r="A513" s="180" t="s">
        <v>1246</v>
      </c>
      <c r="B513" s="238">
        <v>0</v>
      </c>
      <c r="C513" s="238">
        <f>T71</f>
        <v>0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5" customHeight="1" x14ac:dyDescent="0.35">
      <c r="A514" s="180" t="s">
        <v>530</v>
      </c>
      <c r="B514" s="238">
        <v>2235566</v>
      </c>
      <c r="C514" s="238">
        <f>U71</f>
        <v>2642555</v>
      </c>
      <c r="D514" s="238">
        <v>87223</v>
      </c>
      <c r="E514" s="180">
        <f>U59</f>
        <v>127100</v>
      </c>
      <c r="F514" s="261">
        <f t="shared" si="17"/>
        <v>25.630464441718352</v>
      </c>
      <c r="G514" s="261">
        <f t="shared" si="17"/>
        <v>20.7911487018096</v>
      </c>
      <c r="H514" s="263" t="str">
        <f t="shared" si="16"/>
        <v/>
      </c>
      <c r="I514" s="265"/>
      <c r="K514" s="259"/>
      <c r="L514" s="259"/>
    </row>
    <row r="515" spans="1:12" ht="12.65" customHeight="1" x14ac:dyDescent="0.35">
      <c r="A515" s="180" t="s">
        <v>531</v>
      </c>
      <c r="B515" s="238">
        <v>0</v>
      </c>
      <c r="C515" s="238">
        <f>V71</f>
        <v>0</v>
      </c>
      <c r="D515" s="238">
        <v>0</v>
      </c>
      <c r="E515" s="180">
        <f>V59</f>
        <v>4095</v>
      </c>
      <c r="F515" s="261" t="str">
        <f t="shared" si="17"/>
        <v/>
      </c>
      <c r="G515" s="261" t="str">
        <f t="shared" si="17"/>
        <v/>
      </c>
      <c r="H515" s="263" t="str">
        <f t="shared" si="16"/>
        <v/>
      </c>
      <c r="I515" s="265"/>
      <c r="K515" s="259"/>
      <c r="L515" s="259"/>
    </row>
    <row r="516" spans="1:12" ht="12.65" customHeight="1" x14ac:dyDescent="0.35">
      <c r="A516" s="180" t="s">
        <v>532</v>
      </c>
      <c r="B516" s="238">
        <v>523907</v>
      </c>
      <c r="C516" s="238">
        <f>W71</f>
        <v>508215</v>
      </c>
      <c r="D516" s="238">
        <v>933</v>
      </c>
      <c r="E516" s="180">
        <f>W59</f>
        <v>1142</v>
      </c>
      <c r="F516" s="261">
        <f t="shared" si="17"/>
        <v>561.52947481243302</v>
      </c>
      <c r="G516" s="261">
        <f t="shared" si="17"/>
        <v>445.02189141856394</v>
      </c>
      <c r="H516" s="263" t="str">
        <f t="shared" si="16"/>
        <v/>
      </c>
      <c r="I516" s="265"/>
      <c r="K516" s="259"/>
      <c r="L516" s="259"/>
    </row>
    <row r="517" spans="1:12" ht="12.65" customHeight="1" x14ac:dyDescent="0.35">
      <c r="A517" s="180" t="s">
        <v>533</v>
      </c>
      <c r="B517" s="238">
        <v>909759</v>
      </c>
      <c r="C517" s="238">
        <f>X71</f>
        <v>956581</v>
      </c>
      <c r="D517" s="238">
        <v>4339</v>
      </c>
      <c r="E517" s="180">
        <f>X59</f>
        <v>5093</v>
      </c>
      <c r="F517" s="261">
        <f t="shared" si="17"/>
        <v>209.67020050702928</v>
      </c>
      <c r="G517" s="261">
        <f t="shared" si="17"/>
        <v>187.822697820538</v>
      </c>
      <c r="H517" s="263" t="str">
        <f t="shared" si="16"/>
        <v/>
      </c>
      <c r="I517" s="265"/>
      <c r="K517" s="259"/>
      <c r="L517" s="259"/>
    </row>
    <row r="518" spans="1:12" ht="12.65" customHeight="1" x14ac:dyDescent="0.35">
      <c r="A518" s="180" t="s">
        <v>534</v>
      </c>
      <c r="B518" s="238">
        <v>501925.4</v>
      </c>
      <c r="C518" s="238">
        <f>Y71</f>
        <v>513097</v>
      </c>
      <c r="D518" s="238">
        <v>8117</v>
      </c>
      <c r="E518" s="180">
        <f>Y59</f>
        <v>9425</v>
      </c>
      <c r="F518" s="261">
        <f t="shared" si="17"/>
        <v>61.836318837008747</v>
      </c>
      <c r="G518" s="261">
        <f t="shared" si="17"/>
        <v>54.44</v>
      </c>
      <c r="H518" s="263" t="str">
        <f t="shared" si="16"/>
        <v/>
      </c>
      <c r="I518" s="265"/>
      <c r="K518" s="259"/>
      <c r="L518" s="259"/>
    </row>
    <row r="519" spans="1:12" ht="12.65" customHeight="1" x14ac:dyDescent="0.35">
      <c r="A519" s="180" t="s">
        <v>535</v>
      </c>
      <c r="B519" s="238">
        <v>0</v>
      </c>
      <c r="C519" s="238">
        <f>Z71</f>
        <v>0</v>
      </c>
      <c r="D519" s="238">
        <v>0</v>
      </c>
      <c r="E519" s="180">
        <f>Z59</f>
        <v>0</v>
      </c>
      <c r="F519" s="261" t="str">
        <f t="shared" si="17"/>
        <v/>
      </c>
      <c r="G519" s="261" t="str">
        <f t="shared" si="17"/>
        <v/>
      </c>
      <c r="H519" s="263" t="str">
        <f t="shared" si="16"/>
        <v/>
      </c>
      <c r="I519" s="265"/>
      <c r="K519" s="259"/>
      <c r="L519" s="259"/>
    </row>
    <row r="520" spans="1:12" ht="12.65" customHeight="1" x14ac:dyDescent="0.35">
      <c r="A520" s="180" t="s">
        <v>536</v>
      </c>
      <c r="B520" s="238">
        <v>174468</v>
      </c>
      <c r="C520" s="238">
        <f>AA71</f>
        <v>116062</v>
      </c>
      <c r="D520" s="238">
        <v>101</v>
      </c>
      <c r="E520" s="180">
        <f>AA59</f>
        <v>50</v>
      </c>
      <c r="F520" s="261">
        <f t="shared" si="17"/>
        <v>1727.4059405940593</v>
      </c>
      <c r="G520" s="261">
        <f t="shared" si="17"/>
        <v>2321.2399999999998</v>
      </c>
      <c r="H520" s="263">
        <f t="shared" si="16"/>
        <v>0.34377215305958675</v>
      </c>
      <c r="I520" s="265"/>
      <c r="K520" s="259"/>
      <c r="L520" s="259"/>
    </row>
    <row r="521" spans="1:12" ht="12.65" customHeight="1" x14ac:dyDescent="0.35">
      <c r="A521" s="180" t="s">
        <v>537</v>
      </c>
      <c r="B521" s="238">
        <v>2545392</v>
      </c>
      <c r="C521" s="238">
        <f>AB71</f>
        <v>2212772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5" customHeight="1" x14ac:dyDescent="0.35">
      <c r="A522" s="180" t="s">
        <v>538</v>
      </c>
      <c r="B522" s="238">
        <v>531667</v>
      </c>
      <c r="C522" s="238">
        <f>AC71</f>
        <v>582966</v>
      </c>
      <c r="D522" s="238">
        <v>5787</v>
      </c>
      <c r="E522" s="180">
        <f>AC59</f>
        <v>3513</v>
      </c>
      <c r="F522" s="261">
        <f t="shared" si="17"/>
        <v>91.872645584931746</v>
      </c>
      <c r="G522" s="261">
        <f t="shared" si="17"/>
        <v>165.94534585824081</v>
      </c>
      <c r="H522" s="263">
        <f t="shared" si="16"/>
        <v>0.80625413366193421</v>
      </c>
      <c r="I522" s="265"/>
      <c r="K522" s="259"/>
      <c r="L522" s="259"/>
    </row>
    <row r="523" spans="1:12" ht="12.65" customHeight="1" x14ac:dyDescent="0.35">
      <c r="A523" s="180" t="s">
        <v>539</v>
      </c>
      <c r="B523" s="238">
        <v>0</v>
      </c>
      <c r="C523" s="238">
        <f>AD71</f>
        <v>0</v>
      </c>
      <c r="D523" s="238"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5" customHeight="1" x14ac:dyDescent="0.35">
      <c r="A524" s="180" t="s">
        <v>540</v>
      </c>
      <c r="B524" s="238">
        <v>650048</v>
      </c>
      <c r="C524" s="238">
        <f>AE71</f>
        <v>645453</v>
      </c>
      <c r="D524" s="238">
        <v>15380</v>
      </c>
      <c r="E524" s="180">
        <f>AE59</f>
        <v>16743</v>
      </c>
      <c r="F524" s="261">
        <f t="shared" si="17"/>
        <v>42.265799739921974</v>
      </c>
      <c r="G524" s="261">
        <f t="shared" si="17"/>
        <v>38.550618168786954</v>
      </c>
      <c r="H524" s="263" t="str">
        <f t="shared" si="16"/>
        <v/>
      </c>
      <c r="I524" s="265"/>
      <c r="K524" s="259"/>
      <c r="L524" s="259"/>
    </row>
    <row r="525" spans="1:12" ht="12.65" customHeight="1" x14ac:dyDescent="0.35">
      <c r="A525" s="180" t="s">
        <v>541</v>
      </c>
      <c r="B525" s="238">
        <v>0</v>
      </c>
      <c r="C525" s="238">
        <f>AF71</f>
        <v>0</v>
      </c>
      <c r="D525" s="238"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5" customHeight="1" x14ac:dyDescent="0.35">
      <c r="A526" s="180" t="s">
        <v>542</v>
      </c>
      <c r="B526" s="238">
        <v>4537330</v>
      </c>
      <c r="C526" s="238">
        <f>AG71</f>
        <v>4921907</v>
      </c>
      <c r="D526" s="238">
        <v>15996</v>
      </c>
      <c r="E526" s="180">
        <f>AG59</f>
        <v>15712</v>
      </c>
      <c r="F526" s="261">
        <f t="shared" si="17"/>
        <v>283.65403850962741</v>
      </c>
      <c r="G526" s="261">
        <f t="shared" si="17"/>
        <v>313.25782841140528</v>
      </c>
      <c r="H526" s="263" t="str">
        <f t="shared" si="16"/>
        <v/>
      </c>
      <c r="I526" s="265"/>
      <c r="K526" s="259"/>
      <c r="L526" s="259"/>
    </row>
    <row r="527" spans="1:12" ht="12.65" customHeight="1" x14ac:dyDescent="0.35">
      <c r="A527" s="180" t="s">
        <v>543</v>
      </c>
      <c r="B527" s="238">
        <v>0</v>
      </c>
      <c r="C527" s="238">
        <f>AH71</f>
        <v>0</v>
      </c>
      <c r="D527" s="238"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5" customHeight="1" x14ac:dyDescent="0.35">
      <c r="A528" s="180" t="s">
        <v>544</v>
      </c>
      <c r="B528" s="238">
        <v>654200</v>
      </c>
      <c r="C528" s="238">
        <f>AI71</f>
        <v>1072160</v>
      </c>
      <c r="D528" s="238">
        <v>1013</v>
      </c>
      <c r="E528" s="180">
        <f>AI59</f>
        <v>874</v>
      </c>
      <c r="F528" s="261">
        <f t="shared" ref="F528:G540" si="18">IF(B528=0,"",IF(D528=0,"",B528/D528))</f>
        <v>645.80454096742346</v>
      </c>
      <c r="G528" s="261">
        <f t="shared" si="18"/>
        <v>1226.7276887871853</v>
      </c>
      <c r="H528" s="263">
        <f t="shared" si="16"/>
        <v>0.89953400908196079</v>
      </c>
      <c r="I528" s="265"/>
      <c r="K528" s="259"/>
      <c r="L528" s="259"/>
    </row>
    <row r="529" spans="1:12" ht="12.65" customHeight="1" x14ac:dyDescent="0.35">
      <c r="A529" s="180" t="s">
        <v>545</v>
      </c>
      <c r="B529" s="238">
        <v>0</v>
      </c>
      <c r="C529" s="238">
        <f>AJ71</f>
        <v>0</v>
      </c>
      <c r="D529" s="238">
        <v>0</v>
      </c>
      <c r="E529" s="180">
        <f>AJ59</f>
        <v>0</v>
      </c>
      <c r="F529" s="261" t="str">
        <f t="shared" si="18"/>
        <v/>
      </c>
      <c r="G529" s="261" t="str">
        <f t="shared" si="18"/>
        <v/>
      </c>
      <c r="H529" s="263" t="str">
        <f t="shared" si="16"/>
        <v/>
      </c>
      <c r="I529" s="265"/>
      <c r="K529" s="259"/>
      <c r="L529" s="259"/>
    </row>
    <row r="530" spans="1:12" ht="12.65" customHeight="1" x14ac:dyDescent="0.35">
      <c r="A530" s="180" t="s">
        <v>546</v>
      </c>
      <c r="B530" s="238">
        <v>186246</v>
      </c>
      <c r="C530" s="238">
        <f>AK71</f>
        <v>0</v>
      </c>
      <c r="D530" s="238">
        <v>4598</v>
      </c>
      <c r="E530" s="180">
        <f>AK59</f>
        <v>0</v>
      </c>
      <c r="F530" s="261">
        <f t="shared" si="18"/>
        <v>40.505872118312311</v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5" customHeight="1" x14ac:dyDescent="0.35">
      <c r="A531" s="180" t="s">
        <v>547</v>
      </c>
      <c r="B531" s="238">
        <v>13984</v>
      </c>
      <c r="C531" s="238">
        <f>AL71</f>
        <v>0</v>
      </c>
      <c r="D531" s="238">
        <v>115</v>
      </c>
      <c r="E531" s="180">
        <f>AL59</f>
        <v>0</v>
      </c>
      <c r="F531" s="261">
        <f t="shared" si="18"/>
        <v>121.6</v>
      </c>
      <c r="G531" s="261" t="str">
        <f t="shared" si="18"/>
        <v/>
      </c>
      <c r="H531" s="263" t="str">
        <f t="shared" si="16"/>
        <v/>
      </c>
      <c r="I531" s="265"/>
      <c r="K531" s="259"/>
      <c r="L531" s="259"/>
    </row>
    <row r="532" spans="1:12" ht="12.65" customHeight="1" x14ac:dyDescent="0.35">
      <c r="A532" s="180" t="s">
        <v>548</v>
      </c>
      <c r="B532" s="238">
        <v>0</v>
      </c>
      <c r="C532" s="238">
        <f>AM71</f>
        <v>0</v>
      </c>
      <c r="D532" s="238"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5" customHeight="1" x14ac:dyDescent="0.35">
      <c r="A533" s="180" t="s">
        <v>1247</v>
      </c>
      <c r="B533" s="238">
        <v>0</v>
      </c>
      <c r="C533" s="238">
        <f>AN71</f>
        <v>0</v>
      </c>
      <c r="D533" s="238"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5" customHeight="1" x14ac:dyDescent="0.35">
      <c r="A534" s="180" t="s">
        <v>549</v>
      </c>
      <c r="B534" s="238">
        <v>0</v>
      </c>
      <c r="C534" s="238">
        <f>AO71</f>
        <v>0</v>
      </c>
      <c r="D534" s="238">
        <v>0</v>
      </c>
      <c r="E534" s="180">
        <f>AO59</f>
        <v>0</v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5" customHeight="1" x14ac:dyDescent="0.35">
      <c r="A535" s="180" t="s">
        <v>550</v>
      </c>
      <c r="B535" s="238">
        <v>0</v>
      </c>
      <c r="C535" s="238">
        <f>AP71</f>
        <v>0</v>
      </c>
      <c r="D535" s="238">
        <v>0</v>
      </c>
      <c r="E535" s="180">
        <f>AP59</f>
        <v>0</v>
      </c>
      <c r="F535" s="261" t="str">
        <f t="shared" si="18"/>
        <v/>
      </c>
      <c r="G535" s="261" t="str">
        <f t="shared" si="18"/>
        <v/>
      </c>
      <c r="H535" s="263" t="str">
        <f t="shared" si="16"/>
        <v/>
      </c>
      <c r="I535" s="265"/>
      <c r="K535" s="259"/>
      <c r="L535" s="259"/>
    </row>
    <row r="536" spans="1:12" ht="12.65" customHeight="1" x14ac:dyDescent="0.35">
      <c r="A536" s="180" t="s">
        <v>551</v>
      </c>
      <c r="B536" s="238">
        <v>0</v>
      </c>
      <c r="C536" s="238">
        <f>AQ71</f>
        <v>0</v>
      </c>
      <c r="D536" s="238"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5" customHeight="1" x14ac:dyDescent="0.35">
      <c r="A537" s="180" t="s">
        <v>552</v>
      </c>
      <c r="B537" s="238">
        <v>0</v>
      </c>
      <c r="C537" s="238">
        <f>AR71</f>
        <v>0</v>
      </c>
      <c r="D537" s="238">
        <v>0</v>
      </c>
      <c r="E537" s="180">
        <f>AR59</f>
        <v>0</v>
      </c>
      <c r="F537" s="261" t="str">
        <f t="shared" si="18"/>
        <v/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5" customHeight="1" x14ac:dyDescent="0.35">
      <c r="A538" s="180" t="s">
        <v>553</v>
      </c>
      <c r="B538" s="238">
        <v>0</v>
      </c>
      <c r="C538" s="238">
        <f>AS71</f>
        <v>0</v>
      </c>
      <c r="D538" s="238"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5" customHeight="1" x14ac:dyDescent="0.35">
      <c r="A539" s="180" t="s">
        <v>554</v>
      </c>
      <c r="B539" s="238">
        <v>0</v>
      </c>
      <c r="C539" s="238">
        <f>AT71</f>
        <v>0</v>
      </c>
      <c r="D539" s="238"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5" customHeight="1" x14ac:dyDescent="0.35">
      <c r="A540" s="180" t="s">
        <v>555</v>
      </c>
      <c r="B540" s="238">
        <v>0</v>
      </c>
      <c r="C540" s="238">
        <f>AU71</f>
        <v>0</v>
      </c>
      <c r="D540" s="238"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5" customHeight="1" x14ac:dyDescent="0.35">
      <c r="A541" s="180" t="s">
        <v>556</v>
      </c>
      <c r="B541" s="238">
        <v>4998668</v>
      </c>
      <c r="C541" s="238">
        <f>AV71</f>
        <v>4655015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5" customHeight="1" x14ac:dyDescent="0.35">
      <c r="A542" s="180" t="s">
        <v>1248</v>
      </c>
      <c r="B542" s="238"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5" customHeight="1" x14ac:dyDescent="0.35">
      <c r="A543" s="180" t="s">
        <v>557</v>
      </c>
      <c r="B543" s="238">
        <v>52554</v>
      </c>
      <c r="C543" s="238">
        <f>AX71</f>
        <v>0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5" customHeight="1" x14ac:dyDescent="0.35">
      <c r="A544" s="180" t="s">
        <v>558</v>
      </c>
      <c r="B544" s="238">
        <v>1474246</v>
      </c>
      <c r="C544" s="238">
        <f>AY71</f>
        <v>1384580</v>
      </c>
      <c r="D544" s="238">
        <v>102725</v>
      </c>
      <c r="E544" s="180">
        <f>AY59</f>
        <v>104241</v>
      </c>
      <c r="F544" s="261">
        <f t="shared" ref="F544:G550" si="19">IF(B544=0,"",IF(D544=0,"",B544/D544))</f>
        <v>14.351384765149671</v>
      </c>
      <c r="G544" s="261">
        <f t="shared" si="19"/>
        <v>13.282489615410443</v>
      </c>
      <c r="H544" s="263" t="str">
        <f t="shared" si="16"/>
        <v/>
      </c>
      <c r="I544" s="265"/>
      <c r="K544" s="259"/>
      <c r="L544" s="259"/>
    </row>
    <row r="545" spans="1:13" ht="12.65" customHeight="1" x14ac:dyDescent="0.35">
      <c r="A545" s="180" t="s">
        <v>559</v>
      </c>
      <c r="B545" s="238">
        <v>7431</v>
      </c>
      <c r="C545" s="238">
        <f>AZ71</f>
        <v>0</v>
      </c>
      <c r="D545" s="238">
        <v>0</v>
      </c>
      <c r="E545" s="180">
        <f>AZ59</f>
        <v>0</v>
      </c>
      <c r="F545" s="261" t="str">
        <f t="shared" si="19"/>
        <v/>
      </c>
      <c r="G545" s="261" t="str">
        <f t="shared" si="19"/>
        <v/>
      </c>
      <c r="H545" s="263" t="str">
        <f t="shared" si="16"/>
        <v/>
      </c>
      <c r="I545" s="265"/>
      <c r="K545" s="259"/>
      <c r="L545" s="259"/>
    </row>
    <row r="546" spans="1:13" ht="12.65" customHeight="1" x14ac:dyDescent="0.35">
      <c r="A546" s="180" t="s">
        <v>560</v>
      </c>
      <c r="B546" s="238">
        <v>288599</v>
      </c>
      <c r="C546" s="238">
        <f>BA71</f>
        <v>252102</v>
      </c>
      <c r="D546" s="238"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5" customHeight="1" x14ac:dyDescent="0.35">
      <c r="A547" s="180" t="s">
        <v>561</v>
      </c>
      <c r="B547" s="238">
        <v>0</v>
      </c>
      <c r="C547" s="238">
        <f>BB71</f>
        <v>0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5" customHeight="1" x14ac:dyDescent="0.35">
      <c r="A548" s="180" t="s">
        <v>562</v>
      </c>
      <c r="B548" s="238">
        <v>0</v>
      </c>
      <c r="C548" s="238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5" customHeight="1" x14ac:dyDescent="0.35">
      <c r="A549" s="180" t="s">
        <v>563</v>
      </c>
      <c r="B549" s="238">
        <v>229961</v>
      </c>
      <c r="C549" s="238">
        <f>BD71</f>
        <v>302873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5" customHeight="1" x14ac:dyDescent="0.35">
      <c r="A550" s="180" t="s">
        <v>564</v>
      </c>
      <c r="B550" s="238">
        <v>1409565</v>
      </c>
      <c r="C550" s="238">
        <f>BE71</f>
        <v>1673088</v>
      </c>
      <c r="D550" s="238">
        <v>99240</v>
      </c>
      <c r="E550" s="180">
        <f>BE59</f>
        <v>99240</v>
      </c>
      <c r="F550" s="261">
        <f t="shared" si="19"/>
        <v>14.203597339782347</v>
      </c>
      <c r="G550" s="261">
        <f t="shared" si="19"/>
        <v>16.859008464328898</v>
      </c>
      <c r="H550" s="263" t="str">
        <f t="shared" si="16"/>
        <v/>
      </c>
      <c r="I550" s="265"/>
      <c r="K550" s="259"/>
      <c r="L550" s="259"/>
    </row>
    <row r="551" spans="1:13" ht="12.65" customHeight="1" x14ac:dyDescent="0.35">
      <c r="A551" s="180" t="s">
        <v>565</v>
      </c>
      <c r="B551" s="238">
        <v>1277449</v>
      </c>
      <c r="C551" s="238">
        <f>BF71</f>
        <v>1057129</v>
      </c>
      <c r="D551" s="181" t="s">
        <v>529</v>
      </c>
      <c r="E551" s="181" t="s">
        <v>529</v>
      </c>
      <c r="F551" s="261"/>
      <c r="G551" s="261"/>
      <c r="H551" s="263"/>
      <c r="I551" s="265"/>
      <c r="J551" s="198"/>
      <c r="M551" s="263"/>
    </row>
    <row r="552" spans="1:13" ht="12.65" customHeight="1" x14ac:dyDescent="0.35">
      <c r="A552" s="180" t="s">
        <v>566</v>
      </c>
      <c r="B552" s="238">
        <v>109104</v>
      </c>
      <c r="C552" s="238">
        <f>BG71</f>
        <v>106588</v>
      </c>
      <c r="D552" s="181" t="s">
        <v>529</v>
      </c>
      <c r="E552" s="181" t="s">
        <v>529</v>
      </c>
      <c r="F552" s="261"/>
      <c r="G552" s="261"/>
      <c r="H552" s="263"/>
      <c r="J552" s="198"/>
      <c r="M552" s="263"/>
    </row>
    <row r="553" spans="1:13" ht="12.65" customHeight="1" x14ac:dyDescent="0.35">
      <c r="A553" s="180" t="s">
        <v>567</v>
      </c>
      <c r="B553" s="238">
        <v>1571575</v>
      </c>
      <c r="C553" s="238">
        <f>BH71</f>
        <v>0</v>
      </c>
      <c r="D553" s="181" t="s">
        <v>529</v>
      </c>
      <c r="E553" s="181" t="s">
        <v>529</v>
      </c>
      <c r="F553" s="261"/>
      <c r="G553" s="261"/>
      <c r="H553" s="263"/>
      <c r="J553" s="198"/>
      <c r="M553" s="263"/>
    </row>
    <row r="554" spans="1:13" ht="12.65" customHeight="1" x14ac:dyDescent="0.35">
      <c r="A554" s="180" t="s">
        <v>568</v>
      </c>
      <c r="B554" s="238">
        <v>0</v>
      </c>
      <c r="C554" s="238">
        <f>BI71</f>
        <v>277209</v>
      </c>
      <c r="D554" s="181" t="s">
        <v>529</v>
      </c>
      <c r="E554" s="181" t="s">
        <v>529</v>
      </c>
      <c r="F554" s="261"/>
      <c r="G554" s="261"/>
      <c r="H554" s="263"/>
      <c r="J554" s="198"/>
      <c r="M554" s="263"/>
    </row>
    <row r="555" spans="1:13" ht="12.65" customHeight="1" x14ac:dyDescent="0.35">
      <c r="A555" s="180" t="s">
        <v>569</v>
      </c>
      <c r="B555" s="238">
        <v>386692</v>
      </c>
      <c r="C555" s="238">
        <f>BJ71</f>
        <v>308694</v>
      </c>
      <c r="D555" s="181" t="s">
        <v>529</v>
      </c>
      <c r="E555" s="181" t="s">
        <v>529</v>
      </c>
      <c r="F555" s="261"/>
      <c r="G555" s="261"/>
      <c r="H555" s="263"/>
      <c r="J555" s="198"/>
      <c r="M555" s="263"/>
    </row>
    <row r="556" spans="1:13" ht="12.65" customHeight="1" x14ac:dyDescent="0.35">
      <c r="A556" s="180" t="s">
        <v>570</v>
      </c>
      <c r="B556" s="238">
        <v>911236</v>
      </c>
      <c r="C556" s="238">
        <f>BK71</f>
        <v>790764</v>
      </c>
      <c r="D556" s="181" t="s">
        <v>529</v>
      </c>
      <c r="E556" s="181" t="s">
        <v>529</v>
      </c>
      <c r="F556" s="261"/>
      <c r="G556" s="261"/>
      <c r="H556" s="263"/>
      <c r="J556" s="198"/>
      <c r="M556" s="263"/>
    </row>
    <row r="557" spans="1:13" ht="12.65" customHeight="1" x14ac:dyDescent="0.35">
      <c r="A557" s="180" t="s">
        <v>571</v>
      </c>
      <c r="B557" s="238">
        <v>812529</v>
      </c>
      <c r="C557" s="238">
        <f>BL71</f>
        <v>826754</v>
      </c>
      <c r="D557" s="181" t="s">
        <v>529</v>
      </c>
      <c r="E557" s="181" t="s">
        <v>529</v>
      </c>
      <c r="F557" s="261"/>
      <c r="G557" s="261"/>
      <c r="H557" s="263"/>
      <c r="J557" s="198"/>
      <c r="M557" s="263"/>
    </row>
    <row r="558" spans="1:13" ht="12.65" customHeight="1" x14ac:dyDescent="0.35">
      <c r="A558" s="180" t="s">
        <v>572</v>
      </c>
      <c r="B558" s="238">
        <v>83545</v>
      </c>
      <c r="C558" s="238">
        <f>BM71</f>
        <v>1640933</v>
      </c>
      <c r="D558" s="181" t="s">
        <v>529</v>
      </c>
      <c r="E558" s="181" t="s">
        <v>529</v>
      </c>
      <c r="F558" s="261"/>
      <c r="G558" s="261"/>
      <c r="H558" s="263"/>
      <c r="J558" s="198"/>
      <c r="M558" s="263"/>
    </row>
    <row r="559" spans="1:13" ht="12.65" customHeight="1" x14ac:dyDescent="0.35">
      <c r="A559" s="180" t="s">
        <v>573</v>
      </c>
      <c r="B559" s="238">
        <v>3014980</v>
      </c>
      <c r="C559" s="238">
        <f>BN71</f>
        <v>5097924</v>
      </c>
      <c r="D559" s="181" t="s">
        <v>529</v>
      </c>
      <c r="E559" s="181" t="s">
        <v>529</v>
      </c>
      <c r="F559" s="261"/>
      <c r="G559" s="261"/>
      <c r="H559" s="263"/>
      <c r="J559" s="198"/>
      <c r="M559" s="263"/>
    </row>
    <row r="560" spans="1:13" ht="12.65" customHeight="1" x14ac:dyDescent="0.35">
      <c r="A560" s="180" t="s">
        <v>574</v>
      </c>
      <c r="B560" s="238">
        <v>0</v>
      </c>
      <c r="C560" s="238">
        <f>BO71</f>
        <v>0</v>
      </c>
      <c r="D560" s="181" t="s">
        <v>529</v>
      </c>
      <c r="E560" s="181" t="s">
        <v>529</v>
      </c>
      <c r="F560" s="261"/>
      <c r="G560" s="261"/>
      <c r="H560" s="263"/>
      <c r="J560" s="198"/>
      <c r="M560" s="263"/>
    </row>
    <row r="561" spans="1:13" ht="12.65" customHeight="1" x14ac:dyDescent="0.35">
      <c r="A561" s="180" t="s">
        <v>575</v>
      </c>
      <c r="B561" s="238">
        <v>0</v>
      </c>
      <c r="C561" s="238">
        <f>BP71</f>
        <v>142557</v>
      </c>
      <c r="D561" s="181" t="s">
        <v>529</v>
      </c>
      <c r="E561" s="181" t="s">
        <v>529</v>
      </c>
      <c r="F561" s="261"/>
      <c r="G561" s="261"/>
      <c r="H561" s="263"/>
      <c r="J561" s="198"/>
      <c r="M561" s="263"/>
    </row>
    <row r="562" spans="1:13" ht="12.65" customHeight="1" x14ac:dyDescent="0.35">
      <c r="A562" s="180" t="s">
        <v>576</v>
      </c>
      <c r="B562" s="238"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8"/>
      <c r="M562" s="263"/>
    </row>
    <row r="563" spans="1:13" ht="12.65" customHeight="1" x14ac:dyDescent="0.35">
      <c r="A563" s="180" t="s">
        <v>577</v>
      </c>
      <c r="B563" s="238">
        <v>272717</v>
      </c>
      <c r="C563" s="238">
        <f>BR71</f>
        <v>422515</v>
      </c>
      <c r="D563" s="181" t="s">
        <v>529</v>
      </c>
      <c r="E563" s="181" t="s">
        <v>529</v>
      </c>
      <c r="F563" s="261"/>
      <c r="G563" s="261"/>
      <c r="H563" s="263"/>
      <c r="J563" s="198"/>
      <c r="M563" s="263"/>
    </row>
    <row r="564" spans="1:13" ht="12.65" customHeight="1" x14ac:dyDescent="0.35">
      <c r="A564" s="180" t="s">
        <v>1249</v>
      </c>
      <c r="B564" s="238">
        <v>0</v>
      </c>
      <c r="C564" s="238">
        <f>BS71</f>
        <v>0</v>
      </c>
      <c r="D564" s="181" t="s">
        <v>529</v>
      </c>
      <c r="E564" s="181" t="s">
        <v>529</v>
      </c>
      <c r="F564" s="261"/>
      <c r="G564" s="261"/>
      <c r="H564" s="263"/>
      <c r="J564" s="198"/>
      <c r="M564" s="263"/>
    </row>
    <row r="565" spans="1:13" ht="12.65" customHeight="1" x14ac:dyDescent="0.35">
      <c r="A565" s="180" t="s">
        <v>578</v>
      </c>
      <c r="B565" s="238">
        <v>0</v>
      </c>
      <c r="C565" s="238">
        <f>BT71</f>
        <v>0</v>
      </c>
      <c r="D565" s="181" t="s">
        <v>529</v>
      </c>
      <c r="E565" s="181" t="s">
        <v>529</v>
      </c>
      <c r="F565" s="261"/>
      <c r="G565" s="261"/>
      <c r="H565" s="263"/>
      <c r="J565" s="198"/>
      <c r="M565" s="263"/>
    </row>
    <row r="566" spans="1:13" ht="12.65" customHeight="1" x14ac:dyDescent="0.35">
      <c r="A566" s="180" t="s">
        <v>579</v>
      </c>
      <c r="B566" s="238">
        <v>0</v>
      </c>
      <c r="C566" s="238">
        <f>BU71</f>
        <v>0</v>
      </c>
      <c r="D566" s="181" t="s">
        <v>529</v>
      </c>
      <c r="E566" s="181" t="s">
        <v>529</v>
      </c>
      <c r="F566" s="261"/>
      <c r="G566" s="261"/>
      <c r="H566" s="263"/>
      <c r="J566" s="198"/>
      <c r="M566" s="263"/>
    </row>
    <row r="567" spans="1:13" ht="12.65" customHeight="1" x14ac:dyDescent="0.35">
      <c r="A567" s="180" t="s">
        <v>580</v>
      </c>
      <c r="B567" s="238">
        <v>733015</v>
      </c>
      <c r="C567" s="238">
        <f>BV71</f>
        <v>824327</v>
      </c>
      <c r="D567" s="181" t="s">
        <v>529</v>
      </c>
      <c r="E567" s="181" t="s">
        <v>529</v>
      </c>
      <c r="F567" s="261"/>
      <c r="G567" s="261"/>
      <c r="H567" s="263"/>
      <c r="J567" s="198"/>
      <c r="M567" s="263"/>
    </row>
    <row r="568" spans="1:13" ht="12.65" customHeight="1" x14ac:dyDescent="0.35">
      <c r="A568" s="180" t="s">
        <v>581</v>
      </c>
      <c r="B568" s="238">
        <v>96981</v>
      </c>
      <c r="C568" s="238">
        <f>BW71</f>
        <v>110655</v>
      </c>
      <c r="D568" s="181" t="s">
        <v>529</v>
      </c>
      <c r="E568" s="181" t="s">
        <v>529</v>
      </c>
      <c r="F568" s="261"/>
      <c r="G568" s="261"/>
      <c r="H568" s="263"/>
      <c r="J568" s="198"/>
      <c r="M568" s="263"/>
    </row>
    <row r="569" spans="1:13" ht="12.65" customHeight="1" x14ac:dyDescent="0.35">
      <c r="A569" s="180" t="s">
        <v>582</v>
      </c>
      <c r="B569" s="238">
        <v>576857</v>
      </c>
      <c r="C569" s="238">
        <f>BX71</f>
        <v>0</v>
      </c>
      <c r="D569" s="181" t="s">
        <v>529</v>
      </c>
      <c r="E569" s="181" t="s">
        <v>529</v>
      </c>
      <c r="F569" s="261"/>
      <c r="G569" s="261"/>
      <c r="H569" s="263"/>
      <c r="J569" s="198"/>
      <c r="M569" s="263"/>
    </row>
    <row r="570" spans="1:13" ht="12.65" customHeight="1" x14ac:dyDescent="0.35">
      <c r="A570" s="180" t="s">
        <v>583</v>
      </c>
      <c r="B570" s="238">
        <v>402036</v>
      </c>
      <c r="C570" s="238">
        <f>BY71</f>
        <v>444236</v>
      </c>
      <c r="D570" s="181" t="s">
        <v>529</v>
      </c>
      <c r="E570" s="181" t="s">
        <v>529</v>
      </c>
      <c r="F570" s="261"/>
      <c r="G570" s="261"/>
      <c r="H570" s="263"/>
      <c r="J570" s="198"/>
      <c r="M570" s="263"/>
    </row>
    <row r="571" spans="1:13" ht="12.65" customHeight="1" x14ac:dyDescent="0.35">
      <c r="A571" s="180" t="s">
        <v>584</v>
      </c>
      <c r="B571" s="238">
        <v>0</v>
      </c>
      <c r="C571" s="238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8"/>
      <c r="M571" s="263"/>
    </row>
    <row r="572" spans="1:13" ht="12.65" customHeight="1" x14ac:dyDescent="0.35">
      <c r="A572" s="180" t="s">
        <v>585</v>
      </c>
      <c r="B572" s="238">
        <v>5987</v>
      </c>
      <c r="C572" s="238">
        <f>CA71</f>
        <v>0</v>
      </c>
      <c r="D572" s="181" t="s">
        <v>529</v>
      </c>
      <c r="E572" s="181" t="s">
        <v>529</v>
      </c>
      <c r="F572" s="261"/>
      <c r="G572" s="261"/>
      <c r="H572" s="263"/>
      <c r="J572" s="198"/>
      <c r="M572" s="263"/>
    </row>
    <row r="573" spans="1:13" ht="12.65" customHeight="1" x14ac:dyDescent="0.35">
      <c r="A573" s="180" t="s">
        <v>586</v>
      </c>
      <c r="B573" s="238">
        <v>0</v>
      </c>
      <c r="C573" s="238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8"/>
      <c r="M573" s="263"/>
    </row>
    <row r="574" spans="1:13" ht="12.65" customHeight="1" x14ac:dyDescent="0.35">
      <c r="A574" s="180" t="s">
        <v>587</v>
      </c>
      <c r="B574" s="238">
        <v>1202239</v>
      </c>
      <c r="C574" s="238">
        <f>CC71</f>
        <v>2257493</v>
      </c>
      <c r="D574" s="181" t="s">
        <v>529</v>
      </c>
      <c r="E574" s="181" t="s">
        <v>529</v>
      </c>
      <c r="F574" s="261"/>
      <c r="G574" s="261"/>
      <c r="H574" s="263"/>
      <c r="J574" s="198"/>
      <c r="M574" s="263"/>
    </row>
    <row r="575" spans="1:13" ht="12.65" customHeight="1" x14ac:dyDescent="0.35">
      <c r="A575" s="180" t="s">
        <v>588</v>
      </c>
      <c r="B575" s="238">
        <v>-2029765</v>
      </c>
      <c r="C575" s="238">
        <f>CD71</f>
        <v>1302327</v>
      </c>
      <c r="D575" s="181" t="s">
        <v>529</v>
      </c>
      <c r="E575" s="181" t="s">
        <v>529</v>
      </c>
      <c r="F575" s="261"/>
      <c r="G575" s="261"/>
      <c r="H575" s="263"/>
    </row>
    <row r="576" spans="1:13" ht="12.65" customHeight="1" x14ac:dyDescent="0.35">
      <c r="M576" s="263"/>
    </row>
    <row r="577" spans="13:13" ht="12.65" customHeight="1" x14ac:dyDescent="0.35">
      <c r="M577" s="263"/>
    </row>
    <row r="578" spans="13:13" ht="12.65" customHeight="1" x14ac:dyDescent="0.35">
      <c r="M578" s="263"/>
    </row>
    <row r="612" spans="1:14" ht="12.65" customHeight="1" x14ac:dyDescent="0.35">
      <c r="A612" s="195"/>
      <c r="C612" s="181" t="s">
        <v>589</v>
      </c>
      <c r="D612" s="180">
        <f>CE76-(BE76+CD76)</f>
        <v>99240</v>
      </c>
      <c r="E612" s="180">
        <f>SUM(C624:D647)+SUM(C668:D713)</f>
        <v>45051493.783555016</v>
      </c>
      <c r="F612" s="180">
        <f>CE64-(AX64+BD64+BE64+BG64+BJ64+BN64+BP64+BQ64+CB64+CC64+CD64)</f>
        <v>6816896</v>
      </c>
      <c r="G612" s="180">
        <f>CE77-(AX77+AY77+BD77+BE77+BG77+BJ77+BN77+BP77+BQ77+CB77+CC77+CD77)</f>
        <v>34319</v>
      </c>
      <c r="H612" s="196">
        <f>CE60-(AX60+AY60+AZ60+BD60+BE60+BG60+BJ60+BN60+BO60+BP60+BQ60+BR60+CB60+CC60+CD60)</f>
        <v>230.58999999999997</v>
      </c>
      <c r="I612" s="180">
        <f>CE78-(AX78+AY78+AZ78+BD78+BE78+BF78+BG78+BJ78+BN78+BO78+BP78+BQ78+BR78+CB78+CC78+CD78)</f>
        <v>34764</v>
      </c>
      <c r="J612" s="180">
        <f>CE79-(AX79+AY79+AZ79+BA79+BD79+BE79+BF79+BG79+BJ79+BN79+BO79+BP79+BQ79+BR79+CB79+CC79+CD79)</f>
        <v>217645</v>
      </c>
      <c r="K612" s="180">
        <f>CE75-(AW75+AX75+AY75+AZ75+BA75+BB75+BC75+BD75+BE75+BF75+BG75+BH75+BI75+BJ75+BK75+BL75+BM75+BN75+BO75+BP75+BQ75+BR75+BS75+BT75+BU75+BV75+BW75+BX75+CB75+CC75+CD75)</f>
        <v>139542700</v>
      </c>
      <c r="L612" s="196">
        <f>CE80-(AW80+AX80+AY80+AZ80+BA80+BB80+BC80+BD80+BE80+BF80+BG80+BH80+BI80+BJ80+BK80+BL80+BM80+BN80+BO80+BP80+BQ80+BR80+BS80+BT80+BU80+BV80+BW80+BX80+BY80+BZ80+CA80+CB80+CC80+CD80)</f>
        <v>76.210000000000008</v>
      </c>
    </row>
    <row r="613" spans="1:14" ht="12.65" customHeight="1" x14ac:dyDescent="0.35">
      <c r="A613" s="195"/>
      <c r="C613" s="181" t="s">
        <v>590</v>
      </c>
      <c r="D613" s="181" t="s">
        <v>591</v>
      </c>
      <c r="E613" s="197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7" t="s">
        <v>599</v>
      </c>
    </row>
    <row r="614" spans="1:14" ht="12.65" customHeight="1" x14ac:dyDescent="0.35">
      <c r="A614" s="195">
        <v>8430</v>
      </c>
      <c r="B614" s="197" t="s">
        <v>140</v>
      </c>
      <c r="C614" s="180">
        <f>BE71</f>
        <v>1673088</v>
      </c>
      <c r="N614" s="198" t="s">
        <v>600</v>
      </c>
    </row>
    <row r="615" spans="1:14" ht="12.65" customHeight="1" x14ac:dyDescent="0.35">
      <c r="A615" s="195"/>
      <c r="B615" s="197" t="s">
        <v>601</v>
      </c>
      <c r="C615" s="270">
        <f>CD69-CD70</f>
        <v>1302327</v>
      </c>
      <c r="D615" s="264">
        <f>SUM(C614:C615)</f>
        <v>2975415</v>
      </c>
      <c r="N615" s="198" t="s">
        <v>602</v>
      </c>
    </row>
    <row r="616" spans="1:14" ht="12.65" customHeight="1" x14ac:dyDescent="0.35">
      <c r="A616" s="195">
        <v>8310</v>
      </c>
      <c r="B616" s="199" t="s">
        <v>603</v>
      </c>
      <c r="C616" s="180">
        <f>AX71</f>
        <v>0</v>
      </c>
      <c r="D616" s="180">
        <f>(D615/D612)*AX76</f>
        <v>0</v>
      </c>
      <c r="N616" s="198" t="s">
        <v>604</v>
      </c>
    </row>
    <row r="617" spans="1:14" ht="12.65" customHeight="1" x14ac:dyDescent="0.35">
      <c r="A617" s="195">
        <v>8510</v>
      </c>
      <c r="B617" s="199" t="s">
        <v>145</v>
      </c>
      <c r="C617" s="180">
        <f>BJ71</f>
        <v>308694</v>
      </c>
      <c r="D617" s="180">
        <f>(D615/D612)*BJ76</f>
        <v>0</v>
      </c>
      <c r="N617" s="198" t="s">
        <v>605</v>
      </c>
    </row>
    <row r="618" spans="1:14" ht="12.65" customHeight="1" x14ac:dyDescent="0.35">
      <c r="A618" s="195">
        <v>8470</v>
      </c>
      <c r="B618" s="199" t="s">
        <v>606</v>
      </c>
      <c r="C618" s="180">
        <f>BG71</f>
        <v>106588</v>
      </c>
      <c r="D618" s="180">
        <f>(D615/D612)*BG76</f>
        <v>0</v>
      </c>
      <c r="N618" s="198" t="s">
        <v>607</v>
      </c>
    </row>
    <row r="619" spans="1:14" ht="12.65" customHeight="1" x14ac:dyDescent="0.35">
      <c r="A619" s="195">
        <v>8610</v>
      </c>
      <c r="B619" s="199" t="s">
        <v>608</v>
      </c>
      <c r="C619" s="180">
        <f>BN71</f>
        <v>5097924</v>
      </c>
      <c r="D619" s="180">
        <f>(D615/D612)*BN76</f>
        <v>0</v>
      </c>
      <c r="N619" s="198" t="s">
        <v>609</v>
      </c>
    </row>
    <row r="620" spans="1:14" ht="12.65" customHeight="1" x14ac:dyDescent="0.35">
      <c r="A620" s="195">
        <v>8790</v>
      </c>
      <c r="B620" s="199" t="s">
        <v>610</v>
      </c>
      <c r="C620" s="180">
        <f>CC71</f>
        <v>2257493</v>
      </c>
      <c r="D620" s="180">
        <f>(D615/D612)*CC76</f>
        <v>776414.21644498187</v>
      </c>
      <c r="N620" s="198" t="s">
        <v>611</v>
      </c>
    </row>
    <row r="621" spans="1:14" ht="12.65" customHeight="1" x14ac:dyDescent="0.35">
      <c r="A621" s="195">
        <v>8630</v>
      </c>
      <c r="B621" s="199" t="s">
        <v>612</v>
      </c>
      <c r="C621" s="180">
        <f>BP71</f>
        <v>142557</v>
      </c>
      <c r="D621" s="180">
        <f>(D615/D612)*BP76</f>
        <v>0</v>
      </c>
      <c r="N621" s="198" t="s">
        <v>613</v>
      </c>
    </row>
    <row r="622" spans="1:14" ht="12.65" customHeight="1" x14ac:dyDescent="0.35">
      <c r="A622" s="195">
        <v>8770</v>
      </c>
      <c r="B622" s="197" t="s">
        <v>614</v>
      </c>
      <c r="C622" s="180">
        <f>CB71</f>
        <v>0</v>
      </c>
      <c r="D622" s="180">
        <f>(D615/D612)*CB76</f>
        <v>0</v>
      </c>
      <c r="N622" s="198" t="s">
        <v>615</v>
      </c>
    </row>
    <row r="623" spans="1:14" ht="12.65" customHeight="1" x14ac:dyDescent="0.35">
      <c r="A623" s="195">
        <v>8640</v>
      </c>
      <c r="B623" s="199" t="s">
        <v>616</v>
      </c>
      <c r="C623" s="180">
        <f>BQ71</f>
        <v>0</v>
      </c>
      <c r="D623" s="180">
        <f>(D615/D612)*BQ76</f>
        <v>0</v>
      </c>
      <c r="E623" s="180">
        <f>SUM(C616:D623)</f>
        <v>8689670.2164449822</v>
      </c>
      <c r="N623" s="198" t="s">
        <v>617</v>
      </c>
    </row>
    <row r="624" spans="1:14" ht="12.65" customHeight="1" x14ac:dyDescent="0.35">
      <c r="A624" s="195">
        <v>8420</v>
      </c>
      <c r="B624" s="199" t="s">
        <v>139</v>
      </c>
      <c r="C624" s="180">
        <f>BD71</f>
        <v>302873</v>
      </c>
      <c r="D624" s="180">
        <f>(D615/D612)*BD76</f>
        <v>0</v>
      </c>
      <c r="E624" s="180">
        <f>(E623/E612)*SUM(C624:D624)</f>
        <v>58419.072630751296</v>
      </c>
      <c r="F624" s="180">
        <f>SUM(C624:E624)</f>
        <v>361292.0726307513</v>
      </c>
      <c r="N624" s="198" t="s">
        <v>618</v>
      </c>
    </row>
    <row r="625" spans="1:14" ht="12.65" customHeight="1" x14ac:dyDescent="0.35">
      <c r="A625" s="195">
        <v>8320</v>
      </c>
      <c r="B625" s="199" t="s">
        <v>135</v>
      </c>
      <c r="C625" s="180">
        <f>AY71</f>
        <v>1384580</v>
      </c>
      <c r="D625" s="180">
        <f>(D615/D612)*AY76</f>
        <v>0</v>
      </c>
      <c r="E625" s="180">
        <f>(E623/E612)*SUM(C625:D625)</f>
        <v>267062.03452630521</v>
      </c>
      <c r="F625" s="180">
        <f>(F624/F612)*AY64</f>
        <v>20203.356013465625</v>
      </c>
      <c r="G625" s="180">
        <f>SUM(C625:F625)</f>
        <v>1671845.3905397709</v>
      </c>
      <c r="N625" s="198" t="s">
        <v>619</v>
      </c>
    </row>
    <row r="626" spans="1:14" ht="12.65" customHeight="1" x14ac:dyDescent="0.35">
      <c r="A626" s="195">
        <v>8650</v>
      </c>
      <c r="B626" s="199" t="s">
        <v>152</v>
      </c>
      <c r="C626" s="180">
        <f>BR71</f>
        <v>422515</v>
      </c>
      <c r="D626" s="180">
        <f>(D615/D612)*BR76</f>
        <v>0</v>
      </c>
      <c r="E626" s="180">
        <f>(E623/E612)*SUM(C626:D626)</f>
        <v>81495.988327060797</v>
      </c>
      <c r="F626" s="180">
        <f>(F624/F612)*BR64</f>
        <v>218.09293832200777</v>
      </c>
      <c r="G626" s="180">
        <f>(G625/G612)*BR77</f>
        <v>0</v>
      </c>
      <c r="N626" s="198" t="s">
        <v>620</v>
      </c>
    </row>
    <row r="627" spans="1:14" ht="12.65" customHeight="1" x14ac:dyDescent="0.35">
      <c r="A627" s="195">
        <v>8620</v>
      </c>
      <c r="B627" s="197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8" t="s">
        <v>622</v>
      </c>
    </row>
    <row r="628" spans="1:14" ht="12.65" customHeight="1" x14ac:dyDescent="0.35">
      <c r="A628" s="195">
        <v>8330</v>
      </c>
      <c r="B628" s="199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504229.08126538282</v>
      </c>
      <c r="N628" s="198" t="s">
        <v>623</v>
      </c>
    </row>
    <row r="629" spans="1:14" ht="12.65" customHeight="1" x14ac:dyDescent="0.35">
      <c r="A629" s="195">
        <v>8460</v>
      </c>
      <c r="B629" s="199" t="s">
        <v>141</v>
      </c>
      <c r="C629" s="180">
        <f>BF71</f>
        <v>1057129</v>
      </c>
      <c r="D629" s="180">
        <f>(D615/D612)*BF76</f>
        <v>0</v>
      </c>
      <c r="E629" s="180">
        <f>(E623/E612)*SUM(C629:D629)</f>
        <v>203902.28191708567</v>
      </c>
      <c r="F629" s="180">
        <f>(F624/F612)*BF64</f>
        <v>4138.9428737105409</v>
      </c>
      <c r="G629" s="180">
        <f>(G625/G612)*BF77</f>
        <v>0</v>
      </c>
      <c r="H629" s="180">
        <f>(H628/H612)*BF60</f>
        <v>36539.606869094707</v>
      </c>
      <c r="I629" s="180">
        <f>SUM(C629:H629)</f>
        <v>1301709.8316598909</v>
      </c>
      <c r="N629" s="198" t="s">
        <v>624</v>
      </c>
    </row>
    <row r="630" spans="1:14" ht="12.65" customHeight="1" x14ac:dyDescent="0.35">
      <c r="A630" s="195">
        <v>8350</v>
      </c>
      <c r="B630" s="199" t="s">
        <v>625</v>
      </c>
      <c r="C630" s="180">
        <f>BA71</f>
        <v>252102</v>
      </c>
      <c r="D630" s="180">
        <f>(D615/D612)*BA76</f>
        <v>0</v>
      </c>
      <c r="E630" s="180">
        <f>(E623/E612)*SUM(C630:D630)</f>
        <v>48626.20652338658</v>
      </c>
      <c r="F630" s="180">
        <f>(F624/F612)*BA64</f>
        <v>26.12875299945318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300754.33527638606</v>
      </c>
      <c r="N630" s="198" t="s">
        <v>626</v>
      </c>
    </row>
    <row r="631" spans="1:14" ht="12.65" customHeight="1" x14ac:dyDescent="0.35">
      <c r="A631" s="195">
        <v>8200</v>
      </c>
      <c r="B631" s="199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8" t="s">
        <v>628</v>
      </c>
    </row>
    <row r="632" spans="1:14" ht="12.65" customHeight="1" x14ac:dyDescent="0.35">
      <c r="A632" s="195">
        <v>8360</v>
      </c>
      <c r="B632" s="199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8" t="s">
        <v>630</v>
      </c>
    </row>
    <row r="633" spans="1:14" ht="12.65" customHeight="1" x14ac:dyDescent="0.35">
      <c r="A633" s="195">
        <v>8370</v>
      </c>
      <c r="B633" s="199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8" t="s">
        <v>632</v>
      </c>
    </row>
    <row r="634" spans="1:14" ht="12.65" customHeight="1" x14ac:dyDescent="0.35">
      <c r="A634" s="195">
        <v>8490</v>
      </c>
      <c r="B634" s="199" t="s">
        <v>633</v>
      </c>
      <c r="C634" s="180">
        <f>BI71</f>
        <v>277209</v>
      </c>
      <c r="D634" s="180">
        <f>(D615/D612)*BI76</f>
        <v>0</v>
      </c>
      <c r="E634" s="180">
        <f>(E623/E612)*SUM(C634:D634)</f>
        <v>53468.921643388276</v>
      </c>
      <c r="F634" s="180">
        <f>(F624/F612)*BI64</f>
        <v>0</v>
      </c>
      <c r="G634" s="180">
        <f>(G625/G612)*BI77</f>
        <v>0</v>
      </c>
      <c r="H634" s="180">
        <f>(H628/H612)*BI60</f>
        <v>2164.8241053503148</v>
      </c>
      <c r="I634" s="180">
        <f>(I629/I612)*BI78</f>
        <v>0</v>
      </c>
      <c r="J634" s="180">
        <f>(J630/J612)*BI79</f>
        <v>0</v>
      </c>
      <c r="N634" s="198" t="s">
        <v>634</v>
      </c>
    </row>
    <row r="635" spans="1:14" ht="12.65" customHeight="1" x14ac:dyDescent="0.35">
      <c r="A635" s="195">
        <v>8530</v>
      </c>
      <c r="B635" s="199" t="s">
        <v>635</v>
      </c>
      <c r="C635" s="180">
        <f>BK71</f>
        <v>790764</v>
      </c>
      <c r="D635" s="180">
        <f>(D615/D612)*BK76</f>
        <v>0</v>
      </c>
      <c r="E635" s="180">
        <f>(E623/E612)*SUM(C635:D635)</f>
        <v>152524.98423360096</v>
      </c>
      <c r="F635" s="180">
        <f>(F624/F612)*BK64</f>
        <v>134.14173193025559</v>
      </c>
      <c r="G635" s="180">
        <f>(G625/G612)*BK77</f>
        <v>0</v>
      </c>
      <c r="H635" s="180">
        <f>(H628/H612)*BK60</f>
        <v>17384.193573267679</v>
      </c>
      <c r="I635" s="180">
        <f>(I629/I612)*BK78</f>
        <v>0</v>
      </c>
      <c r="J635" s="180">
        <f>(J630/J612)*BK79</f>
        <v>0</v>
      </c>
      <c r="N635" s="198" t="s">
        <v>636</v>
      </c>
    </row>
    <row r="636" spans="1:14" ht="12.65" customHeight="1" x14ac:dyDescent="0.35">
      <c r="A636" s="195">
        <v>8480</v>
      </c>
      <c r="B636" s="199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8" t="s">
        <v>638</v>
      </c>
    </row>
    <row r="637" spans="1:14" ht="12.65" customHeight="1" x14ac:dyDescent="0.35">
      <c r="A637" s="195">
        <v>8560</v>
      </c>
      <c r="B637" s="199" t="s">
        <v>147</v>
      </c>
      <c r="C637" s="180">
        <f>BL71</f>
        <v>826754</v>
      </c>
      <c r="D637" s="180">
        <f>(D615/D612)*BL76</f>
        <v>0</v>
      </c>
      <c r="E637" s="180">
        <f>(E623/E612)*SUM(C637:D637)</f>
        <v>159466.84575305213</v>
      </c>
      <c r="F637" s="180">
        <f>(F624/F612)*BL64</f>
        <v>477.89648234496821</v>
      </c>
      <c r="G637" s="180">
        <f>(G625/G612)*BL77</f>
        <v>0</v>
      </c>
      <c r="H637" s="180">
        <f>(H628/H612)*BL60</f>
        <v>30854.210228780747</v>
      </c>
      <c r="I637" s="180">
        <f>(I629/I612)*BL78</f>
        <v>0</v>
      </c>
      <c r="J637" s="180">
        <f>(J630/J612)*BL79</f>
        <v>0</v>
      </c>
      <c r="N637" s="198" t="s">
        <v>639</v>
      </c>
    </row>
    <row r="638" spans="1:14" ht="12.65" customHeight="1" x14ac:dyDescent="0.35">
      <c r="A638" s="195">
        <v>8590</v>
      </c>
      <c r="B638" s="199" t="s">
        <v>640</v>
      </c>
      <c r="C638" s="180">
        <f>BM71</f>
        <v>1640933</v>
      </c>
      <c r="D638" s="180">
        <f>(D615/D612)*BM76</f>
        <v>0</v>
      </c>
      <c r="E638" s="180">
        <f>(E623/E612)*SUM(C638:D638)</f>
        <v>316508.18696019991</v>
      </c>
      <c r="F638" s="180">
        <f>(F624/F612)*BM64</f>
        <v>1989.5481923863549</v>
      </c>
      <c r="G638" s="180">
        <f>(G625/G612)*BM77</f>
        <v>0</v>
      </c>
      <c r="H638" s="180">
        <f>(H628/H612)*BM60</f>
        <v>11961.199854814364</v>
      </c>
      <c r="I638" s="180">
        <f>(I629/I612)*BM78</f>
        <v>0</v>
      </c>
      <c r="J638" s="180">
        <f>(J630/J612)*BM79</f>
        <v>0</v>
      </c>
      <c r="N638" s="198" t="s">
        <v>641</v>
      </c>
    </row>
    <row r="639" spans="1:14" ht="12.65" customHeight="1" x14ac:dyDescent="0.35">
      <c r="A639" s="195">
        <v>8660</v>
      </c>
      <c r="B639" s="199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8" t="s">
        <v>643</v>
      </c>
    </row>
    <row r="640" spans="1:14" ht="12.65" customHeight="1" x14ac:dyDescent="0.35">
      <c r="A640" s="195">
        <v>8670</v>
      </c>
      <c r="B640" s="199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8" t="s">
        <v>645</v>
      </c>
    </row>
    <row r="641" spans="1:14" ht="12.65" customHeight="1" x14ac:dyDescent="0.35">
      <c r="A641" s="195">
        <v>8680</v>
      </c>
      <c r="B641" s="199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8" t="s">
        <v>647</v>
      </c>
    </row>
    <row r="642" spans="1:14" ht="12.65" customHeight="1" x14ac:dyDescent="0.35">
      <c r="A642" s="195">
        <v>8690</v>
      </c>
      <c r="B642" s="199" t="s">
        <v>648</v>
      </c>
      <c r="C642" s="180">
        <f>BV71</f>
        <v>824327</v>
      </c>
      <c r="D642" s="180">
        <f>(D615/D612)*BV76</f>
        <v>0</v>
      </c>
      <c r="E642" s="180">
        <f>(E623/E612)*SUM(C642:D642)</f>
        <v>158998.71855361597</v>
      </c>
      <c r="F642" s="180">
        <f>(F624/F612)*BV64</f>
        <v>143.2576457556226</v>
      </c>
      <c r="G642" s="180">
        <f>(G625/G612)*BV77</f>
        <v>0</v>
      </c>
      <c r="H642" s="180">
        <f>(H628/H612)*BV60</f>
        <v>20795.431557456053</v>
      </c>
      <c r="I642" s="180">
        <f>(I629/I612)*BV78</f>
        <v>0</v>
      </c>
      <c r="J642" s="180">
        <f>(J630/J612)*BV79</f>
        <v>0</v>
      </c>
      <c r="N642" s="198" t="s">
        <v>649</v>
      </c>
    </row>
    <row r="643" spans="1:14" ht="12.65" customHeight="1" x14ac:dyDescent="0.35">
      <c r="A643" s="195">
        <v>8700</v>
      </c>
      <c r="B643" s="199" t="s">
        <v>650</v>
      </c>
      <c r="C643" s="180">
        <f>BW71</f>
        <v>110655</v>
      </c>
      <c r="D643" s="180">
        <f>(D615/D612)*BW76</f>
        <v>0</v>
      </c>
      <c r="E643" s="180">
        <f>(E623/E612)*SUM(C643:D643)</f>
        <v>21343.475588632151</v>
      </c>
      <c r="F643" s="180">
        <f>(F624/F612)*BW64</f>
        <v>74.411296574507631</v>
      </c>
      <c r="G643" s="180">
        <f>(G625/G612)*BW77</f>
        <v>0</v>
      </c>
      <c r="H643" s="180">
        <f>(H628/H612)*BW60</f>
        <v>2383.4932069008519</v>
      </c>
      <c r="I643" s="180">
        <f>(I629/I612)*BW78</f>
        <v>0</v>
      </c>
      <c r="J643" s="180">
        <f>(J630/J612)*BW79</f>
        <v>0</v>
      </c>
      <c r="N643" s="198" t="s">
        <v>651</v>
      </c>
    </row>
    <row r="644" spans="1:14" ht="12.65" customHeight="1" x14ac:dyDescent="0.35">
      <c r="A644" s="195">
        <v>8710</v>
      </c>
      <c r="B644" s="199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5421315.7406080514</v>
      </c>
      <c r="N644" s="198" t="s">
        <v>653</v>
      </c>
    </row>
    <row r="645" spans="1:14" ht="12.65" customHeight="1" x14ac:dyDescent="0.35">
      <c r="A645" s="195">
        <v>8720</v>
      </c>
      <c r="B645" s="199" t="s">
        <v>654</v>
      </c>
      <c r="C645" s="180">
        <f>BY71</f>
        <v>444236</v>
      </c>
      <c r="D645" s="180">
        <f>(D615/D612)*BY76</f>
        <v>0</v>
      </c>
      <c r="E645" s="180">
        <f>(E623/E612)*SUM(C645:D645)</f>
        <v>85685.601388022158</v>
      </c>
      <c r="F645" s="180">
        <f>(F624/F612)*BY64</f>
        <v>0</v>
      </c>
      <c r="G645" s="180">
        <f>(G625/G612)*BY77</f>
        <v>0</v>
      </c>
      <c r="H645" s="180">
        <f>(H628/H612)*BY60</f>
        <v>5991.5333824847094</v>
      </c>
      <c r="I645" s="180">
        <f>(I629/I612)*BY78</f>
        <v>0</v>
      </c>
      <c r="J645" s="180">
        <f>(J630/J612)*BY79</f>
        <v>0</v>
      </c>
      <c r="K645" s="180">
        <v>0</v>
      </c>
      <c r="N645" s="198" t="s">
        <v>655</v>
      </c>
    </row>
    <row r="646" spans="1:14" ht="12.65" customHeight="1" x14ac:dyDescent="0.35">
      <c r="A646" s="195">
        <v>8730</v>
      </c>
      <c r="B646" s="199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8" t="s">
        <v>657</v>
      </c>
    </row>
    <row r="647" spans="1:14" ht="12.65" customHeight="1" x14ac:dyDescent="0.35">
      <c r="A647" s="195">
        <v>8740</v>
      </c>
      <c r="B647" s="199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535913.13477050688</v>
      </c>
      <c r="N647" s="198" t="s">
        <v>659</v>
      </c>
    </row>
    <row r="648" spans="1:14" ht="12.65" customHeight="1" x14ac:dyDescent="0.35">
      <c r="A648" s="195"/>
      <c r="B648" s="195"/>
      <c r="C648" s="180">
        <f>SUM(C614:C647)</f>
        <v>19222748</v>
      </c>
      <c r="L648" s="264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7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7" t="s">
        <v>599</v>
      </c>
      <c r="M667" s="181" t="s">
        <v>662</v>
      </c>
    </row>
    <row r="668" spans="1:14" ht="12.65" customHeight="1" x14ac:dyDescent="0.35">
      <c r="A668" s="195">
        <v>6010</v>
      </c>
      <c r="B668" s="197" t="s">
        <v>283</v>
      </c>
      <c r="C668" s="180">
        <f>C71</f>
        <v>1454120</v>
      </c>
      <c r="D668" s="180">
        <f>(D615/D612)*C76</f>
        <v>65960.429262394187</v>
      </c>
      <c r="E668" s="180">
        <f>(E623/E612)*SUM(C668:D668)</f>
        <v>293197.77266928187</v>
      </c>
      <c r="F668" s="180">
        <f>(F624/F612)*C64</f>
        <v>2034.1737705314656</v>
      </c>
      <c r="G668" s="180">
        <f>(G625/G612)*C77</f>
        <v>96699.003473919554</v>
      </c>
      <c r="H668" s="180">
        <f>(H628/H612)*C60</f>
        <v>17515.395034198002</v>
      </c>
      <c r="I668" s="180">
        <f>(I629/I612)*C78</f>
        <v>39016.84629471886</v>
      </c>
      <c r="J668" s="180">
        <f>(J630/J612)*C79</f>
        <v>13717.69756387091</v>
      </c>
      <c r="K668" s="180">
        <f>(K644/K612)*C75</f>
        <v>84706.089207896206</v>
      </c>
      <c r="L668" s="180">
        <f>(L647/L612)*C80</f>
        <v>56115.822273568359</v>
      </c>
      <c r="M668" s="180">
        <f t="shared" ref="M668:M713" si="20">ROUND(SUM(D668:L668),0)</f>
        <v>668963</v>
      </c>
      <c r="N668" s="197" t="s">
        <v>663</v>
      </c>
    </row>
    <row r="669" spans="1:14" ht="12.65" customHeight="1" x14ac:dyDescent="0.35">
      <c r="A669" s="195">
        <v>6030</v>
      </c>
      <c r="B669" s="197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7" t="s">
        <v>664</v>
      </c>
    </row>
    <row r="670" spans="1:14" ht="12.65" customHeight="1" x14ac:dyDescent="0.35">
      <c r="A670" s="195">
        <v>6070</v>
      </c>
      <c r="B670" s="197" t="s">
        <v>665</v>
      </c>
      <c r="C670" s="180">
        <f>E71</f>
        <v>3080169</v>
      </c>
      <c r="D670" s="180">
        <f>(D615/D612)*E76</f>
        <v>276584.07270253927</v>
      </c>
      <c r="E670" s="180">
        <f>(E623/E612)*SUM(C670:D670)</f>
        <v>647460.82205316168</v>
      </c>
      <c r="F670" s="180">
        <f>(F624/F612)*E64</f>
        <v>6524.8743190034074</v>
      </c>
      <c r="G670" s="180">
        <f>(G625/G612)*E77</f>
        <v>462937.34509453783</v>
      </c>
      <c r="H670" s="180">
        <f>(H628/H612)*E60</f>
        <v>56591.563481278929</v>
      </c>
      <c r="I670" s="180">
        <f>(I629/I612)*E78</f>
        <v>163706.00000049025</v>
      </c>
      <c r="J670" s="180">
        <f>(J630/J612)*E79</f>
        <v>96012.828088578099</v>
      </c>
      <c r="K670" s="180">
        <f>(K644/K612)*E75</f>
        <v>228935.00663197736</v>
      </c>
      <c r="L670" s="180">
        <f>(L647/L612)*E80</f>
        <v>155549.12138989122</v>
      </c>
      <c r="M670" s="180">
        <f t="shared" si="20"/>
        <v>2094302</v>
      </c>
      <c r="N670" s="197" t="s">
        <v>666</v>
      </c>
    </row>
    <row r="671" spans="1:14" ht="12.65" customHeight="1" x14ac:dyDescent="0.35">
      <c r="A671" s="195">
        <v>6100</v>
      </c>
      <c r="B671" s="197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7" t="s">
        <v>668</v>
      </c>
    </row>
    <row r="672" spans="1:14" ht="12.65" customHeight="1" x14ac:dyDescent="0.35">
      <c r="A672" s="195">
        <v>6120</v>
      </c>
      <c r="B672" s="197" t="s">
        <v>669</v>
      </c>
      <c r="C672" s="180">
        <f>G71</f>
        <v>210593</v>
      </c>
      <c r="D672" s="180">
        <f>(D615/D612)*G76</f>
        <v>0</v>
      </c>
      <c r="E672" s="180">
        <f>(E623/E612)*SUM(C672:D672)</f>
        <v>40619.823366651399</v>
      </c>
      <c r="F672" s="180">
        <f>(F624/F612)*G64</f>
        <v>172.40737019720325</v>
      </c>
      <c r="G672" s="180">
        <f>(G625/G612)*G77</f>
        <v>0</v>
      </c>
      <c r="H672" s="180">
        <f>(H628/H612)*G60</f>
        <v>3083.2343318625699</v>
      </c>
      <c r="I672" s="180">
        <f>(I629/I612)*G78</f>
        <v>0</v>
      </c>
      <c r="J672" s="180">
        <f>(J630/J612)*G79</f>
        <v>0</v>
      </c>
      <c r="K672" s="180">
        <f>(K644/K612)*G75</f>
        <v>34503.944056070883</v>
      </c>
      <c r="L672" s="180">
        <f>(L647/L612)*G80</f>
        <v>0</v>
      </c>
      <c r="M672" s="180">
        <f t="shared" si="20"/>
        <v>78379</v>
      </c>
      <c r="N672" s="197" t="s">
        <v>670</v>
      </c>
    </row>
    <row r="673" spans="1:14" ht="12.65" customHeight="1" x14ac:dyDescent="0.35">
      <c r="A673" s="195">
        <v>6140</v>
      </c>
      <c r="B673" s="197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7" t="s">
        <v>672</v>
      </c>
    </row>
    <row r="674" spans="1:14" ht="12.65" customHeight="1" x14ac:dyDescent="0.35">
      <c r="A674" s="195">
        <v>6150</v>
      </c>
      <c r="B674" s="197" t="s">
        <v>673</v>
      </c>
      <c r="C674" s="180">
        <f>I71</f>
        <v>4337541</v>
      </c>
      <c r="D674" s="180">
        <f>(D615/D612)*I76</f>
        <v>467359.62333736394</v>
      </c>
      <c r="E674" s="180">
        <f>(E623/E612)*SUM(C674:D674)</f>
        <v>926783.96059829579</v>
      </c>
      <c r="F674" s="180">
        <f>(F624/F612)*I64</f>
        <v>8282.2847058368116</v>
      </c>
      <c r="G674" s="180">
        <f>(G625/G612)*I77</f>
        <v>1069632.2515248624</v>
      </c>
      <c r="H674" s="180">
        <f>(H628/H612)*I60</f>
        <v>70170.914687567274</v>
      </c>
      <c r="I674" s="180">
        <f>(I629/I612)*I78</f>
        <v>276637.67795142316</v>
      </c>
      <c r="J674" s="180">
        <f>(J630/J612)*I79</f>
        <v>14625.57781968467</v>
      </c>
      <c r="K674" s="180">
        <f>(K644/K612)*I75</f>
        <v>286442.49952264334</v>
      </c>
      <c r="L674" s="180">
        <f>(L647/L612)*I80</f>
        <v>90713.547284339817</v>
      </c>
      <c r="M674" s="180">
        <f t="shared" si="20"/>
        <v>3210648</v>
      </c>
      <c r="N674" s="197" t="s">
        <v>674</v>
      </c>
    </row>
    <row r="675" spans="1:14" ht="12.65" customHeight="1" x14ac:dyDescent="0.35">
      <c r="A675" s="195">
        <v>6170</v>
      </c>
      <c r="B675" s="197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7" t="s">
        <v>675</v>
      </c>
    </row>
    <row r="676" spans="1:14" ht="12.65" customHeight="1" x14ac:dyDescent="0.35">
      <c r="A676" s="195">
        <v>6200</v>
      </c>
      <c r="B676" s="197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7" t="s">
        <v>676</v>
      </c>
    </row>
    <row r="677" spans="1:14" ht="12.65" customHeight="1" x14ac:dyDescent="0.35">
      <c r="A677" s="195">
        <v>6210</v>
      </c>
      <c r="B677" s="197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7" t="s">
        <v>677</v>
      </c>
    </row>
    <row r="678" spans="1:14" ht="12.65" customHeight="1" x14ac:dyDescent="0.35">
      <c r="A678" s="195">
        <v>6330</v>
      </c>
      <c r="B678" s="197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7" t="s">
        <v>679</v>
      </c>
    </row>
    <row r="679" spans="1:14" ht="12.65" customHeight="1" x14ac:dyDescent="0.35">
      <c r="A679" s="195">
        <v>6400</v>
      </c>
      <c r="B679" s="197" t="s">
        <v>680</v>
      </c>
      <c r="C679" s="180">
        <f>N71</f>
        <v>925352</v>
      </c>
      <c r="D679" s="180">
        <f>(D615/D612)*N76</f>
        <v>0</v>
      </c>
      <c r="E679" s="180">
        <f>(E623/E612)*SUM(C679:D679)</f>
        <v>178484.73022359528</v>
      </c>
      <c r="F679" s="180">
        <f>(F624/F612)*N64</f>
        <v>33358.62665395096</v>
      </c>
      <c r="G679" s="180">
        <f>(G625/G612)*N77</f>
        <v>0</v>
      </c>
      <c r="H679" s="180">
        <f>(H628/H612)*N60</f>
        <v>6188.3355738801929</v>
      </c>
      <c r="I679" s="180">
        <f>(I629/I612)*N78</f>
        <v>0</v>
      </c>
      <c r="J679" s="180">
        <f>(J630/J612)*N79</f>
        <v>0</v>
      </c>
      <c r="K679" s="180">
        <f>(K644/K612)*N75</f>
        <v>41128.241013087318</v>
      </c>
      <c r="L679" s="180">
        <f>(L647/L612)*N80</f>
        <v>0</v>
      </c>
      <c r="M679" s="180">
        <f t="shared" si="20"/>
        <v>259160</v>
      </c>
      <c r="N679" s="197" t="s">
        <v>681</v>
      </c>
    </row>
    <row r="680" spans="1:14" ht="12.65" customHeight="1" x14ac:dyDescent="0.35">
      <c r="A680" s="195">
        <v>7010</v>
      </c>
      <c r="B680" s="197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7" t="s">
        <v>683</v>
      </c>
    </row>
    <row r="681" spans="1:14" ht="12.65" customHeight="1" x14ac:dyDescent="0.35">
      <c r="A681" s="195">
        <v>7020</v>
      </c>
      <c r="B681" s="197" t="s">
        <v>684</v>
      </c>
      <c r="C681" s="180">
        <f>P71</f>
        <v>4511514</v>
      </c>
      <c r="D681" s="180">
        <f>(D615/D612)*P76</f>
        <v>162562.47611850061</v>
      </c>
      <c r="E681" s="180">
        <f>(E623/E612)*SUM(C681:D681)</f>
        <v>901550.19806999224</v>
      </c>
      <c r="F681" s="180">
        <f>(F624/F612)*P64</f>
        <v>156857.79419058544</v>
      </c>
      <c r="G681" s="180">
        <f>(G625/G612)*P77</f>
        <v>0</v>
      </c>
      <c r="H681" s="180">
        <f>(H628/H612)*P60</f>
        <v>23681.863697923138</v>
      </c>
      <c r="I681" s="180">
        <f>(I629/I612)*P78</f>
        <v>96194.124885923942</v>
      </c>
      <c r="J681" s="180">
        <f>(J630/J612)*P79</f>
        <v>68585.724104724984</v>
      </c>
      <c r="K681" s="180">
        <f>(K644/K612)*P75</f>
        <v>890293.98016892734</v>
      </c>
      <c r="L681" s="180">
        <f>(L647/L612)*P80</f>
        <v>25245.087965176739</v>
      </c>
      <c r="M681" s="180">
        <f t="shared" si="20"/>
        <v>2324971</v>
      </c>
      <c r="N681" s="197" t="s">
        <v>685</v>
      </c>
    </row>
    <row r="682" spans="1:14" ht="12.65" customHeight="1" x14ac:dyDescent="0.35">
      <c r="A682" s="195">
        <v>7030</v>
      </c>
      <c r="B682" s="197" t="s">
        <v>686</v>
      </c>
      <c r="C682" s="180">
        <f>Q71</f>
        <v>496924</v>
      </c>
      <c r="D682" s="180">
        <f>(D615/D612)*Q76</f>
        <v>17989.207980652962</v>
      </c>
      <c r="E682" s="180">
        <f>(E623/E612)*SUM(C682:D682)</f>
        <v>99318.037908809682</v>
      </c>
      <c r="F682" s="180">
        <f>(F624/F612)*Q64</f>
        <v>167.84941328451973</v>
      </c>
      <c r="G682" s="180">
        <f>(G625/G612)*Q77</f>
        <v>0</v>
      </c>
      <c r="H682" s="180">
        <f>(H628/H612)*Q60</f>
        <v>4985.6555153522395</v>
      </c>
      <c r="I682" s="180">
        <f>(I629/I612)*Q78</f>
        <v>10671.594236079534</v>
      </c>
      <c r="J682" s="180">
        <f>(J630/J612)*Q79</f>
        <v>0</v>
      </c>
      <c r="K682" s="180">
        <f>(K644/K612)*Q75</f>
        <v>92433.043511731477</v>
      </c>
      <c r="L682" s="180">
        <f>(L647/L612)*Q80</f>
        <v>16033.092078162384</v>
      </c>
      <c r="M682" s="180">
        <f t="shared" si="20"/>
        <v>241598</v>
      </c>
      <c r="N682" s="197" t="s">
        <v>687</v>
      </c>
    </row>
    <row r="683" spans="1:14" ht="12.65" customHeight="1" x14ac:dyDescent="0.35">
      <c r="A683" s="195">
        <v>7040</v>
      </c>
      <c r="B683" s="197" t="s">
        <v>107</v>
      </c>
      <c r="C683" s="180">
        <f>R71</f>
        <v>480227</v>
      </c>
      <c r="D683" s="180">
        <f>(D615/D612)*R76</f>
        <v>5456.7264207980652</v>
      </c>
      <c r="E683" s="180">
        <f>(E623/E612)*SUM(C683:D683)</f>
        <v>93680.165908980154</v>
      </c>
      <c r="F683" s="180">
        <f>(F624/F612)*R64</f>
        <v>2810.3514331622805</v>
      </c>
      <c r="G683" s="180">
        <f>(G625/G612)*R77</f>
        <v>0</v>
      </c>
      <c r="H683" s="180">
        <f>(H628/H612)*R60</f>
        <v>0</v>
      </c>
      <c r="I683" s="180">
        <f>(I629/I612)*R78</f>
        <v>3220.2003659748771</v>
      </c>
      <c r="J683" s="180">
        <f>(J630/J612)*R79</f>
        <v>0</v>
      </c>
      <c r="K683" s="180">
        <f>(K644/K612)*R75</f>
        <v>81032.37774587133</v>
      </c>
      <c r="L683" s="180">
        <f>(L647/L612)*R80</f>
        <v>0</v>
      </c>
      <c r="M683" s="180">
        <f t="shared" si="20"/>
        <v>186200</v>
      </c>
      <c r="N683" s="197" t="s">
        <v>688</v>
      </c>
    </row>
    <row r="684" spans="1:14" ht="12.65" customHeight="1" x14ac:dyDescent="0.35">
      <c r="A684" s="195">
        <v>7050</v>
      </c>
      <c r="B684" s="197" t="s">
        <v>689</v>
      </c>
      <c r="C684" s="180">
        <f>S71</f>
        <v>195193</v>
      </c>
      <c r="D684" s="180">
        <f>(D615/D612)*S76</f>
        <v>0</v>
      </c>
      <c r="E684" s="180">
        <f>(E623/E612)*SUM(C684:D684)</f>
        <v>37649.424161329131</v>
      </c>
      <c r="F684" s="180">
        <f>(F624/F612)*S64</f>
        <v>2652.8899216787604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40302</v>
      </c>
      <c r="N684" s="197" t="s">
        <v>690</v>
      </c>
    </row>
    <row r="685" spans="1:14" ht="12.65" customHeight="1" x14ac:dyDescent="0.35">
      <c r="A685" s="195">
        <v>7060</v>
      </c>
      <c r="B685" s="197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7" t="s">
        <v>692</v>
      </c>
    </row>
    <row r="686" spans="1:14" ht="12.65" customHeight="1" x14ac:dyDescent="0.35">
      <c r="A686" s="195">
        <v>7070</v>
      </c>
      <c r="B686" s="197" t="s">
        <v>109</v>
      </c>
      <c r="C686" s="180">
        <f>U71</f>
        <v>2642555</v>
      </c>
      <c r="D686" s="180">
        <f>(D615/D612)*U76</f>
        <v>38376.977025392982</v>
      </c>
      <c r="E686" s="180">
        <f>(E623/E612)*SUM(C686:D686)</f>
        <v>517106.37753761513</v>
      </c>
      <c r="F686" s="180">
        <f>(F624/F612)*U64</f>
        <v>34667.608279874883</v>
      </c>
      <c r="G686" s="180">
        <f>(G625/G612)*U77</f>
        <v>0</v>
      </c>
      <c r="H686" s="180">
        <f>(H628/H612)*U60</f>
        <v>23791.198248698409</v>
      </c>
      <c r="I686" s="180">
        <f>(I629/I612)*U78</f>
        <v>22728.623513334307</v>
      </c>
      <c r="J686" s="180">
        <f>(J630/J612)*U79</f>
        <v>0</v>
      </c>
      <c r="K686" s="180">
        <f>(K644/K612)*U75</f>
        <v>430559.72151045839</v>
      </c>
      <c r="L686" s="180">
        <f>(L647/L612)*U80</f>
        <v>0</v>
      </c>
      <c r="M686" s="180">
        <f t="shared" si="20"/>
        <v>1067231</v>
      </c>
      <c r="N686" s="197" t="s">
        <v>693</v>
      </c>
    </row>
    <row r="687" spans="1:14" ht="12.65" customHeight="1" x14ac:dyDescent="0.35">
      <c r="A687" s="195">
        <v>7110</v>
      </c>
      <c r="B687" s="197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2689.6299490716028</v>
      </c>
      <c r="I687" s="180">
        <f>(I629/I612)*V78</f>
        <v>0</v>
      </c>
      <c r="J687" s="180">
        <f>(J630/J612)*V79</f>
        <v>0</v>
      </c>
      <c r="K687" s="180">
        <f>(K644/K612)*V75</f>
        <v>47839.951789790255</v>
      </c>
      <c r="L687" s="180">
        <f>(L647/L612)*V80</f>
        <v>0</v>
      </c>
      <c r="M687" s="180">
        <f t="shared" si="20"/>
        <v>50530</v>
      </c>
      <c r="N687" s="197" t="s">
        <v>695</v>
      </c>
    </row>
    <row r="688" spans="1:14" ht="12.65" customHeight="1" x14ac:dyDescent="0.35">
      <c r="A688" s="195">
        <v>7120</v>
      </c>
      <c r="B688" s="197" t="s">
        <v>696</v>
      </c>
      <c r="C688" s="180">
        <f>W71</f>
        <v>508215</v>
      </c>
      <c r="D688" s="180">
        <f>(D615/D612)*W76</f>
        <v>14391.366384522369</v>
      </c>
      <c r="E688" s="180">
        <f>(E623/E612)*SUM(C688:D688)</f>
        <v>100801.91788343772</v>
      </c>
      <c r="F688" s="180">
        <f>(F624/F612)*W64</f>
        <v>386.47234659637445</v>
      </c>
      <c r="G688" s="180">
        <f>(G625/G612)*W77</f>
        <v>0</v>
      </c>
      <c r="H688" s="180">
        <f>(H628/H612)*W60</f>
        <v>4417.1158513208438</v>
      </c>
      <c r="I688" s="180">
        <f>(I629/I612)*W78</f>
        <v>8499.8311985615946</v>
      </c>
      <c r="J688" s="180">
        <f>(J630/J612)*W79</f>
        <v>590.05307341320429</v>
      </c>
      <c r="K688" s="180">
        <f>(K644/K612)*W75</f>
        <v>144065.97806418553</v>
      </c>
      <c r="L688" s="180">
        <f>(L647/L612)*W80</f>
        <v>0</v>
      </c>
      <c r="M688" s="180">
        <f t="shared" si="20"/>
        <v>273153</v>
      </c>
      <c r="N688" s="197" t="s">
        <v>697</v>
      </c>
    </row>
    <row r="689" spans="1:14" ht="12.65" customHeight="1" x14ac:dyDescent="0.35">
      <c r="A689" s="195">
        <v>7130</v>
      </c>
      <c r="B689" s="197" t="s">
        <v>698</v>
      </c>
      <c r="C689" s="180">
        <f>X71</f>
        <v>956581</v>
      </c>
      <c r="D689" s="180">
        <f>(D615/D612)*X76</f>
        <v>12142.715386940748</v>
      </c>
      <c r="E689" s="180">
        <f>(E623/E612)*SUM(C689:D689)</f>
        <v>186850.39963390908</v>
      </c>
      <c r="F689" s="180">
        <f>(F624/F612)*X64</f>
        <v>2489.8634628018476</v>
      </c>
      <c r="G689" s="180">
        <f>(G625/G612)*X77</f>
        <v>0</v>
      </c>
      <c r="H689" s="180">
        <f>(H628/H612)*X60</f>
        <v>17187.391381872196</v>
      </c>
      <c r="I689" s="180">
        <f>(I629/I612)*X78</f>
        <v>7151.8403476883896</v>
      </c>
      <c r="J689" s="180">
        <f>(J630/J612)*X79</f>
        <v>0</v>
      </c>
      <c r="K689" s="180">
        <f>(K644/K612)*X75</f>
        <v>578117.16293526907</v>
      </c>
      <c r="L689" s="180">
        <f>(L647/L612)*X80</f>
        <v>0</v>
      </c>
      <c r="M689" s="180">
        <f t="shared" si="20"/>
        <v>803939</v>
      </c>
      <c r="N689" s="197" t="s">
        <v>699</v>
      </c>
    </row>
    <row r="690" spans="1:14" ht="12.65" customHeight="1" x14ac:dyDescent="0.35">
      <c r="A690" s="195">
        <v>7140</v>
      </c>
      <c r="B690" s="197" t="s">
        <v>1250</v>
      </c>
      <c r="C690" s="180">
        <f>Y71</f>
        <v>513097</v>
      </c>
      <c r="D690" s="180">
        <f>(D615/D612)*Y76</f>
        <v>76394.169891172904</v>
      </c>
      <c r="E690" s="180">
        <f>(E623/E612)*SUM(C690:D690)</f>
        <v>113702.86380449556</v>
      </c>
      <c r="F690" s="180">
        <f>(F624/F612)*Y64</f>
        <v>852.28494317283287</v>
      </c>
      <c r="G690" s="180">
        <f>(G625/G612)*Y77</f>
        <v>0</v>
      </c>
      <c r="H690" s="180">
        <f>(H628/H612)*Y60</f>
        <v>6494.4723160509448</v>
      </c>
      <c r="I690" s="180">
        <f>(I629/I612)*Y78</f>
        <v>45195.137694554382</v>
      </c>
      <c r="J690" s="180">
        <f>(J630/J612)*Y79</f>
        <v>590.05307341320429</v>
      </c>
      <c r="K690" s="180">
        <f>(K644/K612)*Y75</f>
        <v>150486.50369486609</v>
      </c>
      <c r="L690" s="180">
        <f>(L647/L612)*Y80</f>
        <v>0</v>
      </c>
      <c r="M690" s="180">
        <f t="shared" si="20"/>
        <v>393715</v>
      </c>
      <c r="N690" s="197" t="s">
        <v>700</v>
      </c>
    </row>
    <row r="691" spans="1:14" ht="12.65" customHeight="1" x14ac:dyDescent="0.35">
      <c r="A691" s="195">
        <v>7150</v>
      </c>
      <c r="B691" s="197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7" t="s">
        <v>702</v>
      </c>
    </row>
    <row r="692" spans="1:14" ht="12.65" customHeight="1" x14ac:dyDescent="0.35">
      <c r="A692" s="195">
        <v>7160</v>
      </c>
      <c r="B692" s="197" t="s">
        <v>703</v>
      </c>
      <c r="C692" s="180">
        <f>AA71</f>
        <v>116062</v>
      </c>
      <c r="D692" s="180">
        <f>(D615/D612)*AA76</f>
        <v>12802.319679564691</v>
      </c>
      <c r="E692" s="180">
        <f>(E623/E612)*SUM(C692:D692)</f>
        <v>24855.744985102152</v>
      </c>
      <c r="F692" s="180">
        <f>(F624/F612)*AA64</f>
        <v>253.54960314276676</v>
      </c>
      <c r="G692" s="180">
        <f>(G625/G612)*AA77</f>
        <v>0</v>
      </c>
      <c r="H692" s="180">
        <f>(H628/H612)*AA60</f>
        <v>1355.7484296133284</v>
      </c>
      <c r="I692" s="180">
        <f>(I629/I612)*AA78</f>
        <v>7563.7264410107582</v>
      </c>
      <c r="J692" s="180">
        <f>(J630/J612)*AA79</f>
        <v>0</v>
      </c>
      <c r="K692" s="180">
        <f>(K644/K612)*AA75</f>
        <v>7343.0328077721442</v>
      </c>
      <c r="L692" s="180">
        <f>(L647/L612)*AA80</f>
        <v>0</v>
      </c>
      <c r="M692" s="180">
        <f t="shared" si="20"/>
        <v>54174</v>
      </c>
      <c r="N692" s="197" t="s">
        <v>704</v>
      </c>
    </row>
    <row r="693" spans="1:14" ht="12.65" customHeight="1" x14ac:dyDescent="0.35">
      <c r="A693" s="195">
        <v>7170</v>
      </c>
      <c r="B693" s="197" t="s">
        <v>115</v>
      </c>
      <c r="C693" s="180">
        <f>AB71</f>
        <v>2212772</v>
      </c>
      <c r="D693" s="180">
        <f>(D615/D612)*AB76</f>
        <v>24315.412787182588</v>
      </c>
      <c r="E693" s="180">
        <f>(E623/E612)*SUM(C693:D693)</f>
        <v>431496.27747918747</v>
      </c>
      <c r="F693" s="180">
        <f>(F624/F612)*AB64</f>
        <v>52114.884347138555</v>
      </c>
      <c r="G693" s="180">
        <f>(G625/G612)*AB77</f>
        <v>0</v>
      </c>
      <c r="H693" s="180">
        <f>(H628/H612)*AB60</f>
        <v>15022.567276521881</v>
      </c>
      <c r="I693" s="180">
        <f>(I629/I612)*AB78</f>
        <v>14378.569075980846</v>
      </c>
      <c r="J693" s="180">
        <f>(J630/J612)*AB79</f>
        <v>0</v>
      </c>
      <c r="K693" s="180">
        <f>(K644/K612)*AB75</f>
        <v>345426.62550604023</v>
      </c>
      <c r="L693" s="180">
        <f>(L647/L612)*AB80</f>
        <v>0</v>
      </c>
      <c r="M693" s="180">
        <f t="shared" si="20"/>
        <v>882754</v>
      </c>
      <c r="N693" s="197" t="s">
        <v>705</v>
      </c>
    </row>
    <row r="694" spans="1:14" ht="12.65" customHeight="1" x14ac:dyDescent="0.35">
      <c r="A694" s="195">
        <v>7180</v>
      </c>
      <c r="B694" s="197" t="s">
        <v>706</v>
      </c>
      <c r="C694" s="180">
        <f>AC71</f>
        <v>582966</v>
      </c>
      <c r="D694" s="180">
        <f>(D615/D612)*AC76</f>
        <v>22936.240175332525</v>
      </c>
      <c r="E694" s="180">
        <f>(E623/E612)*SUM(C694:D694)</f>
        <v>116868.28134544073</v>
      </c>
      <c r="F694" s="180">
        <f>(F624/F612)*AC64</f>
        <v>1132.3872953069304</v>
      </c>
      <c r="G694" s="180">
        <f>(G625/G612)*AC77</f>
        <v>0</v>
      </c>
      <c r="H694" s="180">
        <f>(H628/H612)*AC60</f>
        <v>11173.991089232433</v>
      </c>
      <c r="I694" s="180">
        <f>(I629/I612)*AC78</f>
        <v>13554.79688933611</v>
      </c>
      <c r="J694" s="180">
        <f>(J630/J612)*AC79</f>
        <v>0</v>
      </c>
      <c r="K694" s="180">
        <f>(K644/K612)*AC75</f>
        <v>31643.336519476623</v>
      </c>
      <c r="L694" s="180">
        <f>(L647/L612)*AC80</f>
        <v>0</v>
      </c>
      <c r="M694" s="180">
        <f t="shared" si="20"/>
        <v>197309</v>
      </c>
      <c r="N694" s="197" t="s">
        <v>707</v>
      </c>
    </row>
    <row r="695" spans="1:14" ht="12.65" customHeight="1" x14ac:dyDescent="0.35">
      <c r="A695" s="195">
        <v>7190</v>
      </c>
      <c r="B695" s="197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7" t="s">
        <v>708</v>
      </c>
    </row>
    <row r="696" spans="1:14" ht="12.65" customHeight="1" x14ac:dyDescent="0.35">
      <c r="A696" s="195">
        <v>7200</v>
      </c>
      <c r="B696" s="197" t="s">
        <v>709</v>
      </c>
      <c r="C696" s="180">
        <f>AE71</f>
        <v>645453</v>
      </c>
      <c r="D696" s="180">
        <f>(D615/D612)*AE76</f>
        <v>7795.32345828295</v>
      </c>
      <c r="E696" s="180">
        <f>(E623/E612)*SUM(C696:D696)</f>
        <v>126000.53901808993</v>
      </c>
      <c r="F696" s="180">
        <f>(F624/F612)*AE64</f>
        <v>722.06517416744452</v>
      </c>
      <c r="G696" s="180">
        <f>(G625/G612)*AE77</f>
        <v>0</v>
      </c>
      <c r="H696" s="180">
        <f>(H628/H612)*AE60</f>
        <v>12639.074069621029</v>
      </c>
      <c r="I696" s="180">
        <f>(I629/I612)*AE78</f>
        <v>4605.6354071501146</v>
      </c>
      <c r="J696" s="180">
        <f>(J630/J612)*AE79</f>
        <v>9439.4673172964831</v>
      </c>
      <c r="K696" s="180">
        <f>(K644/K612)*AE75</f>
        <v>111331.21201739645</v>
      </c>
      <c r="L696" s="180">
        <f>(L647/L612)*AE80</f>
        <v>0</v>
      </c>
      <c r="M696" s="180">
        <f t="shared" si="20"/>
        <v>272533</v>
      </c>
      <c r="N696" s="197" t="s">
        <v>710</v>
      </c>
    </row>
    <row r="697" spans="1:14" ht="12.65" customHeight="1" x14ac:dyDescent="0.35">
      <c r="A697" s="195">
        <v>7220</v>
      </c>
      <c r="B697" s="197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7" t="s">
        <v>712</v>
      </c>
    </row>
    <row r="698" spans="1:14" ht="12.65" customHeight="1" x14ac:dyDescent="0.35">
      <c r="A698" s="195">
        <v>7230</v>
      </c>
      <c r="B698" s="197" t="s">
        <v>713</v>
      </c>
      <c r="C698" s="180">
        <f>AG71</f>
        <v>4921907</v>
      </c>
      <c r="D698" s="180">
        <f>(D615/D612)*AG76</f>
        <v>233859.70374848851</v>
      </c>
      <c r="E698" s="180">
        <f>(E623/E612)*SUM(C698:D698)</f>
        <v>994460.08569100639</v>
      </c>
      <c r="F698" s="180">
        <f>(F624/F612)*AG64</f>
        <v>12310.087630176453</v>
      </c>
      <c r="G698" s="180">
        <f>(G625/G612)*AG77</f>
        <v>0</v>
      </c>
      <c r="H698" s="180">
        <f>(H628/H612)*AG60</f>
        <v>57728.64280934172</v>
      </c>
      <c r="I698" s="180">
        <f>(I629/I612)*AG78</f>
        <v>138431.1715466177</v>
      </c>
      <c r="J698" s="180">
        <f>(J630/J612)*AG79</f>
        <v>54865.262826224505</v>
      </c>
      <c r="K698" s="180">
        <f>(K644/K612)*AG75</f>
        <v>1355587.1750006601</v>
      </c>
      <c r="L698" s="180">
        <f>(L647/L612)*AG80</f>
        <v>130725.9569004556</v>
      </c>
      <c r="M698" s="180">
        <f t="shared" si="20"/>
        <v>2977968</v>
      </c>
      <c r="N698" s="197" t="s">
        <v>714</v>
      </c>
    </row>
    <row r="699" spans="1:14" ht="12.65" customHeight="1" x14ac:dyDescent="0.35">
      <c r="A699" s="195">
        <v>7240</v>
      </c>
      <c r="B699" s="197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7" t="s">
        <v>715</v>
      </c>
    </row>
    <row r="700" spans="1:14" ht="12.65" customHeight="1" x14ac:dyDescent="0.35">
      <c r="A700" s="195">
        <v>7250</v>
      </c>
      <c r="B700" s="197" t="s">
        <v>716</v>
      </c>
      <c r="C700" s="180">
        <f>AI71</f>
        <v>1072160</v>
      </c>
      <c r="D700" s="180">
        <f>(D615/D612)*AI76</f>
        <v>17989.207980652962</v>
      </c>
      <c r="E700" s="180">
        <f>(E623/E612)*SUM(C700:D700)</f>
        <v>210271.32084859916</v>
      </c>
      <c r="F700" s="180">
        <f>(F624/F612)*AI64</f>
        <v>8059.1568151112579</v>
      </c>
      <c r="G700" s="180">
        <f>(G625/G612)*AI77</f>
        <v>42576.790446451232</v>
      </c>
      <c r="H700" s="180">
        <f>(H628/H612)*AI60</f>
        <v>13338.815194582747</v>
      </c>
      <c r="I700" s="180">
        <f>(I629/I612)*AI78</f>
        <v>10671.594236079534</v>
      </c>
      <c r="J700" s="180">
        <f>(J630/J612)*AI79</f>
        <v>0</v>
      </c>
      <c r="K700" s="180">
        <f>(K644/K612)*AI75</f>
        <v>98820.856948556015</v>
      </c>
      <c r="L700" s="180">
        <f>(L647/L612)*AI80</f>
        <v>35933.816017284997</v>
      </c>
      <c r="M700" s="180">
        <f t="shared" si="20"/>
        <v>437662</v>
      </c>
      <c r="N700" s="197" t="s">
        <v>717</v>
      </c>
    </row>
    <row r="701" spans="1:14" ht="12.65" customHeight="1" x14ac:dyDescent="0.35">
      <c r="A701" s="195">
        <v>7260</v>
      </c>
      <c r="B701" s="197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7" t="s">
        <v>718</v>
      </c>
    </row>
    <row r="702" spans="1:14" ht="12.65" customHeight="1" x14ac:dyDescent="0.35">
      <c r="A702" s="195">
        <v>7310</v>
      </c>
      <c r="B702" s="197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7" t="s">
        <v>720</v>
      </c>
    </row>
    <row r="703" spans="1:14" ht="12.65" customHeight="1" x14ac:dyDescent="0.35">
      <c r="A703" s="195">
        <v>7320</v>
      </c>
      <c r="B703" s="197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7" t="s">
        <v>722</v>
      </c>
    </row>
    <row r="704" spans="1:14" ht="12.65" customHeight="1" x14ac:dyDescent="0.35">
      <c r="A704" s="195">
        <v>7330</v>
      </c>
      <c r="B704" s="197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7" t="s">
        <v>724</v>
      </c>
    </row>
    <row r="705" spans="1:83" ht="12.65" customHeight="1" x14ac:dyDescent="0.35">
      <c r="A705" s="195">
        <v>7340</v>
      </c>
      <c r="B705" s="197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7" t="s">
        <v>726</v>
      </c>
    </row>
    <row r="706" spans="1:83" ht="12.65" customHeight="1" x14ac:dyDescent="0.35">
      <c r="A706" s="195">
        <v>7350</v>
      </c>
      <c r="B706" s="197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7" t="s">
        <v>728</v>
      </c>
    </row>
    <row r="707" spans="1:83" ht="12.65" customHeight="1" x14ac:dyDescent="0.35">
      <c r="A707" s="195">
        <v>7380</v>
      </c>
      <c r="B707" s="197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7" t="s">
        <v>730</v>
      </c>
    </row>
    <row r="708" spans="1:83" ht="12.65" customHeight="1" x14ac:dyDescent="0.35">
      <c r="A708" s="195">
        <v>7390</v>
      </c>
      <c r="B708" s="197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7" t="s">
        <v>732</v>
      </c>
    </row>
    <row r="709" spans="1:83" ht="12.65" customHeight="1" x14ac:dyDescent="0.35">
      <c r="A709" s="195">
        <v>7400</v>
      </c>
      <c r="B709" s="197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7" t="s">
        <v>734</v>
      </c>
    </row>
    <row r="710" spans="1:83" ht="12.65" customHeight="1" x14ac:dyDescent="0.35">
      <c r="A710" s="195">
        <v>7410</v>
      </c>
      <c r="B710" s="197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7" t="s">
        <v>735</v>
      </c>
    </row>
    <row r="711" spans="1:83" ht="12.65" customHeight="1" x14ac:dyDescent="0.35">
      <c r="A711" s="195">
        <v>7420</v>
      </c>
      <c r="B711" s="197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7" t="s">
        <v>737</v>
      </c>
    </row>
    <row r="712" spans="1:83" ht="12.65" customHeight="1" x14ac:dyDescent="0.35">
      <c r="A712" s="195">
        <v>7430</v>
      </c>
      <c r="B712" s="197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7" t="s">
        <v>739</v>
      </c>
    </row>
    <row r="713" spans="1:83" ht="12.65" customHeight="1" x14ac:dyDescent="0.35">
      <c r="A713" s="195">
        <v>7490</v>
      </c>
      <c r="B713" s="197" t="s">
        <v>740</v>
      </c>
      <c r="C713" s="180">
        <f>AV71</f>
        <v>4655015</v>
      </c>
      <c r="D713" s="180">
        <f>(D615/D612)*AV76</f>
        <v>742084.81121523574</v>
      </c>
      <c r="E713" s="180">
        <f>(E623/E612)*SUM(C713:D713)</f>
        <v>1041009.1552129011</v>
      </c>
      <c r="F713" s="180">
        <f>(F624/F612)*AV64</f>
        <v>8036.6850275417482</v>
      </c>
      <c r="G713" s="180">
        <f>(G625/G612)*AV77</f>
        <v>0</v>
      </c>
      <c r="H713" s="180">
        <f>(H628/H612)*AV60</f>
        <v>28098.979549243981</v>
      </c>
      <c r="I713" s="180">
        <f>(I629/I612)*AV78</f>
        <v>439482.46157496667</v>
      </c>
      <c r="J713" s="180">
        <f>(J630/J612)*AV79</f>
        <v>42327.671409180002</v>
      </c>
      <c r="K713" s="180">
        <f>(K644/K612)*AV75</f>
        <v>380619.00195537548</v>
      </c>
      <c r="L713" s="180">
        <f>(L647/L612)*AV80</f>
        <v>25596.690861627667</v>
      </c>
      <c r="M713" s="180">
        <f t="shared" si="20"/>
        <v>2707255</v>
      </c>
      <c r="N713" s="198" t="s">
        <v>741</v>
      </c>
    </row>
    <row r="715" spans="1:83" ht="12.65" customHeight="1" x14ac:dyDescent="0.35">
      <c r="C715" s="180">
        <f>SUM(C614:C647)+SUM(C668:C713)</f>
        <v>53741164</v>
      </c>
      <c r="D715" s="180">
        <f>SUM(D616:D647)+SUM(D668:D713)</f>
        <v>2975415</v>
      </c>
      <c r="E715" s="180">
        <f>SUM(E624:E647)+SUM(E668:E713)</f>
        <v>8689670.2164449822</v>
      </c>
      <c r="F715" s="180">
        <f>SUM(F625:F648)+SUM(F668:F713)</f>
        <v>361292.0726307513</v>
      </c>
      <c r="G715" s="180">
        <f>SUM(G626:G647)+SUM(G668:G713)</f>
        <v>1671845.3905397709</v>
      </c>
      <c r="H715" s="180">
        <f>SUM(H629:H647)+SUM(H668:H713)</f>
        <v>504229.08126538282</v>
      </c>
      <c r="I715" s="180">
        <f>SUM(I630:I647)+SUM(I668:I713)</f>
        <v>1301709.8316598909</v>
      </c>
      <c r="J715" s="180">
        <f>SUM(J631:J647)+SUM(J668:J713)</f>
        <v>300754.33527638606</v>
      </c>
      <c r="K715" s="180">
        <f>SUM(K668:K713)</f>
        <v>5421315.7406080514</v>
      </c>
      <c r="L715" s="180">
        <f>SUM(L668:L713)</f>
        <v>535913.13477050676</v>
      </c>
      <c r="M715" s="180">
        <f>SUM(M668:M713)</f>
        <v>19222746</v>
      </c>
      <c r="N715" s="197" t="s">
        <v>742</v>
      </c>
    </row>
    <row r="716" spans="1:83" ht="12.65" customHeight="1" x14ac:dyDescent="0.35">
      <c r="C716" s="180">
        <f>CE71</f>
        <v>53741164</v>
      </c>
      <c r="D716" s="180">
        <f>D615</f>
        <v>2975415</v>
      </c>
      <c r="E716" s="180">
        <f>E623</f>
        <v>8689670.2164449822</v>
      </c>
      <c r="F716" s="180">
        <f>F624</f>
        <v>361292.0726307513</v>
      </c>
      <c r="G716" s="180">
        <f>G625</f>
        <v>1671845.3905397709</v>
      </c>
      <c r="H716" s="180">
        <f>H628</f>
        <v>504229.08126538282</v>
      </c>
      <c r="I716" s="180">
        <f>I629</f>
        <v>1301709.8316598909</v>
      </c>
      <c r="J716" s="180">
        <f>J630</f>
        <v>300754.33527638606</v>
      </c>
      <c r="K716" s="180">
        <f>K644</f>
        <v>5421315.7406080514</v>
      </c>
      <c r="L716" s="180">
        <f>L647</f>
        <v>535913.13477050688</v>
      </c>
      <c r="M716" s="180">
        <f>C648</f>
        <v>19222748</v>
      </c>
      <c r="N716" s="197" t="s">
        <v>743</v>
      </c>
    </row>
    <row r="717" spans="1:83" ht="12.65" customHeight="1" x14ac:dyDescent="0.35">
      <c r="O717" s="197"/>
    </row>
    <row r="718" spans="1:83" ht="12.65" customHeight="1" x14ac:dyDescent="0.35">
      <c r="O718" s="197"/>
    </row>
    <row r="719" spans="1:83" ht="12.65" customHeight="1" x14ac:dyDescent="0.35">
      <c r="O719" s="197"/>
    </row>
    <row r="720" spans="1:83" s="200" customFormat="1" ht="12.65" customHeight="1" x14ac:dyDescent="0.35">
      <c r="A720" s="200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2" customFormat="1" ht="12.65" customHeight="1" x14ac:dyDescent="0.35">
      <c r="A721" s="202" t="s">
        <v>745</v>
      </c>
      <c r="B721" s="202" t="s">
        <v>746</v>
      </c>
      <c r="C721" s="202" t="s">
        <v>747</v>
      </c>
      <c r="D721" s="202" t="s">
        <v>748</v>
      </c>
      <c r="E721" s="202" t="s">
        <v>749</v>
      </c>
      <c r="F721" s="202" t="s">
        <v>750</v>
      </c>
      <c r="G721" s="202" t="s">
        <v>751</v>
      </c>
      <c r="H721" s="202" t="s">
        <v>752</v>
      </c>
      <c r="I721" s="202" t="s">
        <v>753</v>
      </c>
      <c r="J721" s="202" t="s">
        <v>754</v>
      </c>
      <c r="K721" s="202" t="s">
        <v>755</v>
      </c>
      <c r="L721" s="202" t="s">
        <v>756</v>
      </c>
      <c r="M721" s="202" t="s">
        <v>757</v>
      </c>
      <c r="N721" s="202" t="s">
        <v>758</v>
      </c>
      <c r="O721" s="202" t="s">
        <v>759</v>
      </c>
      <c r="P721" s="202" t="s">
        <v>760</v>
      </c>
      <c r="Q721" s="202" t="s">
        <v>761</v>
      </c>
      <c r="R721" s="202" t="s">
        <v>762</v>
      </c>
      <c r="S721" s="202" t="s">
        <v>763</v>
      </c>
      <c r="T721" s="202" t="s">
        <v>764</v>
      </c>
      <c r="U721" s="202" t="s">
        <v>765</v>
      </c>
      <c r="V721" s="202" t="s">
        <v>766</v>
      </c>
      <c r="W721" s="202" t="s">
        <v>767</v>
      </c>
      <c r="X721" s="202" t="s">
        <v>768</v>
      </c>
      <c r="Y721" s="202" t="s">
        <v>769</v>
      </c>
      <c r="Z721" s="202" t="s">
        <v>770</v>
      </c>
      <c r="AA721" s="202" t="s">
        <v>771</v>
      </c>
      <c r="AB721" s="202" t="s">
        <v>772</v>
      </c>
      <c r="AC721" s="202" t="s">
        <v>773</v>
      </c>
      <c r="AD721" s="202" t="s">
        <v>774</v>
      </c>
      <c r="AE721" s="202" t="s">
        <v>775</v>
      </c>
      <c r="AF721" s="202" t="s">
        <v>776</v>
      </c>
      <c r="AG721" s="202" t="s">
        <v>777</v>
      </c>
      <c r="AH721" s="202" t="s">
        <v>778</v>
      </c>
      <c r="AI721" s="202" t="s">
        <v>779</v>
      </c>
      <c r="AJ721" s="202" t="s">
        <v>780</v>
      </c>
      <c r="AK721" s="202" t="s">
        <v>781</v>
      </c>
      <c r="AL721" s="202" t="s">
        <v>782</v>
      </c>
      <c r="AM721" s="202" t="s">
        <v>783</v>
      </c>
      <c r="AN721" s="202" t="s">
        <v>784</v>
      </c>
      <c r="AO721" s="202" t="s">
        <v>785</v>
      </c>
      <c r="AP721" s="202" t="s">
        <v>786</v>
      </c>
      <c r="AQ721" s="202" t="s">
        <v>787</v>
      </c>
      <c r="AR721" s="202" t="s">
        <v>788</v>
      </c>
      <c r="AS721" s="202" t="s">
        <v>789</v>
      </c>
      <c r="AT721" s="202" t="s">
        <v>790</v>
      </c>
      <c r="AU721" s="202" t="s">
        <v>791</v>
      </c>
      <c r="AV721" s="202" t="s">
        <v>792</v>
      </c>
      <c r="AW721" s="202" t="s">
        <v>793</v>
      </c>
      <c r="AX721" s="202" t="s">
        <v>794</v>
      </c>
      <c r="AY721" s="202" t="s">
        <v>795</v>
      </c>
      <c r="AZ721" s="202" t="s">
        <v>796</v>
      </c>
      <c r="BA721" s="202" t="s">
        <v>797</v>
      </c>
      <c r="BB721" s="202" t="s">
        <v>798</v>
      </c>
      <c r="BC721" s="202" t="s">
        <v>799</v>
      </c>
      <c r="BD721" s="202" t="s">
        <v>800</v>
      </c>
      <c r="BE721" s="202" t="s">
        <v>801</v>
      </c>
      <c r="BF721" s="202" t="s">
        <v>802</v>
      </c>
      <c r="BG721" s="202" t="s">
        <v>803</v>
      </c>
      <c r="BH721" s="202" t="s">
        <v>804</v>
      </c>
      <c r="BI721" s="202" t="s">
        <v>805</v>
      </c>
      <c r="BJ721" s="202" t="s">
        <v>806</v>
      </c>
      <c r="BK721" s="202" t="s">
        <v>807</v>
      </c>
      <c r="BL721" s="202" t="s">
        <v>808</v>
      </c>
      <c r="BM721" s="202" t="s">
        <v>809</v>
      </c>
      <c r="BN721" s="202" t="s">
        <v>810</v>
      </c>
      <c r="BO721" s="202" t="s">
        <v>811</v>
      </c>
      <c r="BP721" s="202" t="s">
        <v>812</v>
      </c>
      <c r="BQ721" s="202" t="s">
        <v>813</v>
      </c>
      <c r="BR721" s="202" t="s">
        <v>814</v>
      </c>
      <c r="BS721" s="202" t="s">
        <v>815</v>
      </c>
      <c r="BT721" s="202" t="s">
        <v>816</v>
      </c>
      <c r="BU721" s="202" t="s">
        <v>817</v>
      </c>
      <c r="BV721" s="202" t="s">
        <v>818</v>
      </c>
      <c r="BW721" s="202" t="s">
        <v>819</v>
      </c>
      <c r="BX721" s="202" t="s">
        <v>820</v>
      </c>
      <c r="BY721" s="202" t="s">
        <v>821</v>
      </c>
      <c r="BZ721" s="202" t="s">
        <v>822</v>
      </c>
      <c r="CA721" s="202" t="s">
        <v>823</v>
      </c>
      <c r="CB721" s="202" t="s">
        <v>824</v>
      </c>
      <c r="CC721" s="202" t="s">
        <v>825</v>
      </c>
      <c r="CD721" s="202" t="s">
        <v>1256</v>
      </c>
    </row>
    <row r="722" spans="1:84" s="200" customFormat="1" ht="12.65" customHeight="1" x14ac:dyDescent="0.35">
      <c r="A722" s="201" t="str">
        <f>RIGHT(C83,3)&amp;"*"&amp;RIGHT(C82,4)&amp;"*"&amp;"A"</f>
        <v>104*2019*A</v>
      </c>
      <c r="B722" s="273">
        <f>ROUND(C165,0)</f>
        <v>1597918</v>
      </c>
      <c r="C722" s="273">
        <f>ROUND(C166,0)</f>
        <v>103117</v>
      </c>
      <c r="D722" s="273">
        <f>ROUND(C167,0)</f>
        <v>282580</v>
      </c>
      <c r="E722" s="273">
        <f>ROUND(C168,0)</f>
        <v>2501193</v>
      </c>
      <c r="F722" s="273">
        <f>ROUND(C169,0)</f>
        <v>0</v>
      </c>
      <c r="G722" s="273">
        <f>ROUND(C170,0)</f>
        <v>524504</v>
      </c>
      <c r="H722" s="273">
        <f>ROUND(C171+C172,0)</f>
        <v>1852455</v>
      </c>
      <c r="I722" s="273">
        <f>ROUND(C175,0)</f>
        <v>840992</v>
      </c>
      <c r="J722" s="273">
        <f>ROUND(C176,0)</f>
        <v>189161</v>
      </c>
      <c r="K722" s="273">
        <f>ROUND(C179,0)</f>
        <v>162150</v>
      </c>
      <c r="L722" s="273">
        <f>ROUND(C180,0)</f>
        <v>126857</v>
      </c>
      <c r="M722" s="273">
        <f>ROUND(C183,0)</f>
        <v>32102</v>
      </c>
      <c r="N722" s="273">
        <f>ROUND(C184,0)</f>
        <v>422431</v>
      </c>
      <c r="O722" s="273">
        <f>ROUND(C185,0)</f>
        <v>0</v>
      </c>
      <c r="P722" s="273">
        <f>ROUND(C188,0)</f>
        <v>0</v>
      </c>
      <c r="Q722" s="273">
        <f>ROUND(C189,0)</f>
        <v>1419905</v>
      </c>
      <c r="R722" s="273">
        <f>ROUND(B195,0)</f>
        <v>1878610</v>
      </c>
      <c r="S722" s="273">
        <f>ROUND(C195,0)</f>
        <v>0</v>
      </c>
      <c r="T722" s="273">
        <f>ROUND(D195,0)</f>
        <v>0</v>
      </c>
      <c r="U722" s="273">
        <f>ROUND(B196,0)</f>
        <v>1145661</v>
      </c>
      <c r="V722" s="273">
        <f>ROUND(C196,0)</f>
        <v>88090</v>
      </c>
      <c r="W722" s="273">
        <f>ROUND(D196,0)</f>
        <v>0</v>
      </c>
      <c r="X722" s="273">
        <f>ROUND(B197,0)</f>
        <v>23781856</v>
      </c>
      <c r="Y722" s="273">
        <f>ROUND(C197,0)</f>
        <v>294406</v>
      </c>
      <c r="Z722" s="273">
        <f>ROUND(D197,0)</f>
        <v>0</v>
      </c>
      <c r="AA722" s="273">
        <f>ROUND(B198,0)</f>
        <v>2601202</v>
      </c>
      <c r="AB722" s="273">
        <f>ROUND(C198,0)</f>
        <v>129321</v>
      </c>
      <c r="AC722" s="273">
        <f>ROUND(D198,0)</f>
        <v>0</v>
      </c>
      <c r="AD722" s="273">
        <f>ROUND(B199,0)</f>
        <v>0</v>
      </c>
      <c r="AE722" s="273">
        <f>ROUND(C199,0)</f>
        <v>0</v>
      </c>
      <c r="AF722" s="273">
        <f>ROUND(D199,0)</f>
        <v>0</v>
      </c>
      <c r="AG722" s="273">
        <f>ROUND(B200,0)</f>
        <v>18605687</v>
      </c>
      <c r="AH722" s="273">
        <f>ROUND(C200,0)</f>
        <v>939241</v>
      </c>
      <c r="AI722" s="273">
        <f>ROUND(D200,0)</f>
        <v>0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3098250</v>
      </c>
      <c r="AN722" s="273">
        <f>ROUND(C202,0)</f>
        <v>0</v>
      </c>
      <c r="AO722" s="273">
        <f>ROUND(D202,0)</f>
        <v>0</v>
      </c>
      <c r="AP722" s="273">
        <f>ROUND(B203,0)</f>
        <v>414414</v>
      </c>
      <c r="AQ722" s="273">
        <f>ROUND(C203,0)</f>
        <v>996922</v>
      </c>
      <c r="AR722" s="273">
        <f>ROUND(D203,0)</f>
        <v>955227</v>
      </c>
      <c r="AS722" s="273"/>
      <c r="AT722" s="273"/>
      <c r="AU722" s="273"/>
      <c r="AV722" s="273">
        <f>ROUND(B209,0)</f>
        <v>821486</v>
      </c>
      <c r="AW722" s="273">
        <f>ROUND(C209,0)</f>
        <v>55196</v>
      </c>
      <c r="AX722" s="273">
        <f>ROUND(D209,0)</f>
        <v>0</v>
      </c>
      <c r="AY722" s="273">
        <f>ROUND(B210,0)</f>
        <v>17743194</v>
      </c>
      <c r="AZ722" s="273">
        <f>ROUND(C210,0)</f>
        <v>748642</v>
      </c>
      <c r="BA722" s="273">
        <f>ROUND(D210,0)</f>
        <v>0</v>
      </c>
      <c r="BB722" s="273">
        <f>ROUND(B211,0)</f>
        <v>2338308</v>
      </c>
      <c r="BC722" s="273">
        <f>ROUND(C211,0)</f>
        <v>81688</v>
      </c>
      <c r="BD722" s="273">
        <f>ROUND(D211,0)</f>
        <v>7066</v>
      </c>
      <c r="BE722" s="273">
        <f>ROUND(B212,0)</f>
        <v>0</v>
      </c>
      <c r="BF722" s="273">
        <f>ROUND(C212,0)</f>
        <v>0</v>
      </c>
      <c r="BG722" s="273">
        <f>ROUND(D212,0)</f>
        <v>0</v>
      </c>
      <c r="BH722" s="273">
        <f>ROUND(B213,0)</f>
        <v>15520365</v>
      </c>
      <c r="BI722" s="273">
        <f>ROUND(C213,0)</f>
        <v>925975</v>
      </c>
      <c r="BJ722" s="273">
        <f>ROUND(D213,0)</f>
        <v>0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2024394</v>
      </c>
      <c r="BO722" s="273">
        <f>ROUND(C215,0)</f>
        <v>144747</v>
      </c>
      <c r="BP722" s="273">
        <f>ROUND(D215,0)</f>
        <v>0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33084580</v>
      </c>
      <c r="BU722" s="273">
        <f>ROUND(C224,0)</f>
        <v>26574061</v>
      </c>
      <c r="BV722" s="273">
        <f>ROUND(C225,0)</f>
        <v>2138951</v>
      </c>
      <c r="BW722" s="273">
        <f>ROUND(C226,0)</f>
        <v>2034039</v>
      </c>
      <c r="BX722" s="273">
        <f>ROUND(C227,0)</f>
        <v>22333831</v>
      </c>
      <c r="BY722" s="273">
        <f>ROUND(C228,0)</f>
        <v>0</v>
      </c>
      <c r="BZ722" s="273">
        <f>ROUND(C231,0)</f>
        <v>751</v>
      </c>
      <c r="CA722" s="273">
        <f>ROUND(C233,0)</f>
        <v>347851</v>
      </c>
      <c r="CB722" s="273">
        <f>ROUND(C234,0)</f>
        <v>562448</v>
      </c>
      <c r="CC722" s="273">
        <f>ROUND(C238+C239,0)</f>
        <v>1017952</v>
      </c>
      <c r="CD722" s="273">
        <f>D221</f>
        <v>5017754</v>
      </c>
      <c r="CE722" s="273"/>
    </row>
    <row r="723" spans="1:84" ht="12.65" customHeight="1" x14ac:dyDescent="0.3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0" customFormat="1" ht="12.65" customHeight="1" x14ac:dyDescent="0.35">
      <c r="A724" s="200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2" customFormat="1" ht="12.65" customHeight="1" x14ac:dyDescent="0.35">
      <c r="A725" s="202" t="s">
        <v>745</v>
      </c>
      <c r="B725" s="202" t="s">
        <v>826</v>
      </c>
      <c r="C725" s="202" t="s">
        <v>827</v>
      </c>
      <c r="D725" s="202" t="s">
        <v>828</v>
      </c>
      <c r="E725" s="202" t="s">
        <v>829</v>
      </c>
      <c r="F725" s="202" t="s">
        <v>830</v>
      </c>
      <c r="G725" s="202" t="s">
        <v>831</v>
      </c>
      <c r="H725" s="202" t="s">
        <v>832</v>
      </c>
      <c r="I725" s="202" t="s">
        <v>833</v>
      </c>
      <c r="J725" s="202" t="s">
        <v>834</v>
      </c>
      <c r="K725" s="202" t="s">
        <v>835</v>
      </c>
      <c r="L725" s="202" t="s">
        <v>836</v>
      </c>
      <c r="M725" s="202" t="s">
        <v>837</v>
      </c>
      <c r="N725" s="202" t="s">
        <v>838</v>
      </c>
      <c r="O725" s="202" t="s">
        <v>839</v>
      </c>
      <c r="P725" s="202" t="s">
        <v>840</v>
      </c>
      <c r="Q725" s="202" t="s">
        <v>841</v>
      </c>
      <c r="R725" s="202" t="s">
        <v>842</v>
      </c>
      <c r="S725" s="202" t="s">
        <v>843</v>
      </c>
      <c r="T725" s="202" t="s">
        <v>844</v>
      </c>
      <c r="U725" s="202" t="s">
        <v>845</v>
      </c>
      <c r="V725" s="202" t="s">
        <v>846</v>
      </c>
      <c r="W725" s="202" t="s">
        <v>847</v>
      </c>
      <c r="X725" s="202" t="s">
        <v>848</v>
      </c>
      <c r="Y725" s="202" t="s">
        <v>849</v>
      </c>
      <c r="Z725" s="202" t="s">
        <v>850</v>
      </c>
      <c r="AA725" s="202" t="s">
        <v>851</v>
      </c>
      <c r="AB725" s="202" t="s">
        <v>852</v>
      </c>
      <c r="AC725" s="202" t="s">
        <v>853</v>
      </c>
      <c r="AD725" s="202" t="s">
        <v>854</v>
      </c>
      <c r="AE725" s="202" t="s">
        <v>855</v>
      </c>
      <c r="AF725" s="202" t="s">
        <v>856</v>
      </c>
      <c r="AG725" s="202" t="s">
        <v>857</v>
      </c>
      <c r="AH725" s="202" t="s">
        <v>858</v>
      </c>
      <c r="AI725" s="202" t="s">
        <v>859</v>
      </c>
      <c r="AJ725" s="202" t="s">
        <v>860</v>
      </c>
      <c r="AK725" s="202" t="s">
        <v>861</v>
      </c>
      <c r="AL725" s="202" t="s">
        <v>862</v>
      </c>
      <c r="AM725" s="202" t="s">
        <v>863</v>
      </c>
      <c r="AN725" s="202" t="s">
        <v>864</v>
      </c>
      <c r="AO725" s="202" t="s">
        <v>865</v>
      </c>
      <c r="AP725" s="202" t="s">
        <v>866</v>
      </c>
      <c r="AQ725" s="202" t="s">
        <v>867</v>
      </c>
      <c r="AR725" s="202" t="s">
        <v>868</v>
      </c>
      <c r="AS725" s="202" t="s">
        <v>869</v>
      </c>
      <c r="AT725" s="202" t="s">
        <v>870</v>
      </c>
      <c r="AU725" s="202" t="s">
        <v>871</v>
      </c>
      <c r="AV725" s="202" t="s">
        <v>872</v>
      </c>
      <c r="AW725" s="202" t="s">
        <v>873</v>
      </c>
      <c r="AX725" s="202" t="s">
        <v>874</v>
      </c>
      <c r="AY725" s="202" t="s">
        <v>875</v>
      </c>
      <c r="AZ725" s="202" t="s">
        <v>876</v>
      </c>
      <c r="BA725" s="202" t="s">
        <v>877</v>
      </c>
      <c r="BB725" s="202" t="s">
        <v>878</v>
      </c>
      <c r="BC725" s="202" t="s">
        <v>879</v>
      </c>
      <c r="BD725" s="202" t="s">
        <v>880</v>
      </c>
      <c r="BE725" s="202" t="s">
        <v>881</v>
      </c>
      <c r="BF725" s="202" t="s">
        <v>882</v>
      </c>
      <c r="BG725" s="202" t="s">
        <v>883</v>
      </c>
      <c r="BH725" s="202" t="s">
        <v>884</v>
      </c>
      <c r="BI725" s="202" t="s">
        <v>885</v>
      </c>
      <c r="BJ725" s="202" t="s">
        <v>886</v>
      </c>
      <c r="BK725" s="202" t="s">
        <v>887</v>
      </c>
      <c r="BL725" s="202" t="s">
        <v>888</v>
      </c>
      <c r="BM725" s="202" t="s">
        <v>889</v>
      </c>
      <c r="BN725" s="202" t="s">
        <v>890</v>
      </c>
      <c r="BO725" s="202" t="s">
        <v>891</v>
      </c>
      <c r="BP725" s="202" t="s">
        <v>892</v>
      </c>
      <c r="BQ725" s="202" t="s">
        <v>893</v>
      </c>
      <c r="BR725" s="202" t="s">
        <v>894</v>
      </c>
    </row>
    <row r="726" spans="1:84" s="200" customFormat="1" ht="12.65" customHeight="1" x14ac:dyDescent="0.35">
      <c r="A726" s="201" t="str">
        <f>RIGHT(C83,3)&amp;"*"&amp;RIGHT(C82,4)&amp;"*"&amp;"A"</f>
        <v>104*2019*A</v>
      </c>
      <c r="B726" s="273">
        <f>ROUND(C111,0)</f>
        <v>910</v>
      </c>
      <c r="C726" s="273">
        <f>ROUND(C112,0)</f>
        <v>0</v>
      </c>
      <c r="D726" s="273">
        <f>ROUND(C113,0)</f>
        <v>820</v>
      </c>
      <c r="E726" s="273">
        <f>ROUND(C114,0)</f>
        <v>0</v>
      </c>
      <c r="F726" s="273">
        <f>ROUND(D111,0)</f>
        <v>3375</v>
      </c>
      <c r="G726" s="273">
        <f>ROUND(D112,0)</f>
        <v>0</v>
      </c>
      <c r="H726" s="273">
        <f>ROUND(D113,0)</f>
        <v>7319</v>
      </c>
      <c r="I726" s="273">
        <f>ROUND(D114,0)</f>
        <v>0</v>
      </c>
      <c r="J726" s="273">
        <f>ROUND(C116,0)</f>
        <v>4</v>
      </c>
      <c r="K726" s="273">
        <f>ROUND(C117,0)</f>
        <v>0</v>
      </c>
      <c r="L726" s="273">
        <f>ROUND(C118,0)</f>
        <v>23</v>
      </c>
      <c r="M726" s="273">
        <f>ROUND(C119,0)</f>
        <v>0</v>
      </c>
      <c r="N726" s="273">
        <f>ROUND(C120,0)</f>
        <v>0</v>
      </c>
      <c r="O726" s="273">
        <f>ROUND(C121,0)</f>
        <v>0</v>
      </c>
      <c r="P726" s="273">
        <f>ROUND(C122,0)</f>
        <v>0</v>
      </c>
      <c r="Q726" s="273">
        <f>ROUND(C123,0)</f>
        <v>0</v>
      </c>
      <c r="R726" s="273">
        <f>ROUND(C124,0)</f>
        <v>0</v>
      </c>
      <c r="S726" s="273">
        <f>ROUND(C125,0)</f>
        <v>34</v>
      </c>
      <c r="T726" s="273"/>
      <c r="U726" s="273">
        <f>ROUND(C126,0)</f>
        <v>0</v>
      </c>
      <c r="V726" s="273">
        <f>ROUND(C128,0)</f>
        <v>112</v>
      </c>
      <c r="W726" s="273">
        <f>ROUND(C129,0)</f>
        <v>0</v>
      </c>
      <c r="X726" s="273">
        <f>ROUND(B138,0)</f>
        <v>522</v>
      </c>
      <c r="Y726" s="273">
        <f>ROUND(B139,0)</f>
        <v>1878</v>
      </c>
      <c r="Z726" s="273">
        <f>ROUND(B140,0)</f>
        <v>13995</v>
      </c>
      <c r="AA726" s="273">
        <f>ROUND(B141,0)</f>
        <v>15039545</v>
      </c>
      <c r="AB726" s="273">
        <f>ROUND(B142,0)</f>
        <v>30357051</v>
      </c>
      <c r="AC726" s="273">
        <f>ROUND(C138,0)</f>
        <v>210</v>
      </c>
      <c r="AD726" s="273">
        <f>ROUND(C139,0)</f>
        <v>632</v>
      </c>
      <c r="AE726" s="273">
        <f>ROUND(C140,0)</f>
        <v>9140</v>
      </c>
      <c r="AF726" s="273">
        <f>ROUND(C141,0)</f>
        <v>6081988</v>
      </c>
      <c r="AG726" s="273">
        <f>ROUND(C142,0)</f>
        <v>25056150</v>
      </c>
      <c r="AH726" s="273">
        <f>ROUND(D138,0)</f>
        <v>178</v>
      </c>
      <c r="AI726" s="273">
        <f>ROUND(D139,0)</f>
        <v>865</v>
      </c>
      <c r="AJ726" s="273">
        <f>ROUND(D140,0)</f>
        <v>18283</v>
      </c>
      <c r="AK726" s="273">
        <f>ROUND(D141,0)</f>
        <v>10495941</v>
      </c>
      <c r="AL726" s="273">
        <f>ROUND(D142,0)</f>
        <v>45138964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52</v>
      </c>
      <c r="BC726" s="273">
        <f>ROUND(B151,0)</f>
        <v>518</v>
      </c>
      <c r="BD726" s="273">
        <f>ROUND(B152,0)</f>
        <v>5</v>
      </c>
      <c r="BE726" s="273">
        <f>ROUND(B153,0)</f>
        <v>435130</v>
      </c>
      <c r="BF726" s="273">
        <f>ROUND(B154,0)</f>
        <v>0</v>
      </c>
      <c r="BG726" s="273">
        <f>ROUND(C150,0)</f>
        <v>54</v>
      </c>
      <c r="BH726" s="273">
        <f>ROUND(C151,0)</f>
        <v>615</v>
      </c>
      <c r="BI726" s="273">
        <f>ROUND(C152,0)</f>
        <v>3</v>
      </c>
      <c r="BJ726" s="273">
        <f>ROUND(C153,0)</f>
        <v>334611</v>
      </c>
      <c r="BK726" s="273">
        <f>ROUND(C154,0)</f>
        <v>0</v>
      </c>
      <c r="BL726" s="273">
        <f>ROUND(D150,0)</f>
        <v>714</v>
      </c>
      <c r="BM726" s="273">
        <f>ROUND(D151,0)</f>
        <v>6186</v>
      </c>
      <c r="BN726" s="273">
        <f>ROUND(D152,0)</f>
        <v>134</v>
      </c>
      <c r="BO726" s="273">
        <f>ROUND(D153,0)</f>
        <v>6110518</v>
      </c>
      <c r="BP726" s="273">
        <f>ROUND(D154,0)</f>
        <v>492667</v>
      </c>
      <c r="BQ726" s="273">
        <f>ROUND(B157,0)</f>
        <v>3168122</v>
      </c>
      <c r="BR726" s="273">
        <f>ROUND(C157,0)</f>
        <v>1432894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5" customHeight="1" x14ac:dyDescent="0.3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0" customFormat="1" ht="12.65" customHeight="1" x14ac:dyDescent="0.35">
      <c r="A728" s="200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2" customFormat="1" ht="12.65" customHeight="1" x14ac:dyDescent="0.35">
      <c r="A729" s="202" t="s">
        <v>745</v>
      </c>
      <c r="B729" s="202" t="s">
        <v>896</v>
      </c>
      <c r="C729" s="202" t="s">
        <v>897</v>
      </c>
      <c r="D729" s="202" t="s">
        <v>898</v>
      </c>
      <c r="E729" s="202" t="s">
        <v>899</v>
      </c>
      <c r="F729" s="202" t="s">
        <v>900</v>
      </c>
      <c r="G729" s="202" t="s">
        <v>901</v>
      </c>
      <c r="H729" s="202" t="s">
        <v>902</v>
      </c>
      <c r="I729" s="202" t="s">
        <v>903</v>
      </c>
      <c r="J729" s="202" t="s">
        <v>904</v>
      </c>
      <c r="K729" s="202" t="s">
        <v>905</v>
      </c>
      <c r="L729" s="202" t="s">
        <v>906</v>
      </c>
      <c r="M729" s="202" t="s">
        <v>907</v>
      </c>
      <c r="N729" s="202" t="s">
        <v>908</v>
      </c>
      <c r="O729" s="202" t="s">
        <v>909</v>
      </c>
      <c r="P729" s="202" t="s">
        <v>910</v>
      </c>
      <c r="Q729" s="202" t="s">
        <v>911</v>
      </c>
      <c r="R729" s="202" t="s">
        <v>912</v>
      </c>
      <c r="S729" s="202" t="s">
        <v>913</v>
      </c>
      <c r="T729" s="202" t="s">
        <v>914</v>
      </c>
      <c r="U729" s="202" t="s">
        <v>915</v>
      </c>
      <c r="V729" s="202" t="s">
        <v>916</v>
      </c>
      <c r="W729" s="202" t="s">
        <v>917</v>
      </c>
      <c r="X729" s="202" t="s">
        <v>918</v>
      </c>
      <c r="Y729" s="202" t="s">
        <v>919</v>
      </c>
      <c r="Z729" s="202" t="s">
        <v>920</v>
      </c>
      <c r="AA729" s="202" t="s">
        <v>921</v>
      </c>
      <c r="AB729" s="202" t="s">
        <v>922</v>
      </c>
      <c r="AC729" s="202" t="s">
        <v>923</v>
      </c>
      <c r="AD729" s="202" t="s">
        <v>924</v>
      </c>
      <c r="AE729" s="202" t="s">
        <v>925</v>
      </c>
      <c r="AF729" s="202" t="s">
        <v>926</v>
      </c>
      <c r="AG729" s="202" t="s">
        <v>927</v>
      </c>
      <c r="AH729" s="202" t="s">
        <v>928</v>
      </c>
      <c r="AI729" s="202" t="s">
        <v>929</v>
      </c>
      <c r="AJ729" s="202" t="s">
        <v>930</v>
      </c>
      <c r="AK729" s="202" t="s">
        <v>931</v>
      </c>
      <c r="AL729" s="202" t="s">
        <v>932</v>
      </c>
      <c r="AM729" s="202" t="s">
        <v>933</v>
      </c>
      <c r="AN729" s="202" t="s">
        <v>934</v>
      </c>
      <c r="AO729" s="202" t="s">
        <v>935</v>
      </c>
      <c r="AP729" s="202" t="s">
        <v>936</v>
      </c>
      <c r="AQ729" s="202" t="s">
        <v>937</v>
      </c>
      <c r="AR729" s="202" t="s">
        <v>938</v>
      </c>
      <c r="AS729" s="202" t="s">
        <v>939</v>
      </c>
      <c r="AT729" s="202" t="s">
        <v>940</v>
      </c>
      <c r="AU729" s="202" t="s">
        <v>941</v>
      </c>
      <c r="AV729" s="202" t="s">
        <v>942</v>
      </c>
      <c r="AW729" s="202" t="s">
        <v>943</v>
      </c>
      <c r="AX729" s="202" t="s">
        <v>944</v>
      </c>
      <c r="AY729" s="202" t="s">
        <v>945</v>
      </c>
      <c r="AZ729" s="202" t="s">
        <v>946</v>
      </c>
      <c r="BA729" s="202" t="s">
        <v>947</v>
      </c>
      <c r="BB729" s="202" t="s">
        <v>948</v>
      </c>
      <c r="BC729" s="202" t="s">
        <v>949</v>
      </c>
      <c r="BD729" s="202" t="s">
        <v>950</v>
      </c>
      <c r="BE729" s="202" t="s">
        <v>951</v>
      </c>
      <c r="BF729" s="202" t="s">
        <v>952</v>
      </c>
      <c r="BG729" s="202" t="s">
        <v>953</v>
      </c>
      <c r="BH729" s="202" t="s">
        <v>954</v>
      </c>
      <c r="BI729" s="202" t="s">
        <v>955</v>
      </c>
      <c r="BJ729" s="202" t="s">
        <v>956</v>
      </c>
      <c r="BK729" s="202" t="s">
        <v>957</v>
      </c>
      <c r="BL729" s="202" t="s">
        <v>958</v>
      </c>
      <c r="BM729" s="202" t="s">
        <v>959</v>
      </c>
      <c r="BN729" s="202" t="s">
        <v>960</v>
      </c>
      <c r="BO729" s="202" t="s">
        <v>961</v>
      </c>
      <c r="BP729" s="202" t="s">
        <v>962</v>
      </c>
      <c r="BQ729" s="202" t="s">
        <v>963</v>
      </c>
      <c r="BR729" s="202" t="s">
        <v>964</v>
      </c>
      <c r="BS729" s="202" t="s">
        <v>965</v>
      </c>
      <c r="BT729" s="202" t="s">
        <v>966</v>
      </c>
      <c r="BU729" s="202" t="s">
        <v>967</v>
      </c>
      <c r="BV729" s="202" t="s">
        <v>968</v>
      </c>
      <c r="BW729" s="202" t="s">
        <v>969</v>
      </c>
      <c r="BX729" s="202" t="s">
        <v>970</v>
      </c>
      <c r="BY729" s="202" t="s">
        <v>971</v>
      </c>
      <c r="BZ729" s="202" t="s">
        <v>972</v>
      </c>
      <c r="CA729" s="202" t="s">
        <v>973</v>
      </c>
      <c r="CB729" s="202" t="s">
        <v>974</v>
      </c>
      <c r="CC729" s="202" t="s">
        <v>975</v>
      </c>
      <c r="CD729" s="202" t="s">
        <v>976</v>
      </c>
      <c r="CE729" s="202" t="s">
        <v>977</v>
      </c>
      <c r="CF729" s="202" t="s">
        <v>978</v>
      </c>
    </row>
    <row r="730" spans="1:84" s="200" customFormat="1" ht="12.65" customHeight="1" x14ac:dyDescent="0.35">
      <c r="A730" s="201" t="str">
        <f>RIGHT(C83,3)&amp;"*"&amp;RIGHT(C82,4)&amp;"*"&amp;"A"</f>
        <v>104*2019*A</v>
      </c>
      <c r="B730" s="273">
        <f>ROUND(C250,0)</f>
        <v>5572967</v>
      </c>
      <c r="C730" s="273">
        <f>ROUND(C251,0)</f>
        <v>0</v>
      </c>
      <c r="D730" s="273">
        <f>ROUND(C252,0)</f>
        <v>20901313</v>
      </c>
      <c r="E730" s="273">
        <f>ROUND(C253,0)</f>
        <v>13165981</v>
      </c>
      <c r="F730" s="273">
        <f>ROUND(C254,0)</f>
        <v>371216</v>
      </c>
      <c r="G730" s="273">
        <f>ROUND(C255,0)</f>
        <v>171803</v>
      </c>
      <c r="H730" s="273">
        <f>ROUND(C256,0)</f>
        <v>6254216</v>
      </c>
      <c r="I730" s="273">
        <f>ROUND(C257,0)</f>
        <v>1133210</v>
      </c>
      <c r="J730" s="273">
        <f>ROUND(C258,0)</f>
        <v>333029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1878610</v>
      </c>
      <c r="P730" s="273">
        <f>ROUND(C268,0)</f>
        <v>1233751</v>
      </c>
      <c r="Q730" s="273">
        <f>ROUND(C269,0)</f>
        <v>24076262</v>
      </c>
      <c r="R730" s="273">
        <f>ROUND(C270,0)</f>
        <v>0</v>
      </c>
      <c r="S730" s="273">
        <f>ROUND(C271,0)</f>
        <v>2730523</v>
      </c>
      <c r="T730" s="273">
        <f>ROUND(C272,0)</f>
        <v>19544928</v>
      </c>
      <c r="U730" s="273">
        <f>ROUND(C273,0)</f>
        <v>3098250</v>
      </c>
      <c r="V730" s="273">
        <f>ROUND(C274,0)</f>
        <v>4508526</v>
      </c>
      <c r="W730" s="273">
        <f>ROUND(C275,0)</f>
        <v>0</v>
      </c>
      <c r="X730" s="273">
        <f>ROUND(C276,0)</f>
        <v>40390795</v>
      </c>
      <c r="Y730" s="273">
        <f>ROUND(C279,0)</f>
        <v>0</v>
      </c>
      <c r="Z730" s="273">
        <f>ROUND(C280,0)</f>
        <v>0</v>
      </c>
      <c r="AA730" s="273">
        <f>ROUND(C281,0)</f>
        <v>0</v>
      </c>
      <c r="AB730" s="273">
        <f>ROUND(C282,0)</f>
        <v>0</v>
      </c>
      <c r="AC730" s="273">
        <f>ROUND(C286,0)</f>
        <v>0</v>
      </c>
      <c r="AD730" s="273">
        <f>ROUND(C287,0)</f>
        <v>0</v>
      </c>
      <c r="AE730" s="273">
        <f>ROUND(C288,0)</f>
        <v>0</v>
      </c>
      <c r="AF730" s="273">
        <f>ROUND(C289,0)</f>
        <v>0</v>
      </c>
      <c r="AG730" s="273">
        <f>ROUND(C304,0)</f>
        <v>1372466</v>
      </c>
      <c r="AH730" s="273">
        <f>ROUND(C305,0)</f>
        <v>6453477</v>
      </c>
      <c r="AI730" s="273">
        <f>ROUND(C306,0)</f>
        <v>2819127</v>
      </c>
      <c r="AJ730" s="273">
        <f>ROUND(C307,0)</f>
        <v>447459</v>
      </c>
      <c r="AK730" s="273">
        <f>ROUND(C308,0)</f>
        <v>0</v>
      </c>
      <c r="AL730" s="273">
        <f>ROUND(C309,0)</f>
        <v>2749649</v>
      </c>
      <c r="AM730" s="273">
        <f>ROUND(C310,0)</f>
        <v>0</v>
      </c>
      <c r="AN730" s="273">
        <f>ROUND(C311,0)</f>
        <v>0</v>
      </c>
      <c r="AO730" s="273">
        <f>ROUND(C312,0)</f>
        <v>0</v>
      </c>
      <c r="AP730" s="273">
        <f>ROUND(C313,0)</f>
        <v>0</v>
      </c>
      <c r="AQ730" s="273">
        <f>ROUND(C316,0)</f>
        <v>0</v>
      </c>
      <c r="AR730" s="273">
        <f>ROUND(C317,0)</f>
        <v>0</v>
      </c>
      <c r="AS730" s="273">
        <f>ROUND(C318,0)</f>
        <v>0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113778</v>
      </c>
      <c r="AX730" s="273">
        <f>ROUND(C325,0)</f>
        <v>21716073</v>
      </c>
      <c r="AY730" s="273">
        <f>ROUND(C326,0)</f>
        <v>2473927</v>
      </c>
      <c r="AZ730" s="273">
        <f>ROUND(C327,0)</f>
        <v>0</v>
      </c>
      <c r="BA730" s="273">
        <f>ROUND(C328,0)</f>
        <v>0</v>
      </c>
      <c r="BB730" s="273">
        <f>ROUND(C332,0)</f>
        <v>0</v>
      </c>
      <c r="BC730" s="273"/>
      <c r="BD730" s="273"/>
      <c r="BE730" s="273">
        <f>ROUND(C337,0)</f>
        <v>105873</v>
      </c>
      <c r="BF730" s="273">
        <f>ROUND(C336,0)</f>
        <v>0</v>
      </c>
      <c r="BG730" s="273"/>
      <c r="BH730" s="273"/>
      <c r="BI730" s="273">
        <f>ROUND(CE60,2)</f>
        <v>273.89999999999998</v>
      </c>
      <c r="BJ730" s="273">
        <f>ROUND(C359,0)</f>
        <v>38497867</v>
      </c>
      <c r="BK730" s="273">
        <f>ROUND(C360,0)</f>
        <v>101044832</v>
      </c>
      <c r="BL730" s="273">
        <f>ROUND(C364,0)</f>
        <v>86165463</v>
      </c>
      <c r="BM730" s="273">
        <f>ROUND(C365,0)</f>
        <v>910299</v>
      </c>
      <c r="BN730" s="273">
        <f>ROUND(C366,0)</f>
        <v>1017952</v>
      </c>
      <c r="BO730" s="273">
        <f>ROUND(C370,0)</f>
        <v>2855237</v>
      </c>
      <c r="BP730" s="273">
        <f>ROUND(C371,0)</f>
        <v>0</v>
      </c>
      <c r="BQ730" s="273">
        <f>ROUND(C378,0)</f>
        <v>24387413</v>
      </c>
      <c r="BR730" s="273">
        <f>ROUND(C379,0)</f>
        <v>7606228</v>
      </c>
      <c r="BS730" s="273">
        <f>ROUND(C380,0)</f>
        <v>1569773</v>
      </c>
      <c r="BT730" s="273">
        <f>ROUND(C381,0)</f>
        <v>7013745</v>
      </c>
      <c r="BU730" s="273">
        <f>ROUND(C382,0)</f>
        <v>653512</v>
      </c>
      <c r="BV730" s="273">
        <f>ROUND(C383,0)</f>
        <v>6099379</v>
      </c>
      <c r="BW730" s="273">
        <f>ROUND(C384,0)</f>
        <v>1943048</v>
      </c>
      <c r="BX730" s="273">
        <f>ROUND(C385,0)</f>
        <v>1030153</v>
      </c>
      <c r="BY730" s="273">
        <f>ROUND(C386,0)</f>
        <v>289007</v>
      </c>
      <c r="BZ730" s="273">
        <f>ROUND(C387,0)</f>
        <v>454533</v>
      </c>
      <c r="CA730" s="273">
        <f>ROUND(C388,0)</f>
        <v>35119</v>
      </c>
      <c r="CB730" s="273">
        <f>C363</f>
        <v>5017754</v>
      </c>
      <c r="CC730" s="273">
        <f>ROUND(C389,0)</f>
        <v>1321806</v>
      </c>
      <c r="CD730" s="273">
        <f>ROUND(C392,0)</f>
        <v>3424486</v>
      </c>
      <c r="CE730" s="273">
        <f>ROUND(C394,0)</f>
        <v>7241194</v>
      </c>
      <c r="CF730" s="200">
        <f>ROUND(C395,0)</f>
        <v>0</v>
      </c>
    </row>
    <row r="731" spans="1:84" ht="12.65" customHeight="1" x14ac:dyDescent="0.3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0" customFormat="1" ht="12.65" customHeight="1" x14ac:dyDescent="0.35">
      <c r="A732" s="200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2" customFormat="1" ht="12.65" customHeight="1" x14ac:dyDescent="0.35">
      <c r="A733" s="202" t="s">
        <v>745</v>
      </c>
      <c r="B733" s="202" t="s">
        <v>980</v>
      </c>
      <c r="C733" s="202" t="s">
        <v>981</v>
      </c>
      <c r="D733" s="202" t="s">
        <v>982</v>
      </c>
      <c r="E733" s="202" t="s">
        <v>983</v>
      </c>
      <c r="F733" s="202" t="s">
        <v>984</v>
      </c>
      <c r="G733" s="202" t="s">
        <v>985</v>
      </c>
      <c r="H733" s="202" t="s">
        <v>986</v>
      </c>
      <c r="I733" s="202" t="s">
        <v>987</v>
      </c>
      <c r="J733" s="202" t="s">
        <v>988</v>
      </c>
      <c r="K733" s="202" t="s">
        <v>989</v>
      </c>
      <c r="L733" s="202" t="s">
        <v>990</v>
      </c>
      <c r="M733" s="202" t="s">
        <v>991</v>
      </c>
      <c r="N733" s="202" t="s">
        <v>992</v>
      </c>
      <c r="O733" s="202" t="s">
        <v>993</v>
      </c>
      <c r="P733" s="202" t="s">
        <v>994</v>
      </c>
      <c r="Q733" s="202" t="s">
        <v>995</v>
      </c>
      <c r="R733" s="202" t="s">
        <v>996</v>
      </c>
      <c r="S733" s="202" t="s">
        <v>997</v>
      </c>
      <c r="T733" s="202" t="s">
        <v>998</v>
      </c>
      <c r="U733" s="202" t="s">
        <v>999</v>
      </c>
      <c r="V733" s="202" t="s">
        <v>1000</v>
      </c>
      <c r="W733" s="202" t="s">
        <v>1001</v>
      </c>
      <c r="X733" s="202" t="s">
        <v>1002</v>
      </c>
      <c r="Y733" s="202" t="s">
        <v>1003</v>
      </c>
    </row>
    <row r="734" spans="1:84" s="200" customFormat="1" ht="12.65" customHeight="1" x14ac:dyDescent="0.35">
      <c r="A734" s="201" t="str">
        <f>RIGHT($C$83,3)&amp;"*"&amp;RIGHT($C$82,4)&amp;"*"&amp;C$55&amp;"*"&amp;"A"</f>
        <v>104*2019*6010*A</v>
      </c>
      <c r="B734" s="273">
        <f>ROUND(C59,0)</f>
        <v>709</v>
      </c>
      <c r="C734" s="273">
        <f>ROUND(C60,2)</f>
        <v>8.01</v>
      </c>
      <c r="D734" s="273">
        <f>ROUND(C61,0)</f>
        <v>1023798</v>
      </c>
      <c r="E734" s="273">
        <f>ROUND(C62,0)</f>
        <v>319314</v>
      </c>
      <c r="F734" s="273">
        <f>ROUND(C63,0)</f>
        <v>0</v>
      </c>
      <c r="G734" s="273">
        <f>ROUND(C64,0)</f>
        <v>38381</v>
      </c>
      <c r="H734" s="273">
        <f>ROUND(C65,0)</f>
        <v>0</v>
      </c>
      <c r="I734" s="273">
        <f>ROUND(C66,0)</f>
        <v>22730</v>
      </c>
      <c r="J734" s="273">
        <f>ROUND(C67,0)</f>
        <v>43074</v>
      </c>
      <c r="K734" s="273">
        <f>ROUND(C68,0)</f>
        <v>6823</v>
      </c>
      <c r="L734" s="273">
        <f>ROUND(C69,0)</f>
        <v>0</v>
      </c>
      <c r="M734" s="273">
        <f>ROUND(C70,0)</f>
        <v>0</v>
      </c>
      <c r="N734" s="273">
        <f>ROUND(C75,0)</f>
        <v>2180304</v>
      </c>
      <c r="O734" s="273">
        <f>ROUND(C73,0)</f>
        <v>2133537</v>
      </c>
      <c r="P734" s="273">
        <f>IF(C76&gt;0,ROUND(C76,0),0)</f>
        <v>2200</v>
      </c>
      <c r="Q734" s="273">
        <f>IF(C77&gt;0,ROUND(C77,0),0)</f>
        <v>1985</v>
      </c>
      <c r="R734" s="273">
        <f>IF(C78&gt;0,ROUND(C78,0),0)</f>
        <v>1042</v>
      </c>
      <c r="S734" s="273">
        <f>IF(C79&gt;0,ROUND(C79,0),0)</f>
        <v>9927</v>
      </c>
      <c r="T734" s="273">
        <f>IF(C80&gt;0,ROUND(C80,2),0)</f>
        <v>7.98</v>
      </c>
      <c r="U734" s="273"/>
      <c r="V734" s="273"/>
      <c r="W734" s="273"/>
      <c r="X734" s="273"/>
      <c r="Y734" s="273">
        <f>IF(M668&lt;&gt;0,ROUND(M668,0),0)</f>
        <v>668963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5" customHeight="1" x14ac:dyDescent="0.35">
      <c r="A735" s="208" t="str">
        <f>RIGHT($C$83,3)&amp;"*"&amp;RIGHT($C$82,4)&amp;"*"&amp;D$55&amp;"*"&amp;"A"</f>
        <v>104*2019*6030*A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5" customHeight="1" x14ac:dyDescent="0.35">
      <c r="A736" s="208" t="str">
        <f>RIGHT($C$83,3)&amp;"*"&amp;RIGHT($C$82,4)&amp;"*"&amp;E$55&amp;"*"&amp;"A"</f>
        <v>104*2019*6070*A</v>
      </c>
      <c r="B736" s="273">
        <f>ROUND(E59,0)</f>
        <v>2666</v>
      </c>
      <c r="C736" s="275">
        <f>ROUND(E60,2)</f>
        <v>25.88</v>
      </c>
      <c r="D736" s="273">
        <f>ROUND(E61,0)</f>
        <v>2081321</v>
      </c>
      <c r="E736" s="273">
        <f>ROUND(E62,0)</f>
        <v>649146</v>
      </c>
      <c r="F736" s="273">
        <f>ROUND(E63,0)</f>
        <v>0</v>
      </c>
      <c r="G736" s="273">
        <f>ROUND(E64,0)</f>
        <v>123112</v>
      </c>
      <c r="H736" s="273">
        <f>ROUND(E65,0)</f>
        <v>0</v>
      </c>
      <c r="I736" s="273">
        <f>ROUND(E66,0)</f>
        <v>31977</v>
      </c>
      <c r="J736" s="273">
        <f>ROUND(E67,0)</f>
        <v>180619</v>
      </c>
      <c r="K736" s="273">
        <f>ROUND(E68,0)</f>
        <v>11840</v>
      </c>
      <c r="L736" s="273">
        <f>ROUND(E69,0)</f>
        <v>2154</v>
      </c>
      <c r="M736" s="273">
        <f>ROUND(E70,0)</f>
        <v>0</v>
      </c>
      <c r="N736" s="273">
        <f>ROUND(E75,0)</f>
        <v>5892704</v>
      </c>
      <c r="O736" s="273">
        <f>ROUND(E73,0)</f>
        <v>5094217</v>
      </c>
      <c r="P736" s="273">
        <f>IF(E76&gt;0,ROUND(E76,0),0)</f>
        <v>9225</v>
      </c>
      <c r="Q736" s="273">
        <f>IF(E77&gt;0,ROUND(E77,0),0)</f>
        <v>9503</v>
      </c>
      <c r="R736" s="273">
        <f>IF(E78&gt;0,ROUND(E78,0),0)</f>
        <v>4372</v>
      </c>
      <c r="S736" s="273">
        <f>IF(E79&gt;0,ROUND(E79,0),0)</f>
        <v>69481</v>
      </c>
      <c r="T736" s="275">
        <f>IF(E80&gt;0,ROUND(E80,2),0)</f>
        <v>22.12</v>
      </c>
      <c r="U736" s="273"/>
      <c r="V736" s="274"/>
      <c r="W736" s="273"/>
      <c r="X736" s="273"/>
      <c r="Y736" s="273">
        <f t="shared" si="21"/>
        <v>2094302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5" customHeight="1" x14ac:dyDescent="0.35">
      <c r="A737" s="208" t="str">
        <f>RIGHT($C$83,3)&amp;"*"&amp;RIGHT($C$82,4)&amp;"*"&amp;F$55&amp;"*"&amp;"A"</f>
        <v>104*2019*6100*A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5" customHeight="1" x14ac:dyDescent="0.35">
      <c r="A738" s="208" t="str">
        <f>RIGHT($C$83,3)&amp;"*"&amp;RIGHT($C$82,4)&amp;"*"&amp;G$55&amp;"*"&amp;"A"</f>
        <v>104*2019*6120*A</v>
      </c>
      <c r="B738" s="273">
        <f>ROUND(G59,0)</f>
        <v>4870</v>
      </c>
      <c r="C738" s="275">
        <f>ROUND(G60,2)</f>
        <v>1.41</v>
      </c>
      <c r="D738" s="273">
        <f>ROUND(G61,0)</f>
        <v>144392</v>
      </c>
      <c r="E738" s="273">
        <f>ROUND(G62,0)</f>
        <v>45035</v>
      </c>
      <c r="F738" s="273">
        <f>ROUND(G63,0)</f>
        <v>0</v>
      </c>
      <c r="G738" s="273">
        <f>ROUND(G64,0)</f>
        <v>3253</v>
      </c>
      <c r="H738" s="273">
        <f>ROUND(G65,0)</f>
        <v>0</v>
      </c>
      <c r="I738" s="273">
        <f>ROUND(G66,0)</f>
        <v>16563</v>
      </c>
      <c r="J738" s="273">
        <f>ROUND(G67,0)</f>
        <v>0</v>
      </c>
      <c r="K738" s="273">
        <f>ROUND(G68,0)</f>
        <v>0</v>
      </c>
      <c r="L738" s="273">
        <f>ROUND(G69,0)</f>
        <v>1350</v>
      </c>
      <c r="M738" s="273">
        <f>ROUND(G70,0)</f>
        <v>0</v>
      </c>
      <c r="N738" s="273">
        <f>ROUND(G75,0)</f>
        <v>888119</v>
      </c>
      <c r="O738" s="273">
        <f>ROUND(G73,0)</f>
        <v>475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78379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5" customHeight="1" x14ac:dyDescent="0.35">
      <c r="A739" s="208" t="str">
        <f>RIGHT($C$83,3)&amp;"*"&amp;RIGHT($C$82,4)&amp;"*"&amp;H$55&amp;"*"&amp;"A"</f>
        <v>104*2019*6140*A</v>
      </c>
      <c r="B739" s="273">
        <f>ROUND(H59,0)</f>
        <v>0</v>
      </c>
      <c r="C739" s="275">
        <f>ROUND(H60,2)</f>
        <v>0</v>
      </c>
      <c r="D739" s="273">
        <f>ROUND(H61,0)</f>
        <v>0</v>
      </c>
      <c r="E739" s="273">
        <f>ROUND(H62,0)</f>
        <v>0</v>
      </c>
      <c r="F739" s="273">
        <f>ROUND(H63,0)</f>
        <v>0</v>
      </c>
      <c r="G739" s="273">
        <f>ROUND(H64,0)</f>
        <v>0</v>
      </c>
      <c r="H739" s="273">
        <f>ROUND(H65,0)</f>
        <v>0</v>
      </c>
      <c r="I739" s="273">
        <f>ROUND(H66,0)</f>
        <v>0</v>
      </c>
      <c r="J739" s="273">
        <f>ROUND(H67,0)</f>
        <v>0</v>
      </c>
      <c r="K739" s="273">
        <f>ROUND(H68,0)</f>
        <v>0</v>
      </c>
      <c r="L739" s="273">
        <f>ROUND(H69,0)</f>
        <v>0</v>
      </c>
      <c r="M739" s="273">
        <f>ROUND(H70,0)</f>
        <v>0</v>
      </c>
      <c r="N739" s="273">
        <f>ROUND(H75,0)</f>
        <v>0</v>
      </c>
      <c r="O739" s="273">
        <f>ROUND(H73,0)</f>
        <v>0</v>
      </c>
      <c r="P739" s="273">
        <f>IF(H76&gt;0,ROUND(H76,0),0)</f>
        <v>0</v>
      </c>
      <c r="Q739" s="273">
        <f>IF(H77&gt;0,ROUND(H77,0),0)</f>
        <v>0</v>
      </c>
      <c r="R739" s="273">
        <f>IF(H78&gt;0,ROUND(H78,0),0)</f>
        <v>0</v>
      </c>
      <c r="S739" s="273">
        <f>IF(H79&gt;0,ROUND(H79,0),0)</f>
        <v>0</v>
      </c>
      <c r="T739" s="275">
        <f>IF(H80&gt;0,ROUND(H80,2),0)</f>
        <v>0</v>
      </c>
      <c r="U739" s="273"/>
      <c r="V739" s="274"/>
      <c r="W739" s="273"/>
      <c r="X739" s="273"/>
      <c r="Y739" s="273">
        <f t="shared" si="21"/>
        <v>0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5" customHeight="1" x14ac:dyDescent="0.35">
      <c r="A740" s="208" t="str">
        <f>RIGHT($C$83,3)&amp;"*"&amp;RIGHT($C$82,4)&amp;"*"&amp;I$55&amp;"*"&amp;"A"</f>
        <v>104*2019*6150*A</v>
      </c>
      <c r="B740" s="273">
        <f>ROUND(I59,0)</f>
        <v>7319</v>
      </c>
      <c r="C740" s="275">
        <f>ROUND(I60,2)</f>
        <v>32.090000000000003</v>
      </c>
      <c r="D740" s="273">
        <f>ROUND(I61,0)</f>
        <v>2513466</v>
      </c>
      <c r="E740" s="273">
        <f>ROUND(I62,0)</f>
        <v>783929</v>
      </c>
      <c r="F740" s="273">
        <f>ROUND(I63,0)</f>
        <v>0</v>
      </c>
      <c r="G740" s="273">
        <f>ROUND(I64,0)</f>
        <v>156271</v>
      </c>
      <c r="H740" s="273">
        <f>ROUND(I65,0)</f>
        <v>54923</v>
      </c>
      <c r="I740" s="273">
        <f>ROUND(I66,0)</f>
        <v>51097</v>
      </c>
      <c r="J740" s="273">
        <f>ROUND(I67,0)</f>
        <v>305202</v>
      </c>
      <c r="K740" s="273">
        <f>ROUND(I68,0)</f>
        <v>447654</v>
      </c>
      <c r="L740" s="273">
        <f>ROUND(I69,0)</f>
        <v>24999</v>
      </c>
      <c r="M740" s="273">
        <f>ROUND(I70,0)</f>
        <v>0</v>
      </c>
      <c r="N740" s="273">
        <f>ROUND(I75,0)</f>
        <v>7372926</v>
      </c>
      <c r="O740" s="273">
        <f>ROUND(I73,0)</f>
        <v>6880259</v>
      </c>
      <c r="P740" s="273">
        <f>IF(I76&gt;0,ROUND(I76,0),0)</f>
        <v>15588</v>
      </c>
      <c r="Q740" s="273">
        <f>IF(I77&gt;0,ROUND(I77,0),0)</f>
        <v>21957</v>
      </c>
      <c r="R740" s="273">
        <f>IF(I78&gt;0,ROUND(I78,0),0)</f>
        <v>7388</v>
      </c>
      <c r="S740" s="273">
        <f>IF(I79&gt;0,ROUND(I79,0),0)</f>
        <v>10584</v>
      </c>
      <c r="T740" s="275">
        <f>IF(I80&gt;0,ROUND(I80,2),0)</f>
        <v>12.9</v>
      </c>
      <c r="U740" s="273"/>
      <c r="V740" s="274"/>
      <c r="W740" s="273"/>
      <c r="X740" s="273"/>
      <c r="Y740" s="273">
        <f t="shared" si="21"/>
        <v>3210648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5" customHeight="1" x14ac:dyDescent="0.35">
      <c r="A741" s="208" t="str">
        <f>RIGHT($C$83,3)&amp;"*"&amp;RIGHT($C$82,4)&amp;"*"&amp;J$55&amp;"*"&amp;"A"</f>
        <v>104*2019*6170*A</v>
      </c>
      <c r="B741" s="273">
        <f>ROUND(J59,0)</f>
        <v>0</v>
      </c>
      <c r="C741" s="275">
        <f>ROUND(J60,2)</f>
        <v>0</v>
      </c>
      <c r="D741" s="273">
        <f>ROUND(J61,0)</f>
        <v>0</v>
      </c>
      <c r="E741" s="273">
        <f>ROUND(J62,0)</f>
        <v>0</v>
      </c>
      <c r="F741" s="273">
        <f>ROUND(J63,0)</f>
        <v>0</v>
      </c>
      <c r="G741" s="273">
        <f>ROUND(J64,0)</f>
        <v>0</v>
      </c>
      <c r="H741" s="273">
        <f>ROUND(J65,0)</f>
        <v>0</v>
      </c>
      <c r="I741" s="273">
        <f>ROUND(J66,0)</f>
        <v>0</v>
      </c>
      <c r="J741" s="273">
        <f>ROUND(J67,0)</f>
        <v>0</v>
      </c>
      <c r="K741" s="273">
        <f>ROUND(J68,0)</f>
        <v>0</v>
      </c>
      <c r="L741" s="273">
        <f>ROUND(J69,0)</f>
        <v>0</v>
      </c>
      <c r="M741" s="273">
        <f>ROUND(J70,0)</f>
        <v>0</v>
      </c>
      <c r="N741" s="273">
        <f>ROUND(J75,0)</f>
        <v>0</v>
      </c>
      <c r="O741" s="273">
        <f>ROUND(J73,0)</f>
        <v>0</v>
      </c>
      <c r="P741" s="273">
        <f>IF(J76&gt;0,ROUND(J76,0),0)</f>
        <v>0</v>
      </c>
      <c r="Q741" s="273">
        <f>IF(J77&gt;0,ROUND(J77,0),0)</f>
        <v>0</v>
      </c>
      <c r="R741" s="273">
        <f>IF(J78&gt;0,ROUND(J78,0),0)</f>
        <v>0</v>
      </c>
      <c r="S741" s="273">
        <f>IF(J79&gt;0,ROUND(J79,0),0)</f>
        <v>0</v>
      </c>
      <c r="T741" s="275">
        <f>IF(J80&gt;0,ROUND(J80,2),0)</f>
        <v>0</v>
      </c>
      <c r="U741" s="273"/>
      <c r="V741" s="274"/>
      <c r="W741" s="273"/>
      <c r="X741" s="273"/>
      <c r="Y741" s="273">
        <f t="shared" si="21"/>
        <v>0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5" customHeight="1" x14ac:dyDescent="0.35">
      <c r="A742" s="208" t="str">
        <f>RIGHT($C$83,3)&amp;"*"&amp;RIGHT($C$82,4)&amp;"*"&amp;K$55&amp;"*"&amp;"A"</f>
        <v>104*2019*6200*A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5" customHeight="1" x14ac:dyDescent="0.35">
      <c r="A743" s="208" t="str">
        <f>RIGHT($C$83,3)&amp;"*"&amp;RIGHT($C$82,4)&amp;"*"&amp;L$55&amp;"*"&amp;"A"</f>
        <v>104*2019*6210*A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5" customHeight="1" x14ac:dyDescent="0.35">
      <c r="A744" s="208" t="str">
        <f>RIGHT($C$83,3)&amp;"*"&amp;RIGHT($C$82,4)&amp;"*"&amp;M$55&amp;"*"&amp;"A"</f>
        <v>104*2019*6330*A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5" customHeight="1" x14ac:dyDescent="0.35">
      <c r="A745" s="208" t="str">
        <f>RIGHT($C$83,3)&amp;"*"&amp;RIGHT($C$82,4)&amp;"*"&amp;N$55&amp;"*"&amp;"A"</f>
        <v>104*2019*6400*A</v>
      </c>
      <c r="B745" s="273">
        <f>ROUND(N59,0)</f>
        <v>743</v>
      </c>
      <c r="C745" s="275">
        <f>ROUND(N60,2)</f>
        <v>2.83</v>
      </c>
      <c r="D745" s="273">
        <f>ROUND(N61,0)</f>
        <v>225581</v>
      </c>
      <c r="E745" s="273">
        <f>ROUND(N62,0)</f>
        <v>70357</v>
      </c>
      <c r="F745" s="273">
        <f>ROUND(N63,0)</f>
        <v>0</v>
      </c>
      <c r="G745" s="273">
        <f>ROUND(N64,0)</f>
        <v>629414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1058626</v>
      </c>
      <c r="O745" s="273">
        <f>ROUND(N73,0)</f>
        <v>5124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259160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5" customHeight="1" x14ac:dyDescent="0.35">
      <c r="A746" s="208" t="str">
        <f>RIGHT($C$83,3)&amp;"*"&amp;RIGHT($C$82,4)&amp;"*"&amp;O$55&amp;"*"&amp;"A"</f>
        <v>104*2019*7010*A</v>
      </c>
      <c r="B746" s="273">
        <f>ROUND(O59,0)</f>
        <v>0</v>
      </c>
      <c r="C746" s="275">
        <f>ROUND(O60,2)</f>
        <v>0</v>
      </c>
      <c r="D746" s="273">
        <f>ROUND(O61,0)</f>
        <v>0</v>
      </c>
      <c r="E746" s="273">
        <f>ROUND(O62,0)</f>
        <v>0</v>
      </c>
      <c r="F746" s="273">
        <f>ROUND(O63,0)</f>
        <v>0</v>
      </c>
      <c r="G746" s="273">
        <f>ROUND(O64,0)</f>
        <v>0</v>
      </c>
      <c r="H746" s="273">
        <f>ROUND(O65,0)</f>
        <v>0</v>
      </c>
      <c r="I746" s="273">
        <f>ROUND(O66,0)</f>
        <v>0</v>
      </c>
      <c r="J746" s="273">
        <f>ROUND(O67,0)</f>
        <v>0</v>
      </c>
      <c r="K746" s="273">
        <f>ROUND(O68,0)</f>
        <v>0</v>
      </c>
      <c r="L746" s="273">
        <f>ROUND(O69,0)</f>
        <v>0</v>
      </c>
      <c r="M746" s="273">
        <f>ROUND(O70,0)</f>
        <v>0</v>
      </c>
      <c r="N746" s="273">
        <f>ROUND(O75,0)</f>
        <v>0</v>
      </c>
      <c r="O746" s="273">
        <f>ROUND(O73,0)</f>
        <v>0</v>
      </c>
      <c r="P746" s="273">
        <f>IF(O76&gt;0,ROUND(O76,0),0)</f>
        <v>0</v>
      </c>
      <c r="Q746" s="273">
        <f>IF(O77&gt;0,ROUND(O77,0),0)</f>
        <v>0</v>
      </c>
      <c r="R746" s="273">
        <f>IF(O78&gt;0,ROUND(O78,0),0)</f>
        <v>0</v>
      </c>
      <c r="S746" s="273">
        <f>IF(O79&gt;0,ROUND(O79,0),0)</f>
        <v>0</v>
      </c>
      <c r="T746" s="275">
        <f>IF(O80&gt;0,ROUND(O80,2),0)</f>
        <v>0</v>
      </c>
      <c r="U746" s="273"/>
      <c r="V746" s="274"/>
      <c r="W746" s="273"/>
      <c r="X746" s="273"/>
      <c r="Y746" s="273">
        <f t="shared" si="21"/>
        <v>0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5" customHeight="1" x14ac:dyDescent="0.35">
      <c r="A747" s="208" t="str">
        <f>RIGHT($C$83,3)&amp;"*"&amp;RIGHT($C$82,4)&amp;"*"&amp;P$55&amp;"*"&amp;"A"</f>
        <v>104*2019*7020*A</v>
      </c>
      <c r="B747" s="273">
        <f>ROUND(P59,0)</f>
        <v>103428</v>
      </c>
      <c r="C747" s="275">
        <f>ROUND(P60,2)</f>
        <v>10.83</v>
      </c>
      <c r="D747" s="273">
        <f>ROUND(P61,0)</f>
        <v>1037991</v>
      </c>
      <c r="E747" s="273">
        <f>ROUND(P62,0)</f>
        <v>323741</v>
      </c>
      <c r="F747" s="273">
        <f>ROUND(P63,0)</f>
        <v>0</v>
      </c>
      <c r="G747" s="273">
        <f>ROUND(P64,0)</f>
        <v>2959609</v>
      </c>
      <c r="H747" s="273">
        <f>ROUND(P65,0)</f>
        <v>0</v>
      </c>
      <c r="I747" s="273">
        <f>ROUND(P66,0)</f>
        <v>83221</v>
      </c>
      <c r="J747" s="273">
        <f>ROUND(P67,0)</f>
        <v>106159</v>
      </c>
      <c r="K747" s="273">
        <f>ROUND(P68,0)</f>
        <v>0</v>
      </c>
      <c r="L747" s="273">
        <f>ROUND(P69,0)</f>
        <v>793</v>
      </c>
      <c r="M747" s="273">
        <f>ROUND(P70,0)</f>
        <v>0</v>
      </c>
      <c r="N747" s="273">
        <f>ROUND(P75,0)</f>
        <v>22915844</v>
      </c>
      <c r="O747" s="273">
        <f>ROUND(P73,0)</f>
        <v>9783698</v>
      </c>
      <c r="P747" s="273">
        <f>IF(P76&gt;0,ROUND(P76,0),0)</f>
        <v>5422</v>
      </c>
      <c r="Q747" s="273">
        <f>IF(P77&gt;0,ROUND(P77,0),0)</f>
        <v>0</v>
      </c>
      <c r="R747" s="273">
        <f>IF(P78&gt;0,ROUND(P78,0),0)</f>
        <v>2569</v>
      </c>
      <c r="S747" s="273">
        <f>IF(P79&gt;0,ROUND(P79,0),0)</f>
        <v>49633</v>
      </c>
      <c r="T747" s="275">
        <f>IF(P80&gt;0,ROUND(P80,2),0)</f>
        <v>3.59</v>
      </c>
      <c r="U747" s="273"/>
      <c r="V747" s="274"/>
      <c r="W747" s="273"/>
      <c r="X747" s="273"/>
      <c r="Y747" s="273">
        <f t="shared" si="21"/>
        <v>2324971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5" customHeight="1" x14ac:dyDescent="0.35">
      <c r="A748" s="208" t="str">
        <f>RIGHT($C$83,3)&amp;"*"&amp;RIGHT($C$82,4)&amp;"*"&amp;Q$55&amp;"*"&amp;"A"</f>
        <v>104*2019*7030*A</v>
      </c>
      <c r="B748" s="273">
        <f>ROUND(Q59,0)</f>
        <v>65374</v>
      </c>
      <c r="C748" s="275">
        <f>ROUND(Q60,2)</f>
        <v>2.2799999999999998</v>
      </c>
      <c r="D748" s="273">
        <f>ROUND(Q61,0)</f>
        <v>335955</v>
      </c>
      <c r="E748" s="273">
        <f>ROUND(Q62,0)</f>
        <v>104782</v>
      </c>
      <c r="F748" s="273">
        <f>ROUND(Q63,0)</f>
        <v>0</v>
      </c>
      <c r="G748" s="273">
        <f>ROUND(Q64,0)</f>
        <v>3167</v>
      </c>
      <c r="H748" s="273">
        <f>ROUND(Q65,0)</f>
        <v>0</v>
      </c>
      <c r="I748" s="273">
        <f>ROUND(Q66,0)</f>
        <v>41022</v>
      </c>
      <c r="J748" s="273">
        <f>ROUND(Q67,0)</f>
        <v>11748</v>
      </c>
      <c r="K748" s="273">
        <f>ROUND(Q68,0)</f>
        <v>0</v>
      </c>
      <c r="L748" s="273">
        <f>ROUND(Q69,0)</f>
        <v>250</v>
      </c>
      <c r="M748" s="273">
        <f>ROUND(Q70,0)</f>
        <v>0</v>
      </c>
      <c r="N748" s="273">
        <f>ROUND(Q75,0)</f>
        <v>2379193</v>
      </c>
      <c r="O748" s="273">
        <f>ROUND(Q73,0)</f>
        <v>890194</v>
      </c>
      <c r="P748" s="273">
        <f>IF(Q76&gt;0,ROUND(Q76,0),0)</f>
        <v>600</v>
      </c>
      <c r="Q748" s="273">
        <f>IF(Q77&gt;0,ROUND(Q77,0),0)</f>
        <v>0</v>
      </c>
      <c r="R748" s="273">
        <f>IF(Q78&gt;0,ROUND(Q78,0),0)</f>
        <v>285</v>
      </c>
      <c r="S748" s="273">
        <f>IF(Q79&gt;0,ROUND(Q79,0),0)</f>
        <v>0</v>
      </c>
      <c r="T748" s="275">
        <f>IF(Q80&gt;0,ROUND(Q80,2),0)</f>
        <v>2.2799999999999998</v>
      </c>
      <c r="U748" s="273"/>
      <c r="V748" s="274"/>
      <c r="W748" s="273"/>
      <c r="X748" s="273"/>
      <c r="Y748" s="273">
        <f t="shared" si="21"/>
        <v>241598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5" customHeight="1" x14ac:dyDescent="0.35">
      <c r="A749" s="208" t="str">
        <f>RIGHT($C$83,3)&amp;"*"&amp;RIGHT($C$82,4)&amp;"*"&amp;R$55&amp;"*"&amp;"A"</f>
        <v>104*2019*7040*A</v>
      </c>
      <c r="B749" s="273">
        <f>ROUND(R59,0)</f>
        <v>103428</v>
      </c>
      <c r="C749" s="275">
        <f>ROUND(R60,2)</f>
        <v>0</v>
      </c>
      <c r="D749" s="273">
        <f>ROUND(R61,0)</f>
        <v>0</v>
      </c>
      <c r="E749" s="273">
        <f>ROUND(R62,0)</f>
        <v>0</v>
      </c>
      <c r="F749" s="273">
        <f>ROUND(R63,0)</f>
        <v>0</v>
      </c>
      <c r="G749" s="273">
        <f>ROUND(R64,0)</f>
        <v>53026</v>
      </c>
      <c r="H749" s="273">
        <f>ROUND(R65,0)</f>
        <v>0</v>
      </c>
      <c r="I749" s="273">
        <f>ROUND(R66,0)</f>
        <v>423638</v>
      </c>
      <c r="J749" s="273">
        <f>ROUND(R67,0)</f>
        <v>3563</v>
      </c>
      <c r="K749" s="273">
        <f>ROUND(R68,0)</f>
        <v>0</v>
      </c>
      <c r="L749" s="273">
        <f>ROUND(R69,0)</f>
        <v>0</v>
      </c>
      <c r="M749" s="273">
        <f>ROUND(R70,0)</f>
        <v>0</v>
      </c>
      <c r="N749" s="273">
        <f>ROUND(R75,0)</f>
        <v>2085744</v>
      </c>
      <c r="O749" s="273">
        <f>ROUND(R73,0)</f>
        <v>779909</v>
      </c>
      <c r="P749" s="273">
        <f>IF(R76&gt;0,ROUND(R76,0),0)</f>
        <v>182</v>
      </c>
      <c r="Q749" s="273">
        <f>IF(R77&gt;0,ROUND(R77,0),0)</f>
        <v>0</v>
      </c>
      <c r="R749" s="273">
        <f>IF(R78&gt;0,ROUND(R78,0),0)</f>
        <v>86</v>
      </c>
      <c r="S749" s="273">
        <f>IF(R79&gt;0,ROUND(R79,0),0)</f>
        <v>0</v>
      </c>
      <c r="T749" s="275">
        <f>IF(R80&gt;0,ROUND(R80,2),0)</f>
        <v>0</v>
      </c>
      <c r="U749" s="273"/>
      <c r="V749" s="274"/>
      <c r="W749" s="273"/>
      <c r="X749" s="273"/>
      <c r="Y749" s="273">
        <f t="shared" si="21"/>
        <v>186200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5" customHeight="1" x14ac:dyDescent="0.35">
      <c r="A750" s="208" t="str">
        <f>RIGHT($C$83,3)&amp;"*"&amp;RIGHT($C$82,4)&amp;"*"&amp;S$55&amp;"*"&amp;"A"</f>
        <v>104*2019*7050*A</v>
      </c>
      <c r="B750" s="273"/>
      <c r="C750" s="275">
        <f>ROUND(S60,2)</f>
        <v>0</v>
      </c>
      <c r="D750" s="273">
        <f>ROUND(S61,0)</f>
        <v>102506</v>
      </c>
      <c r="E750" s="273">
        <f>ROUND(S62,0)</f>
        <v>31971</v>
      </c>
      <c r="F750" s="273">
        <f>ROUND(S63,0)</f>
        <v>0</v>
      </c>
      <c r="G750" s="273">
        <f>ROUND(S64,0)</f>
        <v>50055</v>
      </c>
      <c r="H750" s="273">
        <f>ROUND(S65,0)</f>
        <v>0</v>
      </c>
      <c r="I750" s="273">
        <f>ROUND(S66,0)</f>
        <v>10661</v>
      </c>
      <c r="J750" s="273">
        <f>ROUND(S67,0)</f>
        <v>0</v>
      </c>
      <c r="K750" s="273">
        <f>ROUND(S68,0)</f>
        <v>0</v>
      </c>
      <c r="L750" s="273">
        <f>ROUND(S69,0)</f>
        <v>0</v>
      </c>
      <c r="M750" s="273">
        <f>ROUND(S70,0)</f>
        <v>0</v>
      </c>
      <c r="N750" s="273">
        <f>ROUND(S75,0)</f>
        <v>0</v>
      </c>
      <c r="O750" s="273">
        <f>ROUND(S73,0)</f>
        <v>0</v>
      </c>
      <c r="P750" s="273">
        <f>IF(S76&gt;0,ROUND(S76,0),0)</f>
        <v>0</v>
      </c>
      <c r="Q750" s="273">
        <f>IF(S77&gt;0,ROUND(S77,0),0)</f>
        <v>0</v>
      </c>
      <c r="R750" s="273">
        <f>IF(S78&gt;0,ROUND(S78,0),0)</f>
        <v>0</v>
      </c>
      <c r="S750" s="273">
        <f>IF(S79&gt;0,ROUND(S79,0),0)</f>
        <v>0</v>
      </c>
      <c r="T750" s="275">
        <f>IF(S80&gt;0,ROUND(S80,2),0)</f>
        <v>0</v>
      </c>
      <c r="U750" s="273"/>
      <c r="V750" s="274"/>
      <c r="W750" s="273"/>
      <c r="X750" s="273"/>
      <c r="Y750" s="273">
        <f t="shared" si="21"/>
        <v>40302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5" customHeight="1" x14ac:dyDescent="0.35">
      <c r="A751" s="208" t="str">
        <f>RIGHT($C$83,3)&amp;"*"&amp;RIGHT($C$82,4)&amp;"*"&amp;T$55&amp;"*"&amp;"A"</f>
        <v>104*2019*7060*A</v>
      </c>
      <c r="B751" s="273"/>
      <c r="C751" s="275">
        <f>ROUND(T60,2)</f>
        <v>0</v>
      </c>
      <c r="D751" s="273">
        <f>ROUND(T61,0)</f>
        <v>0</v>
      </c>
      <c r="E751" s="273">
        <f>ROUND(T62,0)</f>
        <v>0</v>
      </c>
      <c r="F751" s="273">
        <f>ROUND(T63,0)</f>
        <v>0</v>
      </c>
      <c r="G751" s="273">
        <f>ROUND(T64,0)</f>
        <v>0</v>
      </c>
      <c r="H751" s="273">
        <f>ROUND(T65,0)</f>
        <v>0</v>
      </c>
      <c r="I751" s="273">
        <f>ROUND(T66,0)</f>
        <v>0</v>
      </c>
      <c r="J751" s="273">
        <f>ROUND(T67,0)</f>
        <v>0</v>
      </c>
      <c r="K751" s="273">
        <f>ROUND(T68,0)</f>
        <v>0</v>
      </c>
      <c r="L751" s="273">
        <f>ROUND(T69,0)</f>
        <v>0</v>
      </c>
      <c r="M751" s="273">
        <f>ROUND(T70,0)</f>
        <v>0</v>
      </c>
      <c r="N751" s="273">
        <f>ROUND(T75,0)</f>
        <v>0</v>
      </c>
      <c r="O751" s="273">
        <f>ROUND(T73,0)</f>
        <v>0</v>
      </c>
      <c r="P751" s="273">
        <f>IF(T76&gt;0,ROUND(T76,0),0)</f>
        <v>0</v>
      </c>
      <c r="Q751" s="273">
        <f>IF(T77&gt;0,ROUND(T77,0),0)</f>
        <v>0</v>
      </c>
      <c r="R751" s="273">
        <f>IF(T78&gt;0,ROUND(T78,0),0)</f>
        <v>0</v>
      </c>
      <c r="S751" s="273">
        <f>IF(T79&gt;0,ROUND(T79,0),0)</f>
        <v>0</v>
      </c>
      <c r="T751" s="275">
        <f>IF(T80&gt;0,ROUND(T80,2),0)</f>
        <v>0</v>
      </c>
      <c r="U751" s="273"/>
      <c r="V751" s="274"/>
      <c r="W751" s="273"/>
      <c r="X751" s="273"/>
      <c r="Y751" s="273">
        <f t="shared" si="21"/>
        <v>0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5" customHeight="1" x14ac:dyDescent="0.35">
      <c r="A752" s="208" t="str">
        <f>RIGHT($C$83,3)&amp;"*"&amp;RIGHT($C$82,4)&amp;"*"&amp;U$55&amp;"*"&amp;"A"</f>
        <v>104*2019*7070*A</v>
      </c>
      <c r="B752" s="273">
        <f>ROUND(U59,0)</f>
        <v>127100</v>
      </c>
      <c r="C752" s="275">
        <f>ROUND(U60,2)</f>
        <v>10.88</v>
      </c>
      <c r="D752" s="273">
        <f>ROUND(U61,0)</f>
        <v>1126041</v>
      </c>
      <c r="E752" s="273">
        <f>ROUND(U62,0)</f>
        <v>351203</v>
      </c>
      <c r="F752" s="273">
        <f>ROUND(U63,0)</f>
        <v>0</v>
      </c>
      <c r="G752" s="273">
        <f>ROUND(U64,0)</f>
        <v>654112</v>
      </c>
      <c r="H752" s="273">
        <f>ROUND(U65,0)</f>
        <v>0</v>
      </c>
      <c r="I752" s="273">
        <f>ROUND(U66,0)</f>
        <v>449158</v>
      </c>
      <c r="J752" s="273">
        <f>ROUND(U67,0)</f>
        <v>25061</v>
      </c>
      <c r="K752" s="273">
        <f>ROUND(U68,0)</f>
        <v>30277</v>
      </c>
      <c r="L752" s="273">
        <f>ROUND(U69,0)</f>
        <v>6703</v>
      </c>
      <c r="M752" s="273">
        <f>ROUND(U70,0)</f>
        <v>0</v>
      </c>
      <c r="N752" s="273">
        <f>ROUND(U75,0)</f>
        <v>11082451</v>
      </c>
      <c r="O752" s="273">
        <f>ROUND(U73,0)</f>
        <v>2446900</v>
      </c>
      <c r="P752" s="273">
        <f>IF(U76&gt;0,ROUND(U76,0),0)</f>
        <v>1280</v>
      </c>
      <c r="Q752" s="273">
        <f>IF(U77&gt;0,ROUND(U77,0),0)</f>
        <v>0</v>
      </c>
      <c r="R752" s="273">
        <f>IF(U78&gt;0,ROUND(U78,0),0)</f>
        <v>607</v>
      </c>
      <c r="S752" s="273">
        <f>IF(U79&gt;0,ROUND(U79,0),0)</f>
        <v>0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1067231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5" customHeight="1" x14ac:dyDescent="0.35">
      <c r="A753" s="208" t="str">
        <f>RIGHT($C$83,3)&amp;"*"&amp;RIGHT($C$82,4)&amp;"*"&amp;V$55&amp;"*"&amp;"A"</f>
        <v>104*2019*7110*A</v>
      </c>
      <c r="B753" s="273">
        <f>ROUND(V59,0)</f>
        <v>4095</v>
      </c>
      <c r="C753" s="275">
        <f>ROUND(V60,2)</f>
        <v>1.23</v>
      </c>
      <c r="D753" s="273">
        <f>ROUND(V61,0)</f>
        <v>0</v>
      </c>
      <c r="E753" s="273">
        <f>ROUND(V62,0)</f>
        <v>0</v>
      </c>
      <c r="F753" s="273">
        <f>ROUND(V63,0)</f>
        <v>0</v>
      </c>
      <c r="G753" s="273">
        <f>ROUND(V64,0)</f>
        <v>0</v>
      </c>
      <c r="H753" s="273">
        <f>ROUND(V65,0)</f>
        <v>0</v>
      </c>
      <c r="I753" s="273">
        <f>ROUND(V66,0)</f>
        <v>0</v>
      </c>
      <c r="J753" s="273">
        <f>ROUND(V67,0)</f>
        <v>0</v>
      </c>
      <c r="K753" s="273">
        <f>ROUND(V68,0)</f>
        <v>0</v>
      </c>
      <c r="L753" s="273">
        <f>ROUND(V69,0)</f>
        <v>0</v>
      </c>
      <c r="M753" s="273">
        <f>ROUND(V70,0)</f>
        <v>0</v>
      </c>
      <c r="N753" s="273">
        <f>ROUND(V75,0)</f>
        <v>1231383</v>
      </c>
      <c r="O753" s="273">
        <f>ROUND(V73,0)</f>
        <v>172719</v>
      </c>
      <c r="P753" s="273">
        <f>IF(V76&gt;0,ROUND(V76,0),0)</f>
        <v>0</v>
      </c>
      <c r="Q753" s="273">
        <f>IF(V77&gt;0,ROUND(V77,0),0)</f>
        <v>0</v>
      </c>
      <c r="R753" s="273">
        <f>IF(V78&gt;0,ROUND(V78,0),0)</f>
        <v>0</v>
      </c>
      <c r="S753" s="273">
        <f>IF(V79&gt;0,ROUND(V79,0),0)</f>
        <v>0</v>
      </c>
      <c r="T753" s="275">
        <f>IF(V80&gt;0,ROUND(V80,2),0)</f>
        <v>0</v>
      </c>
      <c r="U753" s="273"/>
      <c r="V753" s="274"/>
      <c r="W753" s="273"/>
      <c r="X753" s="273"/>
      <c r="Y753" s="273">
        <f t="shared" si="21"/>
        <v>50530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5" customHeight="1" x14ac:dyDescent="0.35">
      <c r="A754" s="208" t="str">
        <f>RIGHT($C$83,3)&amp;"*"&amp;RIGHT($C$82,4)&amp;"*"&amp;W$55&amp;"*"&amp;"A"</f>
        <v>104*2019*7120*A</v>
      </c>
      <c r="B754" s="273">
        <f>ROUND(W59,0)</f>
        <v>1142</v>
      </c>
      <c r="C754" s="275">
        <f>ROUND(W60,2)</f>
        <v>2.02</v>
      </c>
      <c r="D754" s="273">
        <f>ROUND(W61,0)</f>
        <v>239125</v>
      </c>
      <c r="E754" s="273">
        <f>ROUND(W62,0)</f>
        <v>74581</v>
      </c>
      <c r="F754" s="273">
        <f>ROUND(W63,0)</f>
        <v>0</v>
      </c>
      <c r="G754" s="273">
        <f>ROUND(W64,0)</f>
        <v>7292</v>
      </c>
      <c r="H754" s="273">
        <f>ROUND(W65,0)</f>
        <v>0</v>
      </c>
      <c r="I754" s="273">
        <f>ROUND(W66,0)</f>
        <v>120494</v>
      </c>
      <c r="J754" s="273">
        <f>ROUND(W67,0)</f>
        <v>9398</v>
      </c>
      <c r="K754" s="273">
        <f>ROUND(W68,0)</f>
        <v>57325</v>
      </c>
      <c r="L754" s="273">
        <f>ROUND(W69,0)</f>
        <v>0</v>
      </c>
      <c r="M754" s="273">
        <f>ROUND(W70,0)</f>
        <v>0</v>
      </c>
      <c r="N754" s="273">
        <f>ROUND(W75,0)</f>
        <v>3708206</v>
      </c>
      <c r="O754" s="273">
        <f>ROUND(W73,0)</f>
        <v>190702</v>
      </c>
      <c r="P754" s="273">
        <f>IF(W76&gt;0,ROUND(W76,0),0)</f>
        <v>480</v>
      </c>
      <c r="Q754" s="273">
        <f>IF(W77&gt;0,ROUND(W77,0),0)</f>
        <v>0</v>
      </c>
      <c r="R754" s="273">
        <f>IF(W78&gt;0,ROUND(W78,0),0)</f>
        <v>227</v>
      </c>
      <c r="S754" s="273">
        <f>IF(W79&gt;0,ROUND(W79,0),0)</f>
        <v>427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273153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5" customHeight="1" x14ac:dyDescent="0.35">
      <c r="A755" s="208" t="str">
        <f>RIGHT($C$83,3)&amp;"*"&amp;RIGHT($C$82,4)&amp;"*"&amp;X$55&amp;"*"&amp;"A"</f>
        <v>104*2019*7130*A</v>
      </c>
      <c r="B755" s="273">
        <f>ROUND(X59,0)</f>
        <v>5093</v>
      </c>
      <c r="C755" s="275">
        <f>ROUND(X60,2)</f>
        <v>7.86</v>
      </c>
      <c r="D755" s="273">
        <f>ROUND(X61,0)</f>
        <v>607077</v>
      </c>
      <c r="E755" s="273">
        <f>ROUND(X62,0)</f>
        <v>189342</v>
      </c>
      <c r="F755" s="273">
        <f>ROUND(X63,0)</f>
        <v>0</v>
      </c>
      <c r="G755" s="273">
        <f>ROUND(X64,0)</f>
        <v>46979</v>
      </c>
      <c r="H755" s="273">
        <f>ROUND(X65,0)</f>
        <v>0</v>
      </c>
      <c r="I755" s="273">
        <f>ROUND(X66,0)</f>
        <v>105103</v>
      </c>
      <c r="J755" s="273">
        <f>ROUND(X67,0)</f>
        <v>7930</v>
      </c>
      <c r="K755" s="273">
        <f>ROUND(X68,0)</f>
        <v>0</v>
      </c>
      <c r="L755" s="273">
        <f>ROUND(X69,0)</f>
        <v>150</v>
      </c>
      <c r="M755" s="273">
        <f>ROUND(X70,0)</f>
        <v>0</v>
      </c>
      <c r="N755" s="273">
        <f>ROUND(X75,0)</f>
        <v>14880526</v>
      </c>
      <c r="O755" s="273">
        <f>ROUND(X73,0)</f>
        <v>2054003</v>
      </c>
      <c r="P755" s="273">
        <f>IF(X76&gt;0,ROUND(X76,0),0)</f>
        <v>405</v>
      </c>
      <c r="Q755" s="273">
        <f>IF(X77&gt;0,ROUND(X77,0),0)</f>
        <v>0</v>
      </c>
      <c r="R755" s="273">
        <f>IF(X78&gt;0,ROUND(X78,0),0)</f>
        <v>191</v>
      </c>
      <c r="S755" s="273">
        <f>IF(X79&gt;0,ROUND(X79,0),0)</f>
        <v>0</v>
      </c>
      <c r="T755" s="275">
        <f>IF(X80&gt;0,ROUND(X80,2),0)</f>
        <v>0</v>
      </c>
      <c r="U755" s="273"/>
      <c r="V755" s="274"/>
      <c r="W755" s="273"/>
      <c r="X755" s="273"/>
      <c r="Y755" s="273">
        <f t="shared" si="21"/>
        <v>803939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5" customHeight="1" x14ac:dyDescent="0.35">
      <c r="A756" s="208" t="str">
        <f>RIGHT($C$83,3)&amp;"*"&amp;RIGHT($C$82,4)&amp;"*"&amp;Y$55&amp;"*"&amp;"A"</f>
        <v>104*2019*7140*A</v>
      </c>
      <c r="B756" s="273">
        <f>ROUND(Y59,0)</f>
        <v>9425</v>
      </c>
      <c r="C756" s="275">
        <f>ROUND(Y60,2)</f>
        <v>2.97</v>
      </c>
      <c r="D756" s="273">
        <f>ROUND(Y61,0)</f>
        <v>217206</v>
      </c>
      <c r="E756" s="273">
        <f>ROUND(Y62,0)</f>
        <v>67745</v>
      </c>
      <c r="F756" s="273">
        <f>ROUND(Y63,0)</f>
        <v>0</v>
      </c>
      <c r="G756" s="273">
        <f>ROUND(Y64,0)</f>
        <v>16081</v>
      </c>
      <c r="H756" s="273">
        <f>ROUND(Y65,0)</f>
        <v>0</v>
      </c>
      <c r="I756" s="273">
        <f>ROUND(Y66,0)</f>
        <v>160654</v>
      </c>
      <c r="J756" s="273">
        <f>ROUND(Y67,0)</f>
        <v>49888</v>
      </c>
      <c r="K756" s="273">
        <f>ROUND(Y68,0)</f>
        <v>0</v>
      </c>
      <c r="L756" s="273">
        <f>ROUND(Y69,0)</f>
        <v>1523</v>
      </c>
      <c r="M756" s="273">
        <f>ROUND(Y70,0)</f>
        <v>0</v>
      </c>
      <c r="N756" s="273">
        <f>ROUND(Y75,0)</f>
        <v>3873468</v>
      </c>
      <c r="O756" s="273">
        <f>ROUND(Y73,0)</f>
        <v>541498</v>
      </c>
      <c r="P756" s="273">
        <f>IF(Y76&gt;0,ROUND(Y76,0),0)</f>
        <v>2548</v>
      </c>
      <c r="Q756" s="273">
        <f>IF(Y77&gt;0,ROUND(Y77,0),0)</f>
        <v>0</v>
      </c>
      <c r="R756" s="273">
        <f>IF(Y78&gt;0,ROUND(Y78,0),0)</f>
        <v>1207</v>
      </c>
      <c r="S756" s="273">
        <f>IF(Y79&gt;0,ROUND(Y79,0),0)</f>
        <v>427</v>
      </c>
      <c r="T756" s="275">
        <f>IF(Y80&gt;0,ROUND(Y80,2),0)</f>
        <v>0</v>
      </c>
      <c r="U756" s="273"/>
      <c r="V756" s="274"/>
      <c r="W756" s="273"/>
      <c r="X756" s="273"/>
      <c r="Y756" s="273">
        <f t="shared" si="21"/>
        <v>393715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5" customHeight="1" x14ac:dyDescent="0.35">
      <c r="A757" s="208" t="str">
        <f>RIGHT($C$83,3)&amp;"*"&amp;RIGHT($C$82,4)&amp;"*"&amp;Z$55&amp;"*"&amp;"A"</f>
        <v>104*2019*7150*A</v>
      </c>
      <c r="B757" s="273">
        <f>ROUND(Z59,0)</f>
        <v>0</v>
      </c>
      <c r="C757" s="275">
        <f>ROUND(Z60,2)</f>
        <v>0</v>
      </c>
      <c r="D757" s="273">
        <f>ROUND(Z61,0)</f>
        <v>0</v>
      </c>
      <c r="E757" s="273">
        <f>ROUND(Z62,0)</f>
        <v>0</v>
      </c>
      <c r="F757" s="273">
        <f>ROUND(Z63,0)</f>
        <v>0</v>
      </c>
      <c r="G757" s="273">
        <f>ROUND(Z64,0)</f>
        <v>0</v>
      </c>
      <c r="H757" s="273">
        <f>ROUND(Z65,0)</f>
        <v>0</v>
      </c>
      <c r="I757" s="273">
        <f>ROUND(Z66,0)</f>
        <v>0</v>
      </c>
      <c r="J757" s="273">
        <f>ROUND(Z67,0)</f>
        <v>0</v>
      </c>
      <c r="K757" s="273">
        <f>ROUND(Z68,0)</f>
        <v>0</v>
      </c>
      <c r="L757" s="273">
        <f>ROUND(Z69,0)</f>
        <v>0</v>
      </c>
      <c r="M757" s="273">
        <f>ROUND(Z70,0)</f>
        <v>0</v>
      </c>
      <c r="N757" s="273">
        <f>ROUND(Z75,0)</f>
        <v>0</v>
      </c>
      <c r="O757" s="273">
        <f>ROUND(Z73,0)</f>
        <v>0</v>
      </c>
      <c r="P757" s="273">
        <f>IF(Z76&gt;0,ROUND(Z76,0),0)</f>
        <v>0</v>
      </c>
      <c r="Q757" s="273">
        <f>IF(Z77&gt;0,ROUND(Z77,0),0)</f>
        <v>0</v>
      </c>
      <c r="R757" s="273">
        <f>IF(Z78&gt;0,ROUND(Z78,0),0)</f>
        <v>0</v>
      </c>
      <c r="S757" s="273">
        <f>IF(Z79&gt;0,ROUND(Z79,0),0)</f>
        <v>0</v>
      </c>
      <c r="T757" s="275">
        <f>IF(Z80&gt;0,ROUND(Z80,2),0)</f>
        <v>0</v>
      </c>
      <c r="U757" s="273"/>
      <c r="V757" s="274"/>
      <c r="W757" s="273"/>
      <c r="X757" s="273"/>
      <c r="Y757" s="273">
        <f t="shared" si="21"/>
        <v>0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5" customHeight="1" x14ac:dyDescent="0.35">
      <c r="A758" s="208" t="str">
        <f>RIGHT($C$83,3)&amp;"*"&amp;RIGHT($C$82,4)&amp;"*"&amp;AA$55&amp;"*"&amp;"A"</f>
        <v>104*2019*7160*A</v>
      </c>
      <c r="B758" s="273">
        <f>ROUND(AA59,0)</f>
        <v>50</v>
      </c>
      <c r="C758" s="275">
        <f>ROUND(AA60,2)</f>
        <v>0.62</v>
      </c>
      <c r="D758" s="273">
        <f>ROUND(AA61,0)</f>
        <v>52481</v>
      </c>
      <c r="E758" s="273">
        <f>ROUND(AA62,0)</f>
        <v>16368</v>
      </c>
      <c r="F758" s="273">
        <f>ROUND(AA63,0)</f>
        <v>0</v>
      </c>
      <c r="G758" s="273">
        <f>ROUND(AA64,0)</f>
        <v>4784</v>
      </c>
      <c r="H758" s="273">
        <f>ROUND(AA65,0)</f>
        <v>0</v>
      </c>
      <c r="I758" s="273">
        <f>ROUND(AA66,0)</f>
        <v>21897</v>
      </c>
      <c r="J758" s="273">
        <f>ROUND(AA67,0)</f>
        <v>8360</v>
      </c>
      <c r="K758" s="273">
        <f>ROUND(AA68,0)</f>
        <v>0</v>
      </c>
      <c r="L758" s="273">
        <f>ROUND(AA69,0)</f>
        <v>12172</v>
      </c>
      <c r="M758" s="273">
        <f>ROUND(AA70,0)</f>
        <v>0</v>
      </c>
      <c r="N758" s="273">
        <f>ROUND(AA75,0)</f>
        <v>189007</v>
      </c>
      <c r="O758" s="273">
        <f>ROUND(AA73,0)</f>
        <v>20796</v>
      </c>
      <c r="P758" s="273">
        <f>IF(AA76&gt;0,ROUND(AA76,0),0)</f>
        <v>427</v>
      </c>
      <c r="Q758" s="273">
        <f>IF(AA77&gt;0,ROUND(AA77,0),0)</f>
        <v>0</v>
      </c>
      <c r="R758" s="273">
        <f>IF(AA78&gt;0,ROUND(AA78,0),0)</f>
        <v>202</v>
      </c>
      <c r="S758" s="273">
        <f>IF(AA79&gt;0,ROUND(AA79,0),0)</f>
        <v>0</v>
      </c>
      <c r="T758" s="275">
        <f>IF(AA80&gt;0,ROUND(AA80,2),0)</f>
        <v>0</v>
      </c>
      <c r="U758" s="273"/>
      <c r="V758" s="274"/>
      <c r="W758" s="273"/>
      <c r="X758" s="273"/>
      <c r="Y758" s="273">
        <f t="shared" si="21"/>
        <v>54174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5" customHeight="1" x14ac:dyDescent="0.35">
      <c r="A759" s="208" t="str">
        <f>RIGHT($C$83,3)&amp;"*"&amp;RIGHT($C$82,4)&amp;"*"&amp;AB$55&amp;"*"&amp;"A"</f>
        <v>104*2019*7170*A</v>
      </c>
      <c r="B759" s="273"/>
      <c r="C759" s="275">
        <f>ROUND(AB60,2)</f>
        <v>6.87</v>
      </c>
      <c r="D759" s="273">
        <f>ROUND(AB61,0)</f>
        <v>689312</v>
      </c>
      <c r="E759" s="273">
        <f>ROUND(AB62,0)</f>
        <v>214991</v>
      </c>
      <c r="F759" s="273">
        <f>ROUND(AB63,0)</f>
        <v>0</v>
      </c>
      <c r="G759" s="273">
        <f>ROUND(AB64,0)</f>
        <v>983309</v>
      </c>
      <c r="H759" s="273">
        <f>ROUND(AB65,0)</f>
        <v>0</v>
      </c>
      <c r="I759" s="273">
        <f>ROUND(AB66,0)</f>
        <v>154309</v>
      </c>
      <c r="J759" s="273">
        <f>ROUND(AB67,0)</f>
        <v>15879</v>
      </c>
      <c r="K759" s="273">
        <f>ROUND(AB68,0)</f>
        <v>150887</v>
      </c>
      <c r="L759" s="273">
        <f>ROUND(AB69,0)</f>
        <v>4085</v>
      </c>
      <c r="M759" s="273">
        <f>ROUND(AB70,0)</f>
        <v>0</v>
      </c>
      <c r="N759" s="273">
        <f>ROUND(AB75,0)</f>
        <v>8891156</v>
      </c>
      <c r="O759" s="273">
        <f>ROUND(AB73,0)</f>
        <v>2736539</v>
      </c>
      <c r="P759" s="273">
        <f>IF(AB76&gt;0,ROUND(AB76,0),0)</f>
        <v>811</v>
      </c>
      <c r="Q759" s="273">
        <f>IF(AB77&gt;0,ROUND(AB77,0),0)</f>
        <v>0</v>
      </c>
      <c r="R759" s="273">
        <f>IF(AB78&gt;0,ROUND(AB78,0),0)</f>
        <v>384</v>
      </c>
      <c r="S759" s="273">
        <f>IF(AB79&gt;0,ROUND(AB79,0),0)</f>
        <v>0</v>
      </c>
      <c r="T759" s="275">
        <f>IF(AB80&gt;0,ROUND(AB80,2),0)</f>
        <v>0</v>
      </c>
      <c r="U759" s="273"/>
      <c r="V759" s="274"/>
      <c r="W759" s="273"/>
      <c r="X759" s="273"/>
      <c r="Y759" s="273">
        <f t="shared" si="21"/>
        <v>882754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5" customHeight="1" x14ac:dyDescent="0.35">
      <c r="A760" s="208" t="str">
        <f>RIGHT($C$83,3)&amp;"*"&amp;RIGHT($C$82,4)&amp;"*"&amp;AC$55&amp;"*"&amp;"A"</f>
        <v>104*2019*7180*A</v>
      </c>
      <c r="B760" s="273">
        <f>ROUND(AC59,0)</f>
        <v>3513</v>
      </c>
      <c r="C760" s="275">
        <f>ROUND(AC60,2)</f>
        <v>5.1100000000000003</v>
      </c>
      <c r="D760" s="273">
        <f>ROUND(AC61,0)</f>
        <v>411177</v>
      </c>
      <c r="E760" s="273">
        <f>ROUND(AC62,0)</f>
        <v>128243</v>
      </c>
      <c r="F760" s="273">
        <f>ROUND(AC63,0)</f>
        <v>0</v>
      </c>
      <c r="G760" s="273">
        <f>ROUND(AC64,0)</f>
        <v>21366</v>
      </c>
      <c r="H760" s="273">
        <f>ROUND(AC65,0)</f>
        <v>0</v>
      </c>
      <c r="I760" s="273">
        <f>ROUND(AC66,0)</f>
        <v>7017</v>
      </c>
      <c r="J760" s="273">
        <f>ROUND(AC67,0)</f>
        <v>14978</v>
      </c>
      <c r="K760" s="273">
        <f>ROUND(AC68,0)</f>
        <v>0</v>
      </c>
      <c r="L760" s="273">
        <f>ROUND(AC69,0)</f>
        <v>185</v>
      </c>
      <c r="M760" s="273">
        <f>ROUND(AC70,0)</f>
        <v>0</v>
      </c>
      <c r="N760" s="273">
        <f>ROUND(AC75,0)</f>
        <v>814488</v>
      </c>
      <c r="O760" s="273">
        <f>ROUND(AC73,0)</f>
        <v>509961</v>
      </c>
      <c r="P760" s="273">
        <f>IF(AC76&gt;0,ROUND(AC76,0),0)</f>
        <v>765</v>
      </c>
      <c r="Q760" s="273">
        <f>IF(AC77&gt;0,ROUND(AC77,0),0)</f>
        <v>0</v>
      </c>
      <c r="R760" s="273">
        <f>IF(AC78&gt;0,ROUND(AC78,0),0)</f>
        <v>362</v>
      </c>
      <c r="S760" s="273">
        <f>IF(AC79&gt;0,ROUND(AC79,0),0)</f>
        <v>0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197309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5" customHeight="1" x14ac:dyDescent="0.35">
      <c r="A761" s="208" t="str">
        <f>RIGHT($C$83,3)&amp;"*"&amp;RIGHT($C$82,4)&amp;"*"&amp;AD$55&amp;"*"&amp;"A"</f>
        <v>104*2019*7190*A</v>
      </c>
      <c r="B761" s="273">
        <f>ROUND(AD59,0)</f>
        <v>0</v>
      </c>
      <c r="C761" s="275">
        <f>ROUND(AD60,2)</f>
        <v>0</v>
      </c>
      <c r="D761" s="273">
        <f>ROUND(AD61,0)</f>
        <v>0</v>
      </c>
      <c r="E761" s="273">
        <f>ROUND(AD62,0)</f>
        <v>0</v>
      </c>
      <c r="F761" s="273">
        <f>ROUND(AD63,0)</f>
        <v>0</v>
      </c>
      <c r="G761" s="273">
        <f>ROUND(AD64,0)</f>
        <v>0</v>
      </c>
      <c r="H761" s="273">
        <f>ROUND(AD65,0)</f>
        <v>0</v>
      </c>
      <c r="I761" s="273">
        <f>ROUND(AD66,0)</f>
        <v>0</v>
      </c>
      <c r="J761" s="273">
        <f>ROUND(AD67,0)</f>
        <v>0</v>
      </c>
      <c r="K761" s="273">
        <f>ROUND(AD68,0)</f>
        <v>0</v>
      </c>
      <c r="L761" s="273">
        <f>ROUND(AD69,0)</f>
        <v>0</v>
      </c>
      <c r="M761" s="273">
        <f>ROUND(AD70,0)</f>
        <v>0</v>
      </c>
      <c r="N761" s="273">
        <f>ROUND(AD75,0)</f>
        <v>0</v>
      </c>
      <c r="O761" s="273">
        <f>ROUND(AD73,0)</f>
        <v>0</v>
      </c>
      <c r="P761" s="273">
        <f>IF(AD76&gt;0,ROUND(AD76,0),0)</f>
        <v>0</v>
      </c>
      <c r="Q761" s="273">
        <f>IF(AD77&gt;0,ROUND(AD77,0),0)</f>
        <v>0</v>
      </c>
      <c r="R761" s="273">
        <f>IF(AD78&gt;0,ROUND(AD78,0),0)</f>
        <v>0</v>
      </c>
      <c r="S761" s="273">
        <f>IF(AD79&gt;0,ROUND(AD79,0),0)</f>
        <v>0</v>
      </c>
      <c r="T761" s="275">
        <f>IF(AD80&gt;0,ROUND(AD80,2),0)</f>
        <v>0</v>
      </c>
      <c r="U761" s="273"/>
      <c r="V761" s="274"/>
      <c r="W761" s="273"/>
      <c r="X761" s="273"/>
      <c r="Y761" s="273">
        <f t="shared" si="21"/>
        <v>0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5" customHeight="1" x14ac:dyDescent="0.35">
      <c r="A762" s="208" t="str">
        <f>RIGHT($C$83,3)&amp;"*"&amp;RIGHT($C$82,4)&amp;"*"&amp;AE$55&amp;"*"&amp;"A"</f>
        <v>104*2019*7200*A</v>
      </c>
      <c r="B762" s="273">
        <f>ROUND(AE59,0)</f>
        <v>16743</v>
      </c>
      <c r="C762" s="275">
        <f>ROUND(AE60,2)</f>
        <v>5.78</v>
      </c>
      <c r="D762" s="273">
        <f>ROUND(AE61,0)</f>
        <v>399573</v>
      </c>
      <c r="E762" s="273">
        <f>ROUND(AE62,0)</f>
        <v>124623</v>
      </c>
      <c r="F762" s="273">
        <f>ROUND(AE63,0)</f>
        <v>0</v>
      </c>
      <c r="G762" s="273">
        <f>ROUND(AE64,0)</f>
        <v>13624</v>
      </c>
      <c r="H762" s="273">
        <f>ROUND(AE65,0)</f>
        <v>0</v>
      </c>
      <c r="I762" s="273">
        <f>ROUND(AE66,0)</f>
        <v>0</v>
      </c>
      <c r="J762" s="273">
        <f>ROUND(AE67,0)</f>
        <v>5091</v>
      </c>
      <c r="K762" s="273">
        <f>ROUND(AE68,0)</f>
        <v>101412</v>
      </c>
      <c r="L762" s="273">
        <f>ROUND(AE69,0)</f>
        <v>1130</v>
      </c>
      <c r="M762" s="273">
        <f>ROUND(AE70,0)</f>
        <v>0</v>
      </c>
      <c r="N762" s="273">
        <f>ROUND(AE75,0)</f>
        <v>2865625</v>
      </c>
      <c r="O762" s="273">
        <f>ROUND(AE73,0)</f>
        <v>414033</v>
      </c>
      <c r="P762" s="273">
        <f>IF(AE76&gt;0,ROUND(AE76,0),0)</f>
        <v>260</v>
      </c>
      <c r="Q762" s="273">
        <f>IF(AE77&gt;0,ROUND(AE77,0),0)</f>
        <v>0</v>
      </c>
      <c r="R762" s="273">
        <f>IF(AE78&gt;0,ROUND(AE78,0),0)</f>
        <v>123</v>
      </c>
      <c r="S762" s="273">
        <f>IF(AE79&gt;0,ROUND(AE79,0),0)</f>
        <v>6831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272533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5" customHeight="1" x14ac:dyDescent="0.35">
      <c r="A763" s="208" t="str">
        <f>RIGHT($C$83,3)&amp;"*"&amp;RIGHT($C$82,4)&amp;"*"&amp;AF$55&amp;"*"&amp;"A"</f>
        <v>104*2019*7220*A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5" customHeight="1" x14ac:dyDescent="0.35">
      <c r="A764" s="208" t="str">
        <f>RIGHT($C$83,3)&amp;"*"&amp;RIGHT($C$82,4)&amp;"*"&amp;AG$55&amp;"*"&amp;"A"</f>
        <v>104*2019*7230*A</v>
      </c>
      <c r="B764" s="273">
        <f>ROUND(AG59,0)</f>
        <v>15712</v>
      </c>
      <c r="C764" s="275">
        <f>ROUND(AG60,2)</f>
        <v>26.4</v>
      </c>
      <c r="D764" s="273">
        <f>ROUND(AG61,0)</f>
        <v>2448125</v>
      </c>
      <c r="E764" s="273">
        <f>ROUND(AG62,0)</f>
        <v>763549</v>
      </c>
      <c r="F764" s="273">
        <f>ROUND(AG63,0)</f>
        <v>1308365</v>
      </c>
      <c r="G764" s="273">
        <f>ROUND(AG64,0)</f>
        <v>232268</v>
      </c>
      <c r="H764" s="273">
        <f>ROUND(AG65,0)</f>
        <v>0</v>
      </c>
      <c r="I764" s="273">
        <f>ROUND(AG66,0)</f>
        <v>12204</v>
      </c>
      <c r="J764" s="273">
        <f>ROUND(AG67,0)</f>
        <v>152718</v>
      </c>
      <c r="K764" s="273">
        <f>ROUND(AG68,0)</f>
        <v>381</v>
      </c>
      <c r="L764" s="273">
        <f>ROUND(AG69,0)</f>
        <v>4297</v>
      </c>
      <c r="M764" s="273">
        <f>ROUND(AG70,0)</f>
        <v>0</v>
      </c>
      <c r="N764" s="273">
        <f>ROUND(AG75,0)</f>
        <v>34892322</v>
      </c>
      <c r="O764" s="273">
        <f>ROUND(AG73,0)</f>
        <v>3201019</v>
      </c>
      <c r="P764" s="273">
        <f>IF(AG76&gt;0,ROUND(AG76,0),0)</f>
        <v>7800</v>
      </c>
      <c r="Q764" s="273">
        <f>IF(AG77&gt;0,ROUND(AG77,0),0)</f>
        <v>0</v>
      </c>
      <c r="R764" s="273">
        <f>IF(AG78&gt;0,ROUND(AG78,0),0)</f>
        <v>3697</v>
      </c>
      <c r="S764" s="273">
        <f>IF(AG79&gt;0,ROUND(AG79,0),0)</f>
        <v>39704</v>
      </c>
      <c r="T764" s="275">
        <f>IF(AG80&gt;0,ROUND(AG80,2),0)</f>
        <v>18.59</v>
      </c>
      <c r="U764" s="273"/>
      <c r="V764" s="274"/>
      <c r="W764" s="273"/>
      <c r="X764" s="273"/>
      <c r="Y764" s="273">
        <f t="shared" si="21"/>
        <v>2977968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5" customHeight="1" x14ac:dyDescent="0.35">
      <c r="A765" s="208" t="str">
        <f>RIGHT($C$83,3)&amp;"*"&amp;RIGHT($C$82,4)&amp;"*"&amp;AH$55&amp;"*"&amp;"A"</f>
        <v>104*2019*7240*A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5" customHeight="1" x14ac:dyDescent="0.35">
      <c r="A766" s="208" t="str">
        <f>RIGHT($C$83,3)&amp;"*"&amp;RIGHT($C$82,4)&amp;"*"&amp;AI$55&amp;"*"&amp;"A"</f>
        <v>104*2019*7250*A</v>
      </c>
      <c r="B766" s="273">
        <f>ROUND(AI59,0)</f>
        <v>874</v>
      </c>
      <c r="C766" s="275">
        <f>ROUND(AI60,2)</f>
        <v>6.1</v>
      </c>
      <c r="D766" s="273">
        <f>ROUND(AI61,0)</f>
        <v>512925</v>
      </c>
      <c r="E766" s="273">
        <f>ROUND(AI62,0)</f>
        <v>159977</v>
      </c>
      <c r="F766" s="273">
        <f>ROUND(AI63,0)</f>
        <v>0</v>
      </c>
      <c r="G766" s="273">
        <f>ROUND(AI64,0)</f>
        <v>152061</v>
      </c>
      <c r="H766" s="273">
        <f>ROUND(AI65,0)</f>
        <v>0</v>
      </c>
      <c r="I766" s="273">
        <f>ROUND(AI66,0)</f>
        <v>235419</v>
      </c>
      <c r="J766" s="273">
        <f>ROUND(AI67,0)</f>
        <v>11748</v>
      </c>
      <c r="K766" s="273">
        <f>ROUND(AI68,0)</f>
        <v>0</v>
      </c>
      <c r="L766" s="273">
        <f>ROUND(AI69,0)</f>
        <v>30</v>
      </c>
      <c r="M766" s="273">
        <f>ROUND(AI70,0)</f>
        <v>0</v>
      </c>
      <c r="N766" s="273">
        <f>ROUND(AI75,0)</f>
        <v>2543613</v>
      </c>
      <c r="O766" s="273">
        <f>ROUND(AI73,0)</f>
        <v>0</v>
      </c>
      <c r="P766" s="273">
        <f>IF(AI76&gt;0,ROUND(AI76,0),0)</f>
        <v>600</v>
      </c>
      <c r="Q766" s="273">
        <f>IF(AI77&gt;0,ROUND(AI77,0),0)</f>
        <v>874</v>
      </c>
      <c r="R766" s="273">
        <f>IF(AI78&gt;0,ROUND(AI78,0),0)</f>
        <v>285</v>
      </c>
      <c r="S766" s="273">
        <f>IF(AI79&gt;0,ROUND(AI79,0),0)</f>
        <v>0</v>
      </c>
      <c r="T766" s="275">
        <f>IF(AI80&gt;0,ROUND(AI80,2),0)</f>
        <v>5.1100000000000003</v>
      </c>
      <c r="U766" s="273"/>
      <c r="V766" s="274"/>
      <c r="W766" s="273"/>
      <c r="X766" s="273"/>
      <c r="Y766" s="273">
        <f t="shared" si="21"/>
        <v>437662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5" customHeight="1" x14ac:dyDescent="0.35">
      <c r="A767" s="208" t="str">
        <f>RIGHT($C$83,3)&amp;"*"&amp;RIGHT($C$82,4)&amp;"*"&amp;AJ$55&amp;"*"&amp;"A"</f>
        <v>104*2019*7260*A</v>
      </c>
      <c r="B767" s="273">
        <f>ROUND(AJ59,0)</f>
        <v>0</v>
      </c>
      <c r="C767" s="275">
        <f>ROUND(AJ60,2)</f>
        <v>0</v>
      </c>
      <c r="D767" s="273">
        <f>ROUND(AJ61,0)</f>
        <v>0</v>
      </c>
      <c r="E767" s="273">
        <f>ROUND(AJ62,0)</f>
        <v>0</v>
      </c>
      <c r="F767" s="273">
        <f>ROUND(AJ63,0)</f>
        <v>0</v>
      </c>
      <c r="G767" s="273">
        <f>ROUND(AJ64,0)</f>
        <v>0</v>
      </c>
      <c r="H767" s="273">
        <f>ROUND(AJ65,0)</f>
        <v>0</v>
      </c>
      <c r="I767" s="273">
        <f>ROUND(AJ66,0)</f>
        <v>0</v>
      </c>
      <c r="J767" s="273">
        <f>ROUND(AJ67,0)</f>
        <v>0</v>
      </c>
      <c r="K767" s="273">
        <f>ROUND(AJ68,0)</f>
        <v>0</v>
      </c>
      <c r="L767" s="273">
        <f>ROUND(AJ69,0)</f>
        <v>0</v>
      </c>
      <c r="M767" s="273">
        <f>ROUND(AJ70,0)</f>
        <v>0</v>
      </c>
      <c r="N767" s="273">
        <f>ROUND(AJ75,0)</f>
        <v>0</v>
      </c>
      <c r="O767" s="273">
        <f>ROUND(AJ73,0)</f>
        <v>0</v>
      </c>
      <c r="P767" s="273">
        <f>IF(AJ76&gt;0,ROUND(AJ76,0),0)</f>
        <v>0</v>
      </c>
      <c r="Q767" s="273">
        <f>IF(AJ77&gt;0,ROUND(AJ77,0),0)</f>
        <v>0</v>
      </c>
      <c r="R767" s="273">
        <f>IF(AJ78&gt;0,ROUND(AJ78,0),0)</f>
        <v>0</v>
      </c>
      <c r="S767" s="273">
        <f>IF(AJ79&gt;0,ROUND(AJ79,0),0)</f>
        <v>0</v>
      </c>
      <c r="T767" s="275">
        <f>IF(AJ80&gt;0,ROUND(AJ80,2),0)</f>
        <v>0</v>
      </c>
      <c r="U767" s="273"/>
      <c r="V767" s="274"/>
      <c r="W767" s="273"/>
      <c r="X767" s="273"/>
      <c r="Y767" s="273">
        <f t="shared" si="21"/>
        <v>0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5" customHeight="1" x14ac:dyDescent="0.35">
      <c r="A768" s="208" t="str">
        <f>RIGHT($C$83,3)&amp;"*"&amp;RIGHT($C$82,4)&amp;"*"&amp;AK$55&amp;"*"&amp;"A"</f>
        <v>104*2019*7310*A</v>
      </c>
      <c r="B768" s="273">
        <f>ROUND(AK59,0)</f>
        <v>0</v>
      </c>
      <c r="C768" s="275">
        <f>ROUND(AK60,2)</f>
        <v>0</v>
      </c>
      <c r="D768" s="273">
        <f>ROUND(AK61,0)</f>
        <v>0</v>
      </c>
      <c r="E768" s="273">
        <f>ROUND(AK62,0)</f>
        <v>0</v>
      </c>
      <c r="F768" s="273">
        <f>ROUND(AK63,0)</f>
        <v>0</v>
      </c>
      <c r="G768" s="273">
        <f>ROUND(AK64,0)</f>
        <v>0</v>
      </c>
      <c r="H768" s="273">
        <f>ROUND(AK65,0)</f>
        <v>0</v>
      </c>
      <c r="I768" s="273">
        <f>ROUND(AK66,0)</f>
        <v>0</v>
      </c>
      <c r="J768" s="273">
        <f>ROUND(AK67,0)</f>
        <v>0</v>
      </c>
      <c r="K768" s="273">
        <f>ROUND(AK68,0)</f>
        <v>0</v>
      </c>
      <c r="L768" s="273">
        <f>ROUND(AK69,0)</f>
        <v>0</v>
      </c>
      <c r="M768" s="273">
        <f>ROUND(AK70,0)</f>
        <v>0</v>
      </c>
      <c r="N768" s="273">
        <f>ROUND(AK75,0)</f>
        <v>0</v>
      </c>
      <c r="O768" s="273">
        <f>ROUND(AK73,0)</f>
        <v>0</v>
      </c>
      <c r="P768" s="273">
        <f>IF(AK76&gt;0,ROUND(AK76,0),0)</f>
        <v>0</v>
      </c>
      <c r="Q768" s="273">
        <f>IF(AK77&gt;0,ROUND(AK77,0),0)</f>
        <v>0</v>
      </c>
      <c r="R768" s="273">
        <f>IF(AK78&gt;0,ROUND(AK78,0),0)</f>
        <v>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0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5" customHeight="1" x14ac:dyDescent="0.35">
      <c r="A769" s="208" t="str">
        <f>RIGHT($C$83,3)&amp;"*"&amp;RIGHT($C$82,4)&amp;"*"&amp;AL$55&amp;"*"&amp;"A"</f>
        <v>104*2019*7320*A</v>
      </c>
      <c r="B769" s="273">
        <f>ROUND(AL59,0)</f>
        <v>0</v>
      </c>
      <c r="C769" s="275">
        <f>ROUND(AL60,2)</f>
        <v>0</v>
      </c>
      <c r="D769" s="273">
        <f>ROUND(AL61,0)</f>
        <v>0</v>
      </c>
      <c r="E769" s="273">
        <f>ROUND(AL62,0)</f>
        <v>0</v>
      </c>
      <c r="F769" s="273">
        <f>ROUND(AL63,0)</f>
        <v>0</v>
      </c>
      <c r="G769" s="273">
        <f>ROUND(AL64,0)</f>
        <v>0</v>
      </c>
      <c r="H769" s="273">
        <f>ROUND(AL65,0)</f>
        <v>0</v>
      </c>
      <c r="I769" s="273">
        <f>ROUND(AL66,0)</f>
        <v>0</v>
      </c>
      <c r="J769" s="273">
        <f>ROUND(AL67,0)</f>
        <v>0</v>
      </c>
      <c r="K769" s="273">
        <f>ROUND(AL68,0)</f>
        <v>0</v>
      </c>
      <c r="L769" s="273">
        <f>ROUND(AL69,0)</f>
        <v>0</v>
      </c>
      <c r="M769" s="273">
        <f>ROUND(AL70,0)</f>
        <v>0</v>
      </c>
      <c r="N769" s="273">
        <f>ROUND(AL75,0)</f>
        <v>0</v>
      </c>
      <c r="O769" s="273">
        <f>ROUND(AL73,0)</f>
        <v>0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0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5" customHeight="1" x14ac:dyDescent="0.35">
      <c r="A770" s="208" t="str">
        <f>RIGHT($C$83,3)&amp;"*"&amp;RIGHT($C$82,4)&amp;"*"&amp;AM$55&amp;"*"&amp;"A"</f>
        <v>104*2019*7330*A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5" customHeight="1" x14ac:dyDescent="0.35">
      <c r="A771" s="208" t="str">
        <f>RIGHT($C$83,3)&amp;"*"&amp;RIGHT($C$82,4)&amp;"*"&amp;AN$55&amp;"*"&amp;"A"</f>
        <v>104*2019*7340*A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5" customHeight="1" x14ac:dyDescent="0.35">
      <c r="A772" s="208" t="str">
        <f>RIGHT($C$83,3)&amp;"*"&amp;RIGHT($C$82,4)&amp;"*"&amp;AO$55&amp;"*"&amp;"A"</f>
        <v>104*2019*7350*A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5" customHeight="1" x14ac:dyDescent="0.35">
      <c r="A773" s="208" t="str">
        <f>RIGHT($C$83,3)&amp;"*"&amp;RIGHT($C$82,4)&amp;"*"&amp;AP$55&amp;"*"&amp;"A"</f>
        <v>104*2019*7380*A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5" customHeight="1" x14ac:dyDescent="0.35">
      <c r="A774" s="208" t="str">
        <f>RIGHT($C$83,3)&amp;"*"&amp;RIGHT($C$82,4)&amp;"*"&amp;AQ$55&amp;"*"&amp;"A"</f>
        <v>104*2019*7390*A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5" customHeight="1" x14ac:dyDescent="0.35">
      <c r="A775" s="208" t="str">
        <f>RIGHT($C$83,3)&amp;"*"&amp;RIGHT($C$82,4)&amp;"*"&amp;AR$55&amp;"*"&amp;"A"</f>
        <v>104*2019*7400*A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0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0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5" customHeight="1" x14ac:dyDescent="0.35">
      <c r="A776" s="208" t="str">
        <f>RIGHT($C$83,3)&amp;"*"&amp;RIGHT($C$82,4)&amp;"*"&amp;AS$55&amp;"*"&amp;"A"</f>
        <v>104*2019*7410*A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5" customHeight="1" x14ac:dyDescent="0.35">
      <c r="A777" s="208" t="str">
        <f>RIGHT($C$83,3)&amp;"*"&amp;RIGHT($C$82,4)&amp;"*"&amp;AT$55&amp;"*"&amp;"A"</f>
        <v>104*2019*7420*A</v>
      </c>
      <c r="B777" s="273">
        <f>ROUND(AT59,0)</f>
        <v>0</v>
      </c>
      <c r="C777" s="275">
        <f>ROUND(AT60,2)</f>
        <v>0</v>
      </c>
      <c r="D777" s="273">
        <f>ROUND(AT61,0)</f>
        <v>0</v>
      </c>
      <c r="E777" s="273">
        <f>ROUND(AT62,0)</f>
        <v>0</v>
      </c>
      <c r="F777" s="273">
        <f>ROUND(AT63,0)</f>
        <v>0</v>
      </c>
      <c r="G777" s="273">
        <f>ROUND(AT64,0)</f>
        <v>0</v>
      </c>
      <c r="H777" s="273">
        <f>ROUND(AT65,0)</f>
        <v>0</v>
      </c>
      <c r="I777" s="273">
        <f>ROUND(AT66,0)</f>
        <v>0</v>
      </c>
      <c r="J777" s="273">
        <f>ROUND(AT67,0)</f>
        <v>0</v>
      </c>
      <c r="K777" s="273">
        <f>ROUND(AT68,0)</f>
        <v>0</v>
      </c>
      <c r="L777" s="273">
        <f>ROUND(AT69,0)</f>
        <v>0</v>
      </c>
      <c r="M777" s="273">
        <f>ROUND(AT70,0)</f>
        <v>0</v>
      </c>
      <c r="N777" s="273">
        <f>ROUND(AT75,0)</f>
        <v>0</v>
      </c>
      <c r="O777" s="273">
        <f>ROUND(AT73,0)</f>
        <v>0</v>
      </c>
      <c r="P777" s="273">
        <f>IF(AT76&gt;0,ROUND(AT76,0),0)</f>
        <v>0</v>
      </c>
      <c r="Q777" s="273">
        <f>IF(AT77&gt;0,ROUND(AT77,0),0)</f>
        <v>0</v>
      </c>
      <c r="R777" s="273">
        <f>IF(AT78&gt;0,ROUND(AT78,0),0)</f>
        <v>0</v>
      </c>
      <c r="S777" s="273">
        <f>IF(AT79&gt;0,ROUND(AT79,0),0)</f>
        <v>0</v>
      </c>
      <c r="T777" s="275">
        <f>IF(AT80&gt;0,ROUND(AT80,2),0)</f>
        <v>0</v>
      </c>
      <c r="U777" s="273"/>
      <c r="V777" s="274"/>
      <c r="W777" s="273"/>
      <c r="X777" s="273"/>
      <c r="Y777" s="273">
        <f t="shared" si="21"/>
        <v>0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5" customHeight="1" x14ac:dyDescent="0.35">
      <c r="A778" s="208" t="str">
        <f>RIGHT($C$83,3)&amp;"*"&amp;RIGHT($C$82,4)&amp;"*"&amp;AU$55&amp;"*"&amp;"A"</f>
        <v>104*2019*7430*A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5" customHeight="1" x14ac:dyDescent="0.35">
      <c r="A779" s="208" t="str">
        <f>RIGHT($C$83,3)&amp;"*"&amp;RIGHT($C$82,4)&amp;"*"&amp;AV$55&amp;"*"&amp;"A"</f>
        <v>104*2019*7490*A</v>
      </c>
      <c r="B779" s="273"/>
      <c r="C779" s="275">
        <f>ROUND(AV60,2)</f>
        <v>12.85</v>
      </c>
      <c r="D779" s="273">
        <f>ROUND(AV61,0)</f>
        <v>2691107</v>
      </c>
      <c r="E779" s="273">
        <f>ROUND(AV62,0)</f>
        <v>839334</v>
      </c>
      <c r="F779" s="273">
        <f>ROUND(AV63,0)</f>
        <v>0</v>
      </c>
      <c r="G779" s="273">
        <f>ROUND(AV64,0)</f>
        <v>151637</v>
      </c>
      <c r="H779" s="273">
        <f>ROUND(AV65,0)</f>
        <v>0</v>
      </c>
      <c r="I779" s="273">
        <f>ROUND(AV66,0)</f>
        <v>365785</v>
      </c>
      <c r="J779" s="273">
        <f>ROUND(AV67,0)</f>
        <v>484607</v>
      </c>
      <c r="K779" s="273">
        <f>ROUND(AV68,0)</f>
        <v>103568</v>
      </c>
      <c r="L779" s="273">
        <f>ROUND(AV69,0)</f>
        <v>18977</v>
      </c>
      <c r="M779" s="273">
        <f>ROUND(AV70,0)</f>
        <v>0</v>
      </c>
      <c r="N779" s="273">
        <f>ROUND(AV75,0)</f>
        <v>9796995</v>
      </c>
      <c r="O779" s="273">
        <f>ROUND(AV73,0)</f>
        <v>642286</v>
      </c>
      <c r="P779" s="273">
        <f>IF(AV76&gt;0,ROUND(AV76,0),0)</f>
        <v>24751</v>
      </c>
      <c r="Q779" s="273">
        <f>IF(AV77&gt;0,ROUND(AV77,0),0)</f>
        <v>0</v>
      </c>
      <c r="R779" s="273">
        <f>IF(AV78&gt;0,ROUND(AV78,0),0)</f>
        <v>11737</v>
      </c>
      <c r="S779" s="273">
        <f>IF(AV79&gt;0,ROUND(AV79,0),0)</f>
        <v>30631</v>
      </c>
      <c r="T779" s="275">
        <f>IF(AV80&gt;0,ROUND(AV80,2),0)</f>
        <v>3.64</v>
      </c>
      <c r="U779" s="273"/>
      <c r="V779" s="274"/>
      <c r="W779" s="273"/>
      <c r="X779" s="273"/>
      <c r="Y779" s="273">
        <f t="shared" si="21"/>
        <v>2707255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5" customHeight="1" x14ac:dyDescent="0.35">
      <c r="A780" s="208" t="str">
        <f>RIGHT($C$83,3)&amp;"*"&amp;RIGHT($C$82,4)&amp;"*"&amp;AW$55&amp;"*"&amp;"A"</f>
        <v>104*2019*8200*A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5" customHeight="1" x14ac:dyDescent="0.35">
      <c r="A781" s="208" t="str">
        <f>RIGHT($C$83,3)&amp;"*"&amp;RIGHT($C$82,4)&amp;"*"&amp;AX$55&amp;"*"&amp;"A"</f>
        <v>104*2019*8310*A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5" customHeight="1" x14ac:dyDescent="0.35">
      <c r="A782" s="208" t="str">
        <f>RIGHT($C$83,3)&amp;"*"&amp;RIGHT($C$82,4)&amp;"*"&amp;AY$55&amp;"*"&amp;"A"</f>
        <v>104*2019*8320*A</v>
      </c>
      <c r="B782" s="273">
        <f>ROUND(AY59,0)</f>
        <v>104241</v>
      </c>
      <c r="C782" s="275">
        <f>ROUND(AY60,2)</f>
        <v>16.739999999999998</v>
      </c>
      <c r="D782" s="273">
        <f>ROUND(AY61,0)</f>
        <v>684381</v>
      </c>
      <c r="E782" s="273">
        <f>ROUND(AY62,0)</f>
        <v>213453</v>
      </c>
      <c r="F782" s="273">
        <f>ROUND(AY63,0)</f>
        <v>68806</v>
      </c>
      <c r="G782" s="273">
        <f>ROUND(AY64,0)</f>
        <v>381199</v>
      </c>
      <c r="H782" s="273">
        <f>ROUND(AY65,0)</f>
        <v>0</v>
      </c>
      <c r="I782" s="273">
        <f>ROUND(AY66,0)</f>
        <v>35936</v>
      </c>
      <c r="J782" s="273">
        <f>ROUND(AY67,0)</f>
        <v>0</v>
      </c>
      <c r="K782" s="273">
        <f>ROUND(AY68,0)</f>
        <v>226</v>
      </c>
      <c r="L782" s="273">
        <f>ROUND(AY69,0)</f>
        <v>579</v>
      </c>
      <c r="M782" s="273">
        <f>ROUND(AY70,0)</f>
        <v>0</v>
      </c>
      <c r="N782" s="273"/>
      <c r="O782" s="273"/>
      <c r="P782" s="273">
        <f>IF(AY76&gt;0,ROUND(AY76,0),0)</f>
        <v>0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5" customHeight="1" x14ac:dyDescent="0.35">
      <c r="A783" s="208" t="str">
        <f>RIGHT($C$83,3)&amp;"*"&amp;RIGHT($C$82,4)&amp;"*"&amp;AZ$55&amp;"*"&amp;"A"</f>
        <v>104*2019*8330*A</v>
      </c>
      <c r="B783" s="273">
        <f>ROUND(AZ59,0)</f>
        <v>0</v>
      </c>
      <c r="C783" s="275">
        <f>ROUND(AZ60,2)</f>
        <v>0</v>
      </c>
      <c r="D783" s="273">
        <f>ROUND(AZ61,0)</f>
        <v>0</v>
      </c>
      <c r="E783" s="273">
        <f>ROUND(AZ62,0)</f>
        <v>0</v>
      </c>
      <c r="F783" s="273">
        <f>ROUND(AZ63,0)</f>
        <v>0</v>
      </c>
      <c r="G783" s="273">
        <f>ROUND(AZ64,0)</f>
        <v>0</v>
      </c>
      <c r="H783" s="273">
        <f>ROUND(AZ65,0)</f>
        <v>0</v>
      </c>
      <c r="I783" s="273">
        <f>ROUND(AZ66,0)</f>
        <v>0</v>
      </c>
      <c r="J783" s="273">
        <f>ROUND(AZ67,0)</f>
        <v>0</v>
      </c>
      <c r="K783" s="273">
        <f>ROUND(AZ68,0)</f>
        <v>0</v>
      </c>
      <c r="L783" s="273">
        <f>ROUND(AZ69,0)</f>
        <v>0</v>
      </c>
      <c r="M783" s="273">
        <f>ROUND(AZ70,0)</f>
        <v>0</v>
      </c>
      <c r="N783" s="273"/>
      <c r="O783" s="273"/>
      <c r="P783" s="273">
        <f>IF(AZ76&gt;0,ROUND(AZ76,0),0)</f>
        <v>0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5" customHeight="1" x14ac:dyDescent="0.35">
      <c r="A784" s="208" t="str">
        <f>RIGHT($C$83,3)&amp;"*"&amp;RIGHT($C$82,4)&amp;"*"&amp;BA$55&amp;"*"&amp;"A"</f>
        <v>104*2019*8350*A</v>
      </c>
      <c r="B784" s="273">
        <f>ROUND(BA59,0)</f>
        <v>0</v>
      </c>
      <c r="C784" s="275">
        <f>ROUND(BA60,2)</f>
        <v>0</v>
      </c>
      <c r="D784" s="273">
        <f>ROUND(BA61,0)</f>
        <v>0</v>
      </c>
      <c r="E784" s="273">
        <f>ROUND(BA62,0)</f>
        <v>0</v>
      </c>
      <c r="F784" s="273">
        <f>ROUND(BA63,0)</f>
        <v>0</v>
      </c>
      <c r="G784" s="273">
        <f>ROUND(BA64,0)</f>
        <v>493</v>
      </c>
      <c r="H784" s="273">
        <f>ROUND(BA65,0)</f>
        <v>0</v>
      </c>
      <c r="I784" s="273">
        <f>ROUND(BA66,0)</f>
        <v>251609</v>
      </c>
      <c r="J784" s="273">
        <f>ROUND(BA67,0)</f>
        <v>0</v>
      </c>
      <c r="K784" s="273">
        <f>ROUND(BA68,0)</f>
        <v>0</v>
      </c>
      <c r="L784" s="273">
        <f>ROUND(BA69,0)</f>
        <v>0</v>
      </c>
      <c r="M784" s="273">
        <f>ROUND(BA70,0)</f>
        <v>0</v>
      </c>
      <c r="N784" s="273"/>
      <c r="O784" s="273"/>
      <c r="P784" s="273">
        <f>IF(BA76&gt;0,ROUND(BA76,0),0)</f>
        <v>0</v>
      </c>
      <c r="Q784" s="273">
        <f>IF(BA77&gt;0,ROUND(BA77,0),0)</f>
        <v>0</v>
      </c>
      <c r="R784" s="273">
        <f>IF(BA78&gt;0,ROUND(BA78,0),0)</f>
        <v>0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5" customHeight="1" x14ac:dyDescent="0.35">
      <c r="A785" s="208" t="str">
        <f>RIGHT($C$83,3)&amp;"*"&amp;RIGHT($C$82,4)&amp;"*"&amp;BB$55&amp;"*"&amp;"A"</f>
        <v>104*2019*8360*A</v>
      </c>
      <c r="B785" s="273"/>
      <c r="C785" s="275">
        <f>ROUND(BB60,2)</f>
        <v>0</v>
      </c>
      <c r="D785" s="273">
        <f>ROUND(BB61,0)</f>
        <v>0</v>
      </c>
      <c r="E785" s="273">
        <f>ROUND(BB62,0)</f>
        <v>0</v>
      </c>
      <c r="F785" s="273">
        <f>ROUND(BB63,0)</f>
        <v>0</v>
      </c>
      <c r="G785" s="273">
        <f>ROUND(BB64,0)</f>
        <v>0</v>
      </c>
      <c r="H785" s="273">
        <f>ROUND(BB65,0)</f>
        <v>0</v>
      </c>
      <c r="I785" s="273">
        <f>ROUND(BB66,0)</f>
        <v>0</v>
      </c>
      <c r="J785" s="273">
        <f>ROUND(BB67,0)</f>
        <v>0</v>
      </c>
      <c r="K785" s="273">
        <f>ROUND(BB68,0)</f>
        <v>0</v>
      </c>
      <c r="L785" s="273">
        <f>ROUND(BB69,0)</f>
        <v>0</v>
      </c>
      <c r="M785" s="273">
        <f>ROUND(BB70,0)</f>
        <v>0</v>
      </c>
      <c r="N785" s="273"/>
      <c r="O785" s="273"/>
      <c r="P785" s="273">
        <f>IF(BB76&gt;0,ROUND(BB76,0),0)</f>
        <v>0</v>
      </c>
      <c r="Q785" s="273">
        <f>IF(BB77&gt;0,ROUND(BB77,0),0)</f>
        <v>0</v>
      </c>
      <c r="R785" s="273">
        <f>IF(BB78&gt;0,ROUND(BB78,0),0)</f>
        <v>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5" customHeight="1" x14ac:dyDescent="0.35">
      <c r="A786" s="208" t="str">
        <f>RIGHT($C$83,3)&amp;"*"&amp;RIGHT($C$82,4)&amp;"*"&amp;BC$55&amp;"*"&amp;"A"</f>
        <v>104*2019*8370*A</v>
      </c>
      <c r="B786" s="273"/>
      <c r="C786" s="275">
        <f>ROUND(BC60,2)</f>
        <v>0</v>
      </c>
      <c r="D786" s="273">
        <f>ROUND(BC61,0)</f>
        <v>0</v>
      </c>
      <c r="E786" s="273">
        <f>ROUND(BC62,0)</f>
        <v>0</v>
      </c>
      <c r="F786" s="273">
        <f>ROUND(BC63,0)</f>
        <v>0</v>
      </c>
      <c r="G786" s="273">
        <f>ROUND(BC64,0)</f>
        <v>0</v>
      </c>
      <c r="H786" s="273">
        <f>ROUND(BC65,0)</f>
        <v>0</v>
      </c>
      <c r="I786" s="273">
        <f>ROUND(BC66,0)</f>
        <v>0</v>
      </c>
      <c r="J786" s="273">
        <f>ROUND(BC67,0)</f>
        <v>0</v>
      </c>
      <c r="K786" s="273">
        <f>ROUND(BC68,0)</f>
        <v>0</v>
      </c>
      <c r="L786" s="273">
        <f>ROUND(BC69,0)</f>
        <v>0</v>
      </c>
      <c r="M786" s="273">
        <f>ROUND(BC70,0)</f>
        <v>0</v>
      </c>
      <c r="N786" s="273"/>
      <c r="O786" s="273"/>
      <c r="P786" s="273">
        <f>IF(BC76&gt;0,ROUND(BC76,0),0)</f>
        <v>0</v>
      </c>
      <c r="Q786" s="273">
        <f>IF(BC77&gt;0,ROUND(BC77,0),0)</f>
        <v>0</v>
      </c>
      <c r="R786" s="273">
        <f>IF(BC78&gt;0,ROUND(BC78,0),0)</f>
        <v>0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5" customHeight="1" x14ac:dyDescent="0.35">
      <c r="A787" s="208" t="str">
        <f>RIGHT($C$83,3)&amp;"*"&amp;RIGHT($C$82,4)&amp;"*"&amp;BD$55&amp;"*"&amp;"A"</f>
        <v>104*2019*8420*A</v>
      </c>
      <c r="B787" s="273"/>
      <c r="C787" s="275">
        <f>ROUND(BD60,2)</f>
        <v>2.85</v>
      </c>
      <c r="D787" s="273">
        <f>ROUND(BD61,0)</f>
        <v>139568</v>
      </c>
      <c r="E787" s="273">
        <f>ROUND(BD62,0)</f>
        <v>43530</v>
      </c>
      <c r="F787" s="273">
        <f>ROUND(BD63,0)</f>
        <v>0</v>
      </c>
      <c r="G787" s="273">
        <f>ROUND(BD64,0)</f>
        <v>115656</v>
      </c>
      <c r="H787" s="273">
        <f>ROUND(BD65,0)</f>
        <v>0</v>
      </c>
      <c r="I787" s="273">
        <f>ROUND(BD66,0)</f>
        <v>0</v>
      </c>
      <c r="J787" s="273">
        <f>ROUND(BD67,0)</f>
        <v>0</v>
      </c>
      <c r="K787" s="273">
        <f>ROUND(BD68,0)</f>
        <v>0</v>
      </c>
      <c r="L787" s="273">
        <f>ROUND(BD69,0)</f>
        <v>4119</v>
      </c>
      <c r="M787" s="273">
        <f>ROUND(BD70,0)</f>
        <v>0</v>
      </c>
      <c r="N787" s="273"/>
      <c r="O787" s="273"/>
      <c r="P787" s="273">
        <f>IF(BD76&gt;0,ROUND(BD76,0),0)</f>
        <v>0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5" customHeight="1" x14ac:dyDescent="0.35">
      <c r="A788" s="208" t="str">
        <f>RIGHT($C$83,3)&amp;"*"&amp;RIGHT($C$82,4)&amp;"*"&amp;BE$55&amp;"*"&amp;"A"</f>
        <v>104*2019*8430*A</v>
      </c>
      <c r="B788" s="273">
        <f>ROUND(BE59,0)</f>
        <v>99240</v>
      </c>
      <c r="C788" s="275">
        <f>ROUND(BE60,2)</f>
        <v>7.85</v>
      </c>
      <c r="D788" s="273">
        <f>ROUND(BE61,0)</f>
        <v>443956</v>
      </c>
      <c r="E788" s="273">
        <f>ROUND(BE62,0)</f>
        <v>138466</v>
      </c>
      <c r="F788" s="273">
        <f>ROUND(BE63,0)</f>
        <v>0</v>
      </c>
      <c r="G788" s="273">
        <f>ROUND(BE64,0)</f>
        <v>36637</v>
      </c>
      <c r="H788" s="273">
        <f>ROUND(BE65,0)</f>
        <v>494335</v>
      </c>
      <c r="I788" s="273">
        <f>ROUND(BE66,0)</f>
        <v>551709</v>
      </c>
      <c r="J788" s="273">
        <f>ROUND(BE67,0)</f>
        <v>0</v>
      </c>
      <c r="K788" s="273">
        <f>ROUND(BE68,0)</f>
        <v>6739</v>
      </c>
      <c r="L788" s="273">
        <f>ROUND(BE69,0)</f>
        <v>1246</v>
      </c>
      <c r="M788" s="273">
        <f>ROUND(BE70,0)</f>
        <v>0</v>
      </c>
      <c r="N788" s="273"/>
      <c r="O788" s="273"/>
      <c r="P788" s="273">
        <f>IF(BE76&gt;0,ROUND(BE76,0),0)</f>
        <v>0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5" customHeight="1" x14ac:dyDescent="0.35">
      <c r="A789" s="208" t="str">
        <f>RIGHT($C$83,3)&amp;"*"&amp;RIGHT($C$82,4)&amp;"*"&amp;BF$55&amp;"*"&amp;"A"</f>
        <v>104*2019*8460*A</v>
      </c>
      <c r="B789" s="273"/>
      <c r="C789" s="275">
        <f>ROUND(BF60,2)</f>
        <v>16.71</v>
      </c>
      <c r="D789" s="273">
        <f>ROUND(BF61,0)</f>
        <v>690673</v>
      </c>
      <c r="E789" s="273">
        <f>ROUND(BF62,0)</f>
        <v>215415</v>
      </c>
      <c r="F789" s="273">
        <f>ROUND(BF63,0)</f>
        <v>3292</v>
      </c>
      <c r="G789" s="273">
        <f>ROUND(BF64,0)</f>
        <v>78094</v>
      </c>
      <c r="H789" s="273">
        <f>ROUND(BF65,0)</f>
        <v>0</v>
      </c>
      <c r="I789" s="273">
        <f>ROUND(BF66,0)</f>
        <v>69655</v>
      </c>
      <c r="J789" s="273">
        <f>ROUND(BF67,0)</f>
        <v>0</v>
      </c>
      <c r="K789" s="273">
        <f>ROUND(BF68,0)</f>
        <v>0</v>
      </c>
      <c r="L789" s="273">
        <f>ROUND(BF69,0)</f>
        <v>0</v>
      </c>
      <c r="M789" s="273">
        <f>ROUND(BF70,0)</f>
        <v>0</v>
      </c>
      <c r="N789" s="273"/>
      <c r="O789" s="273"/>
      <c r="P789" s="273">
        <f>IF(BF76&gt;0,ROUND(BF76,0),0)</f>
        <v>0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5" customHeight="1" x14ac:dyDescent="0.35">
      <c r="A790" s="208" t="str">
        <f>RIGHT($C$83,3)&amp;"*"&amp;RIGHT($C$82,4)&amp;"*"&amp;BG$55&amp;"*"&amp;"A"</f>
        <v>104*2019*8470*A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0</v>
      </c>
      <c r="I790" s="273">
        <f>ROUND(BG66,0)</f>
        <v>106588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5" customHeight="1" x14ac:dyDescent="0.35">
      <c r="A791" s="208" t="str">
        <f>RIGHT($C$83,3)&amp;"*"&amp;RIGHT($C$82,4)&amp;"*"&amp;BH$55&amp;"*"&amp;"A"</f>
        <v>104*2019*8480*A</v>
      </c>
      <c r="B791" s="273"/>
      <c r="C791" s="275">
        <f>ROUND(BH60,2)</f>
        <v>0</v>
      </c>
      <c r="D791" s="273">
        <f>ROUND(BH61,0)</f>
        <v>0</v>
      </c>
      <c r="E791" s="273">
        <f>ROUND(BH62,0)</f>
        <v>0</v>
      </c>
      <c r="F791" s="273">
        <f>ROUND(BH63,0)</f>
        <v>0</v>
      </c>
      <c r="G791" s="273">
        <f>ROUND(BH64,0)</f>
        <v>0</v>
      </c>
      <c r="H791" s="273">
        <f>ROUND(BH65,0)</f>
        <v>0</v>
      </c>
      <c r="I791" s="273">
        <f>ROUND(BH66,0)</f>
        <v>0</v>
      </c>
      <c r="J791" s="273">
        <f>ROUND(BH67,0)</f>
        <v>0</v>
      </c>
      <c r="K791" s="273">
        <f>ROUND(BH68,0)</f>
        <v>0</v>
      </c>
      <c r="L791" s="273">
        <f>ROUND(BH69,0)</f>
        <v>0</v>
      </c>
      <c r="M791" s="273">
        <f>ROUND(BH70,0)</f>
        <v>0</v>
      </c>
      <c r="N791" s="273"/>
      <c r="O791" s="273"/>
      <c r="P791" s="273">
        <f>IF(BH76&gt;0,ROUND(BH76,0),0)</f>
        <v>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5" customHeight="1" x14ac:dyDescent="0.35">
      <c r="A792" s="208" t="str">
        <f>RIGHT($C$83,3)&amp;"*"&amp;RIGHT($C$82,4)&amp;"*"&amp;BI$55&amp;"*"&amp;"A"</f>
        <v>104*2019*8490*A</v>
      </c>
      <c r="B792" s="273"/>
      <c r="C792" s="275">
        <f>ROUND(BI60,2)</f>
        <v>0.99</v>
      </c>
      <c r="D792" s="273">
        <f>ROUND(BI61,0)</f>
        <v>115059</v>
      </c>
      <c r="E792" s="273">
        <f>ROUND(BI62,0)</f>
        <v>35886</v>
      </c>
      <c r="F792" s="273">
        <f>ROUND(BI63,0)</f>
        <v>0</v>
      </c>
      <c r="G792" s="273">
        <f>ROUND(BI64,0)</f>
        <v>0</v>
      </c>
      <c r="H792" s="273">
        <f>ROUND(BI65,0)</f>
        <v>0</v>
      </c>
      <c r="I792" s="273">
        <f>ROUND(BI66,0)</f>
        <v>126264</v>
      </c>
      <c r="J792" s="273">
        <f>ROUND(BI67,0)</f>
        <v>0</v>
      </c>
      <c r="K792" s="273">
        <f>ROUND(BI68,0)</f>
        <v>0</v>
      </c>
      <c r="L792" s="273">
        <f>ROUND(BI69,0)</f>
        <v>0</v>
      </c>
      <c r="M792" s="273">
        <f>ROUND(BI70,0)</f>
        <v>0</v>
      </c>
      <c r="N792" s="273"/>
      <c r="O792" s="273"/>
      <c r="P792" s="273">
        <f>IF(BI76&gt;0,ROUND(BI76,0),0)</f>
        <v>0</v>
      </c>
      <c r="Q792" s="273">
        <f>IF(BI77&gt;0,ROUND(BI77,0),0)</f>
        <v>0</v>
      </c>
      <c r="R792" s="273">
        <f>IF(BI78&gt;0,ROUND(BI78,0),0)</f>
        <v>0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5" customHeight="1" x14ac:dyDescent="0.35">
      <c r="A793" s="208" t="str">
        <f>RIGHT($C$83,3)&amp;"*"&amp;RIGHT($C$82,4)&amp;"*"&amp;BJ$55&amp;"*"&amp;"A"</f>
        <v>104*2019*8510*A</v>
      </c>
      <c r="B793" s="273"/>
      <c r="C793" s="275">
        <f>ROUND(BJ60,2)</f>
        <v>2.6</v>
      </c>
      <c r="D793" s="273">
        <f>ROUND(BJ61,0)</f>
        <v>177027</v>
      </c>
      <c r="E793" s="273">
        <f>ROUND(BJ62,0)</f>
        <v>55213</v>
      </c>
      <c r="F793" s="273">
        <f>ROUND(BJ63,0)</f>
        <v>71510</v>
      </c>
      <c r="G793" s="273">
        <f>ROUND(BJ64,0)</f>
        <v>3149</v>
      </c>
      <c r="H793" s="273">
        <f>ROUND(BJ65,0)</f>
        <v>0</v>
      </c>
      <c r="I793" s="273">
        <f>ROUND(BJ66,0)</f>
        <v>751</v>
      </c>
      <c r="J793" s="273">
        <f>ROUND(BJ67,0)</f>
        <v>0</v>
      </c>
      <c r="K793" s="273">
        <f>ROUND(BJ68,0)</f>
        <v>0</v>
      </c>
      <c r="L793" s="273">
        <f>ROUND(BJ69,0)</f>
        <v>1044</v>
      </c>
      <c r="M793" s="273">
        <f>ROUND(BJ70,0)</f>
        <v>0</v>
      </c>
      <c r="N793" s="273"/>
      <c r="O793" s="273"/>
      <c r="P793" s="273">
        <f>IF(BJ76&gt;0,ROUND(BJ76,0),0)</f>
        <v>0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5" customHeight="1" x14ac:dyDescent="0.35">
      <c r="A794" s="208" t="str">
        <f>RIGHT($C$83,3)&amp;"*"&amp;RIGHT($C$82,4)&amp;"*"&amp;BK$55&amp;"*"&amp;"A"</f>
        <v>104*2019*8530*A</v>
      </c>
      <c r="B794" s="273"/>
      <c r="C794" s="275">
        <f>ROUND(BK60,2)</f>
        <v>7.95</v>
      </c>
      <c r="D794" s="273">
        <f>ROUND(BK61,0)</f>
        <v>358361</v>
      </c>
      <c r="E794" s="273">
        <f>ROUND(BK62,0)</f>
        <v>111770</v>
      </c>
      <c r="F794" s="273">
        <f>ROUND(BK63,0)</f>
        <v>43242</v>
      </c>
      <c r="G794" s="273">
        <f>ROUND(BK64,0)</f>
        <v>2531</v>
      </c>
      <c r="H794" s="273">
        <f>ROUND(BK65,0)</f>
        <v>0</v>
      </c>
      <c r="I794" s="273">
        <f>ROUND(BK66,0)</f>
        <v>274937</v>
      </c>
      <c r="J794" s="273">
        <f>ROUND(BK67,0)</f>
        <v>0</v>
      </c>
      <c r="K794" s="273">
        <f>ROUND(BK68,0)</f>
        <v>-411</v>
      </c>
      <c r="L794" s="273">
        <f>ROUND(BK69,0)</f>
        <v>334</v>
      </c>
      <c r="M794" s="273">
        <f>ROUND(BK70,0)</f>
        <v>0</v>
      </c>
      <c r="N794" s="273"/>
      <c r="O794" s="273"/>
      <c r="P794" s="273">
        <f>IF(BK76&gt;0,ROUND(BK76,0),0)</f>
        <v>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5" customHeight="1" x14ac:dyDescent="0.35">
      <c r="A795" s="208" t="str">
        <f>RIGHT($C$83,3)&amp;"*"&amp;RIGHT($C$82,4)&amp;"*"&amp;BL$55&amp;"*"&amp;"A"</f>
        <v>104*2019*8560*A</v>
      </c>
      <c r="B795" s="273"/>
      <c r="C795" s="275">
        <f>ROUND(BL60,2)</f>
        <v>14.11</v>
      </c>
      <c r="D795" s="273">
        <f>ROUND(BL61,0)</f>
        <v>623022</v>
      </c>
      <c r="E795" s="273">
        <f>ROUND(BL62,0)</f>
        <v>194315</v>
      </c>
      <c r="F795" s="273">
        <f>ROUND(BL63,0)</f>
        <v>0</v>
      </c>
      <c r="G795" s="273">
        <f>ROUND(BL64,0)</f>
        <v>9017</v>
      </c>
      <c r="H795" s="273">
        <f>ROUND(BL65,0)</f>
        <v>0</v>
      </c>
      <c r="I795" s="273">
        <f>ROUND(BL66,0)</f>
        <v>0</v>
      </c>
      <c r="J795" s="273">
        <f>ROUND(BL67,0)</f>
        <v>0</v>
      </c>
      <c r="K795" s="273">
        <f>ROUND(BL68,0)</f>
        <v>0</v>
      </c>
      <c r="L795" s="273">
        <f>ROUND(BL69,0)</f>
        <v>400</v>
      </c>
      <c r="M795" s="273">
        <f>ROUND(BL70,0)</f>
        <v>0</v>
      </c>
      <c r="N795" s="273"/>
      <c r="O795" s="273"/>
      <c r="P795" s="273">
        <f>IF(BL76&gt;0,ROUND(BL76,0),0)</f>
        <v>0</v>
      </c>
      <c r="Q795" s="273">
        <f>IF(BL77&gt;0,ROUND(BL77,0),0)</f>
        <v>0</v>
      </c>
      <c r="R795" s="273">
        <f>IF(BL78&gt;0,ROUND(BL78,0),0)</f>
        <v>0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5" customHeight="1" x14ac:dyDescent="0.35">
      <c r="A796" s="208" t="str">
        <f>RIGHT($C$83,3)&amp;"*"&amp;RIGHT($C$82,4)&amp;"*"&amp;BM$55&amp;"*"&amp;"A"</f>
        <v>104*2019*8590*A</v>
      </c>
      <c r="B796" s="273"/>
      <c r="C796" s="275">
        <f>ROUND(BM60,2)</f>
        <v>5.47</v>
      </c>
      <c r="D796" s="273">
        <f>ROUND(BM61,0)</f>
        <v>446174</v>
      </c>
      <c r="E796" s="273">
        <f>ROUND(BM62,0)</f>
        <v>139158</v>
      </c>
      <c r="F796" s="273">
        <f>ROUND(BM63,0)</f>
        <v>0</v>
      </c>
      <c r="G796" s="273">
        <f>ROUND(BM64,0)</f>
        <v>37539</v>
      </c>
      <c r="H796" s="273">
        <f>ROUND(BM65,0)</f>
        <v>0</v>
      </c>
      <c r="I796" s="273">
        <f>ROUND(BM66,0)</f>
        <v>991174</v>
      </c>
      <c r="J796" s="273">
        <f>ROUND(BM67,0)</f>
        <v>0</v>
      </c>
      <c r="K796" s="273">
        <f>ROUND(BM68,0)</f>
        <v>12816</v>
      </c>
      <c r="L796" s="273">
        <f>ROUND(BM69,0)</f>
        <v>14072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5" customHeight="1" x14ac:dyDescent="0.35">
      <c r="A797" s="208" t="str">
        <f>RIGHT($C$83,3)&amp;"*"&amp;RIGHT($C$82,4)&amp;"*"&amp;BN$55&amp;"*"&amp;"A"</f>
        <v>104*2019*8610*A</v>
      </c>
      <c r="B797" s="273"/>
      <c r="C797" s="275">
        <f>ROUND(BN60,2)</f>
        <v>3.26</v>
      </c>
      <c r="D797" s="273">
        <f>ROUND(BN61,0)</f>
        <v>2073927</v>
      </c>
      <c r="E797" s="273">
        <f>ROUND(BN62,0)</f>
        <v>646840</v>
      </c>
      <c r="F797" s="273">
        <f>ROUND(BN63,0)</f>
        <v>74558</v>
      </c>
      <c r="G797" s="273">
        <f>ROUND(BN64,0)</f>
        <v>13659</v>
      </c>
      <c r="H797" s="273">
        <f>ROUND(BN65,0)</f>
        <v>0</v>
      </c>
      <c r="I797" s="273">
        <f>ROUND(BN66,0)</f>
        <v>2123237</v>
      </c>
      <c r="J797" s="273">
        <f>ROUND(BN67,0)</f>
        <v>0</v>
      </c>
      <c r="K797" s="273">
        <f>ROUND(BN68,0)</f>
        <v>0</v>
      </c>
      <c r="L797" s="273">
        <f>ROUND(BN69,0)</f>
        <v>165703</v>
      </c>
      <c r="M797" s="273">
        <f>ROUND(BN70,0)</f>
        <v>0</v>
      </c>
      <c r="N797" s="273"/>
      <c r="O797" s="273"/>
      <c r="P797" s="273">
        <f>IF(BN76&gt;0,ROUND(BN76,0),0)</f>
        <v>0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5" customHeight="1" x14ac:dyDescent="0.35">
      <c r="A798" s="208" t="str">
        <f>RIGHT($C$83,3)&amp;"*"&amp;RIGHT($C$82,4)&amp;"*"&amp;BO$55&amp;"*"&amp;"A"</f>
        <v>104*2019*8620*A</v>
      </c>
      <c r="B798" s="273"/>
      <c r="C798" s="275">
        <f>ROUND(BO60,2)</f>
        <v>0</v>
      </c>
      <c r="D798" s="273">
        <f>ROUND(BO61,0)</f>
        <v>0</v>
      </c>
      <c r="E798" s="273">
        <f>ROUND(BO62,0)</f>
        <v>0</v>
      </c>
      <c r="F798" s="273">
        <f>ROUND(BO63,0)</f>
        <v>0</v>
      </c>
      <c r="G798" s="273">
        <f>ROUND(BO64,0)</f>
        <v>0</v>
      </c>
      <c r="H798" s="273">
        <f>ROUND(BO65,0)</f>
        <v>0</v>
      </c>
      <c r="I798" s="273">
        <f>ROUND(BO66,0)</f>
        <v>0</v>
      </c>
      <c r="J798" s="273">
        <f>ROUND(BO67,0)</f>
        <v>0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5" customHeight="1" x14ac:dyDescent="0.35">
      <c r="A799" s="208" t="str">
        <f>RIGHT($C$83,3)&amp;"*"&amp;RIGHT($C$82,4)&amp;"*"&amp;BP$55&amp;"*"&amp;"A"</f>
        <v>104*2019*8630*A</v>
      </c>
      <c r="B799" s="273"/>
      <c r="C799" s="275">
        <f>ROUND(BP60,2)</f>
        <v>0.82</v>
      </c>
      <c r="D799" s="273">
        <f>ROUND(BP61,0)</f>
        <v>87635</v>
      </c>
      <c r="E799" s="273">
        <f>ROUND(BP62,0)</f>
        <v>27333</v>
      </c>
      <c r="F799" s="273">
        <f>ROUND(BP63,0)</f>
        <v>0</v>
      </c>
      <c r="G799" s="273">
        <f>ROUND(BP64,0)</f>
        <v>763</v>
      </c>
      <c r="H799" s="273">
        <f>ROUND(BP65,0)</f>
        <v>0</v>
      </c>
      <c r="I799" s="273">
        <f>ROUND(BP66,0)</f>
        <v>25299</v>
      </c>
      <c r="J799" s="273">
        <f>ROUND(BP67,0)</f>
        <v>0</v>
      </c>
      <c r="K799" s="273">
        <f>ROUND(BP68,0)</f>
        <v>0</v>
      </c>
      <c r="L799" s="273">
        <f>ROUND(BP69,0)</f>
        <v>1527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5" customHeight="1" x14ac:dyDescent="0.35">
      <c r="A800" s="208" t="str">
        <f>RIGHT($C$83,3)&amp;"*"&amp;RIGHT($C$82,4)&amp;"*"&amp;BQ$55&amp;"*"&amp;"A"</f>
        <v>104*2019*8640*A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5" customHeight="1" x14ac:dyDescent="0.35">
      <c r="A801" s="208" t="str">
        <f>RIGHT($C$83,3)&amp;"*"&amp;RIGHT($C$82,4)&amp;"*"&amp;BR$55&amp;"*"&amp;"A"</f>
        <v>104*2019*8650*A</v>
      </c>
      <c r="B801" s="273"/>
      <c r="C801" s="275">
        <f>ROUND(BR60,2)</f>
        <v>2</v>
      </c>
      <c r="D801" s="273">
        <f>ROUND(BR61,0)</f>
        <v>232419</v>
      </c>
      <c r="E801" s="273">
        <f>ROUND(BR62,0)</f>
        <v>72490</v>
      </c>
      <c r="F801" s="273">
        <f>ROUND(BR63,0)</f>
        <v>0</v>
      </c>
      <c r="G801" s="273">
        <f>ROUND(BR64,0)</f>
        <v>4115</v>
      </c>
      <c r="H801" s="273">
        <f>ROUND(BR65,0)</f>
        <v>0</v>
      </c>
      <c r="I801" s="273">
        <f>ROUND(BR66,0)</f>
        <v>109742</v>
      </c>
      <c r="J801" s="273">
        <f>ROUND(BR67,0)</f>
        <v>0</v>
      </c>
      <c r="K801" s="273">
        <f>ROUND(BR68,0)</f>
        <v>0</v>
      </c>
      <c r="L801" s="273">
        <f>ROUND(BR69,0)</f>
        <v>3749</v>
      </c>
      <c r="M801" s="273">
        <f>ROUND(BR70,0)</f>
        <v>0</v>
      </c>
      <c r="N801" s="273"/>
      <c r="O801" s="273"/>
      <c r="P801" s="273">
        <f>IF(BR76&gt;0,ROUND(BR76,0),0)</f>
        <v>0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5" customHeight="1" x14ac:dyDescent="0.35">
      <c r="A802" s="208" t="str">
        <f>RIGHT($C$83,3)&amp;"*"&amp;RIGHT($C$82,4)&amp;"*"&amp;BS$55&amp;"*"&amp;"A"</f>
        <v>104*2019*8660*A</v>
      </c>
      <c r="B802" s="273"/>
      <c r="C802" s="275">
        <f>ROUND(BS60,2)</f>
        <v>0</v>
      </c>
      <c r="D802" s="273">
        <f>ROUND(BS61,0)</f>
        <v>0</v>
      </c>
      <c r="E802" s="273">
        <f>ROUND(BS62,0)</f>
        <v>0</v>
      </c>
      <c r="F802" s="273">
        <f>ROUND(BS63,0)</f>
        <v>0</v>
      </c>
      <c r="G802" s="273">
        <f>ROUND(BS64,0)</f>
        <v>0</v>
      </c>
      <c r="H802" s="273">
        <f>ROUND(BS65,0)</f>
        <v>0</v>
      </c>
      <c r="I802" s="273">
        <f>ROUND(BS66,0)</f>
        <v>0</v>
      </c>
      <c r="J802" s="273">
        <f>ROUND(BS67,0)</f>
        <v>0</v>
      </c>
      <c r="K802" s="273">
        <f>ROUND(BS68,0)</f>
        <v>0</v>
      </c>
      <c r="L802" s="273">
        <f>ROUND(BS69,0)</f>
        <v>0</v>
      </c>
      <c r="M802" s="273">
        <f>ROUND(BS70,0)</f>
        <v>0</v>
      </c>
      <c r="N802" s="273"/>
      <c r="O802" s="273"/>
      <c r="P802" s="273">
        <f>IF(BS76&gt;0,ROUND(BS76,0),0)</f>
        <v>0</v>
      </c>
      <c r="Q802" s="273">
        <f>IF(BS77&gt;0,ROUND(BS77,0),0)</f>
        <v>0</v>
      </c>
      <c r="R802" s="273">
        <f>IF(BS78&gt;0,ROUND(BS78,0),0)</f>
        <v>0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5" customHeight="1" x14ac:dyDescent="0.35">
      <c r="A803" s="208" t="str">
        <f>RIGHT($C$83,3)&amp;"*"&amp;RIGHT($C$82,4)&amp;"*"&amp;BT$55&amp;"*"&amp;"A"</f>
        <v>104*2019*8670*A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0</v>
      </c>
      <c r="H803" s="273">
        <f>ROUND(BT65,0)</f>
        <v>0</v>
      </c>
      <c r="I803" s="273">
        <f>ROUND(BT66,0)</f>
        <v>0</v>
      </c>
      <c r="J803" s="273">
        <f>ROUND(BT67,0)</f>
        <v>0</v>
      </c>
      <c r="K803" s="273">
        <f>ROUND(BT68,0)</f>
        <v>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0</v>
      </c>
      <c r="Q803" s="273">
        <f>IF(BT77&gt;0,ROUND(BT77,0),0)</f>
        <v>0</v>
      </c>
      <c r="R803" s="273">
        <f>IF(BT78&gt;0,ROUND(BT78,0),0)</f>
        <v>0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5" customHeight="1" x14ac:dyDescent="0.35">
      <c r="A804" s="208" t="str">
        <f>RIGHT($C$83,3)&amp;"*"&amp;RIGHT($C$82,4)&amp;"*"&amp;BU$55&amp;"*"&amp;"A"</f>
        <v>104*2019*8680*A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5" customHeight="1" x14ac:dyDescent="0.35">
      <c r="A805" s="208" t="str">
        <f>RIGHT($C$83,3)&amp;"*"&amp;RIGHT($C$82,4)&amp;"*"&amp;BV$55&amp;"*"&amp;"A"</f>
        <v>104*2019*8690*A</v>
      </c>
      <c r="B805" s="273"/>
      <c r="C805" s="275">
        <f>ROUND(BV60,2)</f>
        <v>9.51</v>
      </c>
      <c r="D805" s="273">
        <f>ROUND(BV61,0)</f>
        <v>490824</v>
      </c>
      <c r="E805" s="273">
        <f>ROUND(BV62,0)</f>
        <v>153084</v>
      </c>
      <c r="F805" s="273">
        <f>ROUND(BV63,0)</f>
        <v>0</v>
      </c>
      <c r="G805" s="273">
        <f>ROUND(BV64,0)</f>
        <v>2703</v>
      </c>
      <c r="H805" s="273">
        <f>ROUND(BV65,0)</f>
        <v>0</v>
      </c>
      <c r="I805" s="273">
        <f>ROUND(BV66,0)</f>
        <v>177198</v>
      </c>
      <c r="J805" s="273">
        <f>ROUND(BV67,0)</f>
        <v>0</v>
      </c>
      <c r="K805" s="273">
        <f>ROUND(BV68,0)</f>
        <v>0</v>
      </c>
      <c r="L805" s="273">
        <f>ROUND(BV69,0)</f>
        <v>518</v>
      </c>
      <c r="M805" s="273">
        <f>ROUND(BV70,0)</f>
        <v>0</v>
      </c>
      <c r="N805" s="273"/>
      <c r="O805" s="273"/>
      <c r="P805" s="273">
        <f>IF(BV76&gt;0,ROUND(BV76,0),0)</f>
        <v>0</v>
      </c>
      <c r="Q805" s="273">
        <f>IF(BV77&gt;0,ROUND(BV77,0),0)</f>
        <v>0</v>
      </c>
      <c r="R805" s="273">
        <f>IF(BV78&gt;0,ROUND(BV78,0),0)</f>
        <v>0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5" customHeight="1" x14ac:dyDescent="0.35">
      <c r="A806" s="208" t="str">
        <f>RIGHT($C$83,3)&amp;"*"&amp;RIGHT($C$82,4)&amp;"*"&amp;BW$55&amp;"*"&amp;"A"</f>
        <v>104*2019*8700*A</v>
      </c>
      <c r="B806" s="273"/>
      <c r="C806" s="275">
        <f>ROUND(BW60,2)</f>
        <v>1.0900000000000001</v>
      </c>
      <c r="D806" s="273">
        <f>ROUND(BW61,0)</f>
        <v>62376</v>
      </c>
      <c r="E806" s="273">
        <f>ROUND(BW62,0)</f>
        <v>19455</v>
      </c>
      <c r="F806" s="273">
        <f>ROUND(BW63,0)</f>
        <v>0</v>
      </c>
      <c r="G806" s="273">
        <f>ROUND(BW64,0)</f>
        <v>1404</v>
      </c>
      <c r="H806" s="273">
        <f>ROUND(BW65,0)</f>
        <v>0</v>
      </c>
      <c r="I806" s="273">
        <f>ROUND(BW66,0)</f>
        <v>26978</v>
      </c>
      <c r="J806" s="273">
        <f>ROUND(BW67,0)</f>
        <v>0</v>
      </c>
      <c r="K806" s="273">
        <f>ROUND(BW68,0)</f>
        <v>0</v>
      </c>
      <c r="L806" s="273">
        <f>ROUND(BW69,0)</f>
        <v>442</v>
      </c>
      <c r="M806" s="273">
        <f>ROUND(BW70,0)</f>
        <v>0</v>
      </c>
      <c r="N806" s="273"/>
      <c r="O806" s="273"/>
      <c r="P806" s="273">
        <f>IF(BW76&gt;0,ROUND(BW76,0),0)</f>
        <v>0</v>
      </c>
      <c r="Q806" s="273">
        <f>IF(BW77&gt;0,ROUND(BW77,0),0)</f>
        <v>0</v>
      </c>
      <c r="R806" s="273">
        <f>IF(BW78&gt;0,ROUND(BW78,0),0)</f>
        <v>0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5" customHeight="1" x14ac:dyDescent="0.35">
      <c r="A807" s="208" t="str">
        <f>RIGHT($C$83,3)&amp;"*"&amp;RIGHT($C$82,4)&amp;"*"&amp;BX$55&amp;"*"&amp;"A"</f>
        <v>104*2019*8710*A</v>
      </c>
      <c r="B807" s="273"/>
      <c r="C807" s="275">
        <f>ROUND(BX60,2)</f>
        <v>0</v>
      </c>
      <c r="D807" s="273">
        <f>ROUND(BX61,0)</f>
        <v>0</v>
      </c>
      <c r="E807" s="273">
        <f>ROUND(BX62,0)</f>
        <v>0</v>
      </c>
      <c r="F807" s="273">
        <f>ROUND(BX63,0)</f>
        <v>0</v>
      </c>
      <c r="G807" s="273">
        <f>ROUND(BX64,0)</f>
        <v>0</v>
      </c>
      <c r="H807" s="273">
        <f>ROUND(BX65,0)</f>
        <v>0</v>
      </c>
      <c r="I807" s="273">
        <f>ROUND(BX66,0)</f>
        <v>0</v>
      </c>
      <c r="J807" s="273">
        <f>ROUND(BX67,0)</f>
        <v>0</v>
      </c>
      <c r="K807" s="273">
        <f>ROUND(BX68,0)</f>
        <v>0</v>
      </c>
      <c r="L807" s="273">
        <f>ROUND(BX69,0)</f>
        <v>0</v>
      </c>
      <c r="M807" s="273">
        <f>ROUND(BX70,0)</f>
        <v>0</v>
      </c>
      <c r="N807" s="273"/>
      <c r="O807" s="273"/>
      <c r="P807" s="273">
        <f>IF(BX76&gt;0,ROUND(BX76,0),0)</f>
        <v>0</v>
      </c>
      <c r="Q807" s="273">
        <f>IF(BX77&gt;0,ROUND(BX77,0),0)</f>
        <v>0</v>
      </c>
      <c r="R807" s="273">
        <f>IF(BX78&gt;0,ROUND(BX78,0),0)</f>
        <v>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5" customHeight="1" x14ac:dyDescent="0.35">
      <c r="A808" s="208" t="str">
        <f>RIGHT($C$83,3)&amp;"*"&amp;RIGHT($C$82,4)&amp;"*"&amp;BY$55&amp;"*"&amp;"A"</f>
        <v>104*2019*8720*A</v>
      </c>
      <c r="B808" s="273"/>
      <c r="C808" s="275">
        <f>ROUND(BY60,2)</f>
        <v>2.74</v>
      </c>
      <c r="D808" s="273">
        <f>ROUND(BY61,0)</f>
        <v>338403</v>
      </c>
      <c r="E808" s="273">
        <f>ROUND(BY62,0)</f>
        <v>105545</v>
      </c>
      <c r="F808" s="273">
        <f>ROUND(BY63,0)</f>
        <v>0</v>
      </c>
      <c r="G808" s="273">
        <f>ROUND(BY64,0)</f>
        <v>0</v>
      </c>
      <c r="H808" s="273">
        <f>ROUND(BY65,0)</f>
        <v>0</v>
      </c>
      <c r="I808" s="273">
        <f>ROUND(BY66,0)</f>
        <v>0</v>
      </c>
      <c r="J808" s="273">
        <f>ROUND(BY67,0)</f>
        <v>0</v>
      </c>
      <c r="K808" s="273">
        <f>ROUND(BY68,0)</f>
        <v>0</v>
      </c>
      <c r="L808" s="273">
        <f>ROUND(BY69,0)</f>
        <v>288</v>
      </c>
      <c r="M808" s="273">
        <f>ROUND(BY70,0)</f>
        <v>0</v>
      </c>
      <c r="N808" s="273"/>
      <c r="O808" s="273"/>
      <c r="P808" s="273">
        <f>IF(BY76&gt;0,ROUND(BY76,0),0)</f>
        <v>0</v>
      </c>
      <c r="Q808" s="273">
        <f>IF(BY77&gt;0,ROUND(BY77,0),0)</f>
        <v>0</v>
      </c>
      <c r="R808" s="273">
        <f>IF(BY78&gt;0,ROUND(BY78,0),0)</f>
        <v>0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5" customHeight="1" x14ac:dyDescent="0.35">
      <c r="A809" s="208" t="str">
        <f>RIGHT($C$83,3)&amp;"*"&amp;RIGHT($C$82,4)&amp;"*"&amp;BZ$55&amp;"*"&amp;"A"</f>
        <v>104*2019*8730*A</v>
      </c>
      <c r="B809" s="273"/>
      <c r="C809" s="275">
        <f>ROUND(BZ60,2)</f>
        <v>0</v>
      </c>
      <c r="D809" s="273">
        <f>ROUND(BZ61,0)</f>
        <v>0</v>
      </c>
      <c r="E809" s="273">
        <f>ROUND(BZ62,0)</f>
        <v>0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0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5" customHeight="1" x14ac:dyDescent="0.35">
      <c r="A810" s="208" t="str">
        <f>RIGHT($C$83,3)&amp;"*"&amp;RIGHT($C$82,4)&amp;"*"&amp;CA$55&amp;"*"&amp;"A"</f>
        <v>104*2019*8740*A</v>
      </c>
      <c r="B810" s="273"/>
      <c r="C810" s="275">
        <f>ROUND(CA60,2)</f>
        <v>0</v>
      </c>
      <c r="D810" s="273">
        <f>ROUND(CA61,0)</f>
        <v>0</v>
      </c>
      <c r="E810" s="273">
        <f>ROUND(CA62,0)</f>
        <v>0</v>
      </c>
      <c r="F810" s="273">
        <f>ROUND(CA63,0)</f>
        <v>0</v>
      </c>
      <c r="G810" s="273">
        <f>ROUND(CA64,0)</f>
        <v>0</v>
      </c>
      <c r="H810" s="273">
        <f>ROUND(CA65,0)</f>
        <v>0</v>
      </c>
      <c r="I810" s="273">
        <f>ROUND(CA66,0)</f>
        <v>0</v>
      </c>
      <c r="J810" s="273">
        <f>ROUND(CA67,0)</f>
        <v>0</v>
      </c>
      <c r="K810" s="273">
        <f>ROUND(CA68,0)</f>
        <v>0</v>
      </c>
      <c r="L810" s="273">
        <f>ROUND(CA69,0)</f>
        <v>0</v>
      </c>
      <c r="M810" s="273">
        <f>ROUND(CA70,0)</f>
        <v>0</v>
      </c>
      <c r="N810" s="273"/>
      <c r="O810" s="273"/>
      <c r="P810" s="273">
        <f>IF(CA76&gt;0,ROUND(CA76,0),0)</f>
        <v>0</v>
      </c>
      <c r="Q810" s="273">
        <f>IF(CA77&gt;0,ROUND(CA77,0),0)</f>
        <v>0</v>
      </c>
      <c r="R810" s="273">
        <f>IF(CA78&gt;0,ROUND(CA78,0),0)</f>
        <v>0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5" customHeight="1" x14ac:dyDescent="0.35">
      <c r="A811" s="208" t="str">
        <f>RIGHT($C$83,3)&amp;"*"&amp;RIGHT($C$82,4)&amp;"*"&amp;CB$55&amp;"*"&amp;"A"</f>
        <v>104*2019*8770*A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0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5" customHeight="1" x14ac:dyDescent="0.35">
      <c r="A812" s="208" t="str">
        <f>RIGHT($C$83,3)&amp;"*"&amp;RIGHT($C$82,4)&amp;"*"&amp;CC$55&amp;"*"&amp;"A"</f>
        <v>104*2019*8790*A</v>
      </c>
      <c r="B812" s="273"/>
      <c r="C812" s="275">
        <f>ROUND(CC60,2)</f>
        <v>7.19</v>
      </c>
      <c r="D812" s="273">
        <f>ROUND(CC61,0)</f>
        <v>564449</v>
      </c>
      <c r="E812" s="273">
        <f>ROUND(CC62,0)</f>
        <v>176047</v>
      </c>
      <c r="F812" s="273">
        <f>ROUND(CC63,0)</f>
        <v>0</v>
      </c>
      <c r="G812" s="273">
        <f>ROUND(CC64,0)</f>
        <v>19505</v>
      </c>
      <c r="H812" s="273">
        <f>ROUND(CC65,0)</f>
        <v>0</v>
      </c>
      <c r="I812" s="273">
        <f>ROUND(CC66,0)</f>
        <v>143849</v>
      </c>
      <c r="J812" s="273">
        <f>ROUND(CC67,0)</f>
        <v>507025</v>
      </c>
      <c r="K812" s="273">
        <f>ROUND(CC68,0)</f>
        <v>100841</v>
      </c>
      <c r="L812" s="273">
        <f>ROUND(CC69,0)</f>
        <v>745777</v>
      </c>
      <c r="M812" s="273">
        <f>ROUND(CC70,0)</f>
        <v>0</v>
      </c>
      <c r="N812" s="273"/>
      <c r="O812" s="273"/>
      <c r="P812" s="273">
        <f>IF(CC76&gt;0,ROUND(CC76,0),0)</f>
        <v>25896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5" customHeight="1" x14ac:dyDescent="0.35">
      <c r="A813" s="208" t="str">
        <f>RIGHT($C$83,3)&amp;"*"&amp;RIGHT($C$82,4)&amp;"*"&amp;"9000"&amp;"*"&amp;"A"</f>
        <v>104*2019*9000*A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1302327</v>
      </c>
      <c r="V813" s="274">
        <f>ROUND(CD70,0)</f>
        <v>0</v>
      </c>
      <c r="W813" s="273">
        <f>ROUND(CE72,0)</f>
        <v>4736049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5" customHeight="1" x14ac:dyDescent="0.3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5" customHeight="1" x14ac:dyDescent="0.35">
      <c r="B815" s="277" t="s">
        <v>1004</v>
      </c>
      <c r="C815" s="278">
        <f t="shared" ref="C815:K815" si="22">SUM(C734:C813)</f>
        <v>273.89999999999998</v>
      </c>
      <c r="D815" s="274">
        <f t="shared" si="22"/>
        <v>24387413</v>
      </c>
      <c r="E815" s="274">
        <f t="shared" si="22"/>
        <v>7606231</v>
      </c>
      <c r="F815" s="274">
        <f t="shared" si="22"/>
        <v>1569773</v>
      </c>
      <c r="G815" s="274">
        <f t="shared" si="22"/>
        <v>7006265</v>
      </c>
      <c r="H815" s="274">
        <f t="shared" si="22"/>
        <v>549258</v>
      </c>
      <c r="I815" s="274">
        <f t="shared" si="22"/>
        <v>7327875</v>
      </c>
      <c r="J815" s="274">
        <f t="shared" si="22"/>
        <v>1943048</v>
      </c>
      <c r="K815" s="274">
        <f t="shared" si="22"/>
        <v>1030378</v>
      </c>
      <c r="L815" s="274">
        <f>SUM(L734:L813)+SUM(U734:U813)</f>
        <v>2320923</v>
      </c>
      <c r="M815" s="274">
        <f>SUM(M734:M813)+SUM(V734:V813)</f>
        <v>0</v>
      </c>
      <c r="N815" s="274">
        <f t="shared" ref="N815:Y815" si="23">SUM(N734:N813)</f>
        <v>139542700</v>
      </c>
      <c r="O815" s="274">
        <f t="shared" si="23"/>
        <v>38497869</v>
      </c>
      <c r="P815" s="274">
        <f t="shared" si="23"/>
        <v>99240</v>
      </c>
      <c r="Q815" s="274">
        <f t="shared" si="23"/>
        <v>34319</v>
      </c>
      <c r="R815" s="274">
        <f t="shared" si="23"/>
        <v>34764</v>
      </c>
      <c r="S815" s="274">
        <f t="shared" si="23"/>
        <v>217645</v>
      </c>
      <c r="T815" s="278">
        <f t="shared" si="23"/>
        <v>76.210000000000008</v>
      </c>
      <c r="U815" s="274">
        <f t="shared" si="23"/>
        <v>1302327</v>
      </c>
      <c r="V815" s="274">
        <f t="shared" si="23"/>
        <v>0</v>
      </c>
      <c r="W815" s="274">
        <f t="shared" si="23"/>
        <v>4736049</v>
      </c>
      <c r="X815" s="274">
        <f t="shared" si="23"/>
        <v>0</v>
      </c>
      <c r="Y815" s="274">
        <f t="shared" si="23"/>
        <v>19222746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5" customHeight="1" x14ac:dyDescent="0.35">
      <c r="B816" s="274" t="s">
        <v>1005</v>
      </c>
      <c r="C816" s="278">
        <f>CE60</f>
        <v>273.89999999999998</v>
      </c>
      <c r="D816" s="274">
        <f>CE61</f>
        <v>24387413</v>
      </c>
      <c r="E816" s="274">
        <f>CE62</f>
        <v>7606231</v>
      </c>
      <c r="F816" s="274">
        <f>CE63</f>
        <v>1569773</v>
      </c>
      <c r="G816" s="274">
        <f>CE64</f>
        <v>7006265</v>
      </c>
      <c r="H816" s="277">
        <f>CE65</f>
        <v>549258</v>
      </c>
      <c r="I816" s="277">
        <f>CE66</f>
        <v>7327875</v>
      </c>
      <c r="J816" s="277">
        <f>CE67</f>
        <v>1943048</v>
      </c>
      <c r="K816" s="277">
        <f>CE68</f>
        <v>1030378</v>
      </c>
      <c r="L816" s="277">
        <f>CE69</f>
        <v>2320923</v>
      </c>
      <c r="M816" s="277">
        <f>CE70</f>
        <v>0</v>
      </c>
      <c r="N816" s="274">
        <f>CE75</f>
        <v>139542700</v>
      </c>
      <c r="O816" s="274">
        <f>CE73</f>
        <v>38497869</v>
      </c>
      <c r="P816" s="274">
        <f>CE76</f>
        <v>99240</v>
      </c>
      <c r="Q816" s="274">
        <f>CE77</f>
        <v>34319</v>
      </c>
      <c r="R816" s="274">
        <f>CE78</f>
        <v>34764</v>
      </c>
      <c r="S816" s="274">
        <f>CE79</f>
        <v>217645</v>
      </c>
      <c r="T816" s="278">
        <f>CE80</f>
        <v>76.210000000000008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19222748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5" customHeight="1" x14ac:dyDescent="0.35">
      <c r="B817" s="180" t="s">
        <v>471</v>
      </c>
      <c r="C817" s="198" t="s">
        <v>1007</v>
      </c>
      <c r="D817" s="180">
        <f>C378</f>
        <v>24387413</v>
      </c>
      <c r="E817" s="180">
        <f>C379</f>
        <v>7606228</v>
      </c>
      <c r="F817" s="180">
        <f>C380</f>
        <v>1569773</v>
      </c>
      <c r="G817" s="238">
        <f>C381</f>
        <v>7013745</v>
      </c>
      <c r="H817" s="238">
        <f>C382</f>
        <v>653511.79</v>
      </c>
      <c r="I817" s="238">
        <f>C383</f>
        <v>6099379.21</v>
      </c>
      <c r="J817" s="238">
        <f>C384</f>
        <v>1943048</v>
      </c>
      <c r="K817" s="238">
        <f>C385</f>
        <v>1030153</v>
      </c>
      <c r="L817" s="238">
        <f>C386+C387+C388+C389</f>
        <v>2100465.4</v>
      </c>
      <c r="M817" s="238">
        <f>C370</f>
        <v>2855237</v>
      </c>
      <c r="N817" s="180">
        <f>D361</f>
        <v>139542699</v>
      </c>
      <c r="O817" s="180">
        <f>C359</f>
        <v>38497867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2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7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EvergreenHealth Monroe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H-104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14701 179th Ave SE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14701 179th Ave SE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Monroe, Wa, 98272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view="pageBreakPreview" zoomScale="60" zoomScaleNormal="75" workbookViewId="0">
      <selection activeCell="D40" sqref="D40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H-104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EvergreenHealth Monroe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Lisa LaPlante 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John Green 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Alice Cabe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360-794-7497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360-863-4672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692</v>
      </c>
      <c r="G23" s="21">
        <f>data!D111</f>
        <v>2719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459</v>
      </c>
      <c r="G25" s="21">
        <f>data!D113</f>
        <v>4077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26</v>
      </c>
      <c r="E32" s="49" t="s">
        <v>1045</v>
      </c>
      <c r="F32" s="24"/>
      <c r="G32" s="21">
        <f>data!C125</f>
        <v>36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66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112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EvergreenHealth Monroe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412</v>
      </c>
      <c r="C7" s="48">
        <f>data!B139</f>
        <v>695</v>
      </c>
      <c r="D7" s="48">
        <f>data!B140</f>
        <v>6293</v>
      </c>
      <c r="E7" s="48">
        <f>data!B141</f>
        <v>7093557</v>
      </c>
      <c r="F7" s="48">
        <f>data!B142</f>
        <v>12535316</v>
      </c>
      <c r="G7" s="48">
        <f>data!B141+data!B142</f>
        <v>19628873</v>
      </c>
    </row>
    <row r="8" spans="1:13" ht="20.149999999999999" customHeight="1" x14ac:dyDescent="0.35">
      <c r="A8" s="23" t="s">
        <v>297</v>
      </c>
      <c r="B8" s="48">
        <f>data!C138</f>
        <v>165</v>
      </c>
      <c r="C8" s="48">
        <f>data!C139</f>
        <v>355</v>
      </c>
      <c r="D8" s="48">
        <f>data!C140</f>
        <v>3489</v>
      </c>
      <c r="E8" s="48">
        <f>data!C141</f>
        <v>2629564</v>
      </c>
      <c r="F8" s="48">
        <f>data!C142</f>
        <v>10595036</v>
      </c>
      <c r="G8" s="48">
        <f>data!C141+data!C142</f>
        <v>13224600</v>
      </c>
    </row>
    <row r="9" spans="1:13" ht="20.149999999999999" customHeight="1" x14ac:dyDescent="0.35">
      <c r="A9" s="23" t="s">
        <v>1058</v>
      </c>
      <c r="B9" s="48">
        <f>data!D138</f>
        <v>180</v>
      </c>
      <c r="C9" s="48">
        <f>data!D139</f>
        <v>2017</v>
      </c>
      <c r="D9" s="48">
        <f>data!D140</f>
        <v>26317</v>
      </c>
      <c r="E9" s="48">
        <f>data!D141</f>
        <v>17690981</v>
      </c>
      <c r="F9" s="48">
        <f>data!D142</f>
        <v>65104143</v>
      </c>
      <c r="G9" s="48">
        <f>data!D141+data!D142</f>
        <v>82795124</v>
      </c>
    </row>
    <row r="10" spans="1:13" ht="20.149999999999999" customHeight="1" x14ac:dyDescent="0.35">
      <c r="A10" s="111" t="s">
        <v>203</v>
      </c>
      <c r="B10" s="48">
        <f>data!E138</f>
        <v>757</v>
      </c>
      <c r="C10" s="48">
        <f>data!E139</f>
        <v>3067</v>
      </c>
      <c r="D10" s="48">
        <f>data!E140</f>
        <v>36099</v>
      </c>
      <c r="E10" s="48">
        <f>data!E141</f>
        <v>27414102</v>
      </c>
      <c r="F10" s="48">
        <f>data!E142</f>
        <v>88234495</v>
      </c>
      <c r="G10" s="48">
        <f>data!E141+data!E142</f>
        <v>115648597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27</v>
      </c>
      <c r="C25" s="48">
        <f>data!B151</f>
        <v>292</v>
      </c>
      <c r="D25" s="48">
        <f>data!B152</f>
        <v>0</v>
      </c>
      <c r="E25" s="48">
        <f>data!B153</f>
        <v>217258</v>
      </c>
      <c r="F25" s="48">
        <f>data!B154</f>
        <v>0</v>
      </c>
      <c r="G25" s="48">
        <f>data!B153+data!B154</f>
        <v>217258</v>
      </c>
    </row>
    <row r="26" spans="1:7" ht="20.149999999999999" customHeight="1" x14ac:dyDescent="0.35">
      <c r="A26" s="23" t="s">
        <v>297</v>
      </c>
      <c r="B26" s="48">
        <f>data!C150</f>
        <v>11</v>
      </c>
      <c r="C26" s="48">
        <f>data!C151</f>
        <v>196</v>
      </c>
      <c r="D26" s="48">
        <f>data!C152</f>
        <v>0</v>
      </c>
      <c r="E26" s="48">
        <f>data!C153</f>
        <v>418306</v>
      </c>
      <c r="F26" s="48">
        <f>data!C154</f>
        <v>0</v>
      </c>
      <c r="G26" s="48">
        <f>data!C153+data!C154</f>
        <v>418306</v>
      </c>
    </row>
    <row r="27" spans="1:7" ht="20.149999999999999" customHeight="1" x14ac:dyDescent="0.35">
      <c r="A27" s="23" t="s">
        <v>1058</v>
      </c>
      <c r="B27" s="48">
        <f>data!D150</f>
        <v>466</v>
      </c>
      <c r="C27" s="48">
        <f>data!D151</f>
        <v>3940</v>
      </c>
      <c r="D27" s="48">
        <f>data!D152</f>
        <v>0</v>
      </c>
      <c r="E27" s="48">
        <f>data!D153</f>
        <v>3702004</v>
      </c>
      <c r="F27" s="48">
        <f>data!D154</f>
        <v>486596</v>
      </c>
      <c r="G27" s="48">
        <f>data!D153+data!D154</f>
        <v>4188600</v>
      </c>
    </row>
    <row r="28" spans="1:7" ht="20.149999999999999" customHeight="1" x14ac:dyDescent="0.35">
      <c r="A28" s="111" t="s">
        <v>203</v>
      </c>
      <c r="B28" s="48">
        <f>data!E150</f>
        <v>504</v>
      </c>
      <c r="C28" s="48">
        <f>data!E151</f>
        <v>4428</v>
      </c>
      <c r="D28" s="48">
        <f>data!E152</f>
        <v>0</v>
      </c>
      <c r="E28" s="48">
        <f>data!E153</f>
        <v>4337568</v>
      </c>
      <c r="F28" s="48">
        <f>data!E154</f>
        <v>486596</v>
      </c>
      <c r="G28" s="48">
        <f>data!E153+data!E154</f>
        <v>4824164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2695165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1472683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25" zoomScale="75" workbookViewId="0">
      <selection activeCell="C9" sqref="C9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EvergreenHealth Monroe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1611220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342345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246556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2458005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514424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1512967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206804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6892321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863047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321575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1184622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29983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132855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162838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53043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342555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395598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806619.26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806619.26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27" sqref="J2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EvergreenHealth Monroe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1878610</v>
      </c>
      <c r="D7" s="21">
        <f>data!C195</f>
        <v>0</v>
      </c>
      <c r="E7" s="21">
        <f>data!D195</f>
        <v>0</v>
      </c>
      <c r="F7" s="21">
        <f>data!E195</f>
        <v>1878610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1233752</v>
      </c>
      <c r="D8" s="21">
        <f>data!C196</f>
        <v>0</v>
      </c>
      <c r="E8" s="21">
        <f>data!D196</f>
        <v>0</v>
      </c>
      <c r="F8" s="21">
        <f>data!E196</f>
        <v>1233752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24076262</v>
      </c>
      <c r="D9" s="21">
        <f>data!C197</f>
        <v>2927296</v>
      </c>
      <c r="E9" s="21">
        <f>data!D197</f>
        <v>0</v>
      </c>
      <c r="F9" s="21">
        <f>data!E197</f>
        <v>27003558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2730523</v>
      </c>
      <c r="D10" s="21">
        <f>data!C198</f>
        <v>21862</v>
      </c>
      <c r="E10" s="21">
        <f>data!D198</f>
        <v>20982</v>
      </c>
      <c r="F10" s="21">
        <f>data!E198</f>
        <v>2731403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19541875</v>
      </c>
      <c r="D12" s="21">
        <f>data!C200</f>
        <v>2209045</v>
      </c>
      <c r="E12" s="21">
        <f>data!D200</f>
        <v>2368626</v>
      </c>
      <c r="F12" s="21">
        <f>data!E200</f>
        <v>19382294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3098250</v>
      </c>
      <c r="D14" s="21">
        <f>data!C202</f>
        <v>10880</v>
      </c>
      <c r="E14" s="21">
        <f>data!D202</f>
        <v>0</v>
      </c>
      <c r="F14" s="21">
        <f>data!E202</f>
        <v>3109130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4508526</v>
      </c>
      <c r="D15" s="21">
        <f>data!C203</f>
        <v>-4307002</v>
      </c>
      <c r="E15" s="21">
        <f>data!D203</f>
        <v>0</v>
      </c>
      <c r="F15" s="21">
        <f>data!E203</f>
        <v>201524</v>
      </c>
      <c r="M15" s="267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57067798</v>
      </c>
      <c r="D16" s="21">
        <f>data!C204</f>
        <v>862081</v>
      </c>
      <c r="E16" s="21">
        <f>data!D204</f>
        <v>2389608</v>
      </c>
      <c r="F16" s="21">
        <f>data!E204</f>
        <v>55540271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883098</v>
      </c>
      <c r="D24" s="21">
        <f>data!C209</f>
        <v>55263</v>
      </c>
      <c r="E24" s="21">
        <f>data!D209</f>
        <v>0</v>
      </c>
      <c r="F24" s="21">
        <f>data!E209</f>
        <v>938361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18490939</v>
      </c>
      <c r="D25" s="21">
        <f>data!C210</f>
        <v>1008797</v>
      </c>
      <c r="E25" s="21">
        <f>data!D210</f>
        <v>0</v>
      </c>
      <c r="F25" s="21">
        <f>data!E210</f>
        <v>19499736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2412944</v>
      </c>
      <c r="D26" s="21">
        <f>data!C211</f>
        <v>70156</v>
      </c>
      <c r="E26" s="21">
        <f>data!D211</f>
        <v>19683</v>
      </c>
      <c r="F26" s="21">
        <f>data!E211</f>
        <v>2463417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16431622</v>
      </c>
      <c r="D28" s="21">
        <f>data!C213</f>
        <v>1162354</v>
      </c>
      <c r="E28" s="21">
        <f>data!D213</f>
        <v>2237074</v>
      </c>
      <c r="F28" s="21">
        <f>data!E213</f>
        <v>15356902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2169141</v>
      </c>
      <c r="D30" s="21">
        <f>data!C215</f>
        <v>122260</v>
      </c>
      <c r="E30" s="21">
        <f>data!D215</f>
        <v>0</v>
      </c>
      <c r="F30" s="21">
        <f>data!E215</f>
        <v>2291401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40387744</v>
      </c>
      <c r="D32" s="21">
        <f>data!C217</f>
        <v>2418830</v>
      </c>
      <c r="E32" s="21">
        <f>data!D217</f>
        <v>2256757</v>
      </c>
      <c r="F32" s="21">
        <f>data!E217</f>
        <v>40549817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D12" sqref="D12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EvergreenHealth Monroe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4421060.63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28567904.890000001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23967335.239999998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1917599.62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1775965.56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19611985.459999993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75840790.769999981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873</v>
      </c>
      <c r="M16" s="267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122861.45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786469.51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909330.96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2">
        <v>20</v>
      </c>
      <c r="B24" s="55">
        <v>5970</v>
      </c>
      <c r="C24" s="14" t="s">
        <v>357</v>
      </c>
      <c r="D24" s="14">
        <f>data!C238</f>
        <v>1074467.8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82245650.159999967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EvergreenHealth Monroe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11430686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21098928.879999999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13400073.73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212255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745670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1970106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1017164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401410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7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23476146.149999999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1878610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1233752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27003558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2731403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19382293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3109130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201524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55540270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40549817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14990453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38466599.149999999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EvergreenHealth Monroe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2504768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1528742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3230100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1377456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1437648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10078714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29222.49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23473759.829999998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1669827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2332071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27504880.319999997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27504880.319999997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883005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883005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38466599.319999993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EvergreenHealth Monroe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31751670.219999999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88721091.390000001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120472761.61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1" t="s">
        <v>450</v>
      </c>
      <c r="C115" s="48">
        <f>data!C363</f>
        <v>4421060.63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75210971.459999993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909330.96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1074467.8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81615830.849999979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38856930.76000002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2637109.69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2637109.69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41494040.450000018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24193471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6892322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2143814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6133176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608427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6751617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2418830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1184622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162838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396561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156845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51042523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-9548482.5499999821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10288174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739691.45000001788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739691.45000001788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view="pageBreakPreview" topLeftCell="A193" zoomScale="60" zoomScaleNormal="65" workbookViewId="0">
      <selection activeCell="D232" sqref="D232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EvergreenHealth Monroe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626</v>
      </c>
      <c r="D9" s="14">
        <f>data!D59</f>
        <v>0</v>
      </c>
      <c r="E9" s="14">
        <f>data!E59</f>
        <v>2441</v>
      </c>
      <c r="F9" s="14">
        <f>data!F59</f>
        <v>0</v>
      </c>
      <c r="G9" s="14">
        <f>data!G59</f>
        <v>4696</v>
      </c>
      <c r="H9" s="14">
        <f>data!H59</f>
        <v>0</v>
      </c>
      <c r="I9" s="14">
        <f>data!I59</f>
        <v>4428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8.44</v>
      </c>
      <c r="D10" s="26">
        <f>data!D60</f>
        <v>0</v>
      </c>
      <c r="E10" s="26">
        <f>data!E60</f>
        <v>25.38</v>
      </c>
      <c r="F10" s="26">
        <f>data!F60</f>
        <v>0</v>
      </c>
      <c r="G10" s="26">
        <f>data!G60</f>
        <v>1.5</v>
      </c>
      <c r="H10" s="26">
        <f>data!H60</f>
        <v>0</v>
      </c>
      <c r="I10" s="26">
        <f>data!I60</f>
        <v>29.7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923777</v>
      </c>
      <c r="D11" s="14">
        <f>data!D61</f>
        <v>0</v>
      </c>
      <c r="E11" s="14">
        <f>data!E61</f>
        <v>2169826</v>
      </c>
      <c r="F11" s="14">
        <f>data!F61</f>
        <v>0</v>
      </c>
      <c r="G11" s="14">
        <f>data!G61</f>
        <v>185447</v>
      </c>
      <c r="H11" s="14">
        <f>data!H61</f>
        <v>0</v>
      </c>
      <c r="I11" s="14">
        <f>data!I61</f>
        <v>2305001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263169</v>
      </c>
      <c r="D12" s="14">
        <f>data!D62</f>
        <v>0</v>
      </c>
      <c r="E12" s="14">
        <f>data!E62</f>
        <v>618148</v>
      </c>
      <c r="F12" s="14">
        <f>data!F62</f>
        <v>0</v>
      </c>
      <c r="G12" s="14">
        <f>data!G62</f>
        <v>52831</v>
      </c>
      <c r="H12" s="14">
        <f>data!H62</f>
        <v>0</v>
      </c>
      <c r="I12" s="14">
        <f>data!I62</f>
        <v>656657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138874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42352</v>
      </c>
      <c r="D14" s="14">
        <f>data!D64</f>
        <v>0</v>
      </c>
      <c r="E14" s="14">
        <f>data!E64</f>
        <v>274150</v>
      </c>
      <c r="F14" s="14">
        <f>data!F64</f>
        <v>0</v>
      </c>
      <c r="G14" s="14">
        <f>data!G64</f>
        <v>238</v>
      </c>
      <c r="H14" s="14">
        <f>data!H64</f>
        <v>0</v>
      </c>
      <c r="I14" s="14">
        <f>data!I64</f>
        <v>112228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51156</v>
      </c>
      <c r="M15" s="266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446</v>
      </c>
      <c r="D16" s="14">
        <f>data!D66</f>
        <v>0</v>
      </c>
      <c r="E16" s="14">
        <f>data!E66</f>
        <v>50623</v>
      </c>
      <c r="F16" s="14">
        <f>data!F66</f>
        <v>0</v>
      </c>
      <c r="G16" s="14">
        <f>data!G66</f>
        <v>3074</v>
      </c>
      <c r="H16" s="14">
        <f>data!H66</f>
        <v>0</v>
      </c>
      <c r="I16" s="14">
        <f>data!I66</f>
        <v>19965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45916</v>
      </c>
      <c r="D17" s="14">
        <f>data!D67</f>
        <v>0</v>
      </c>
      <c r="E17" s="14">
        <f>data!E67</f>
        <v>247219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973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12832</v>
      </c>
      <c r="D18" s="14">
        <f>data!D68</f>
        <v>0</v>
      </c>
      <c r="E18" s="14">
        <f>data!E68</f>
        <v>19512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447654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1454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24706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1288492</v>
      </c>
      <c r="D21" s="14">
        <f>data!D71</f>
        <v>0</v>
      </c>
      <c r="E21" s="14">
        <f>data!E71</f>
        <v>3519806</v>
      </c>
      <c r="F21" s="14">
        <f>data!F71</f>
        <v>0</v>
      </c>
      <c r="G21" s="14">
        <f>data!G71</f>
        <v>241590</v>
      </c>
      <c r="H21" s="14">
        <f>data!H71</f>
        <v>0</v>
      </c>
      <c r="I21" s="14">
        <f>data!I71</f>
        <v>3618340</v>
      </c>
    </row>
    <row r="22" spans="1:9" ht="20.149999999999999" customHeight="1" x14ac:dyDescent="0.35">
      <c r="A22" s="23">
        <v>17</v>
      </c>
      <c r="B22" s="14" t="s">
        <v>244</v>
      </c>
      <c r="C22" s="209"/>
      <c r="D22" s="210"/>
      <c r="E22" s="210"/>
      <c r="F22" s="210"/>
      <c r="G22" s="210"/>
      <c r="H22" s="210"/>
      <c r="I22" s="210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619357</v>
      </c>
      <c r="D23" s="48">
        <f>+data!M669</f>
        <v>0</v>
      </c>
      <c r="E23" s="48">
        <f>+data!M670</f>
        <v>2122124</v>
      </c>
      <c r="F23" s="48">
        <f>+data!M671</f>
        <v>0</v>
      </c>
      <c r="G23" s="48">
        <f>+data!M672</f>
        <v>110089</v>
      </c>
      <c r="H23" s="48">
        <f>+data!M673</f>
        <v>0</v>
      </c>
      <c r="I23" s="48">
        <f>+data!M674</f>
        <v>1657382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2034733</v>
      </c>
      <c r="D24" s="14">
        <f>data!D73</f>
        <v>0</v>
      </c>
      <c r="E24" s="14">
        <f>data!E73</f>
        <v>4922264</v>
      </c>
      <c r="F24" s="14">
        <f>data!F73</f>
        <v>0</v>
      </c>
      <c r="G24" s="14">
        <f>data!G73</f>
        <v>23211</v>
      </c>
      <c r="H24" s="14">
        <f>data!H73</f>
        <v>0</v>
      </c>
      <c r="I24" s="14">
        <f>data!I73</f>
        <v>4337568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10697</v>
      </c>
      <c r="D25" s="14">
        <f>data!D74</f>
        <v>0</v>
      </c>
      <c r="E25" s="14">
        <f>data!E74</f>
        <v>1376239</v>
      </c>
      <c r="F25" s="14">
        <f>data!F74</f>
        <v>0</v>
      </c>
      <c r="G25" s="14">
        <f>data!G74</f>
        <v>857115</v>
      </c>
      <c r="H25" s="14">
        <f>data!H74</f>
        <v>0</v>
      </c>
      <c r="I25" s="14">
        <f>data!I74</f>
        <v>486596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2045430</v>
      </c>
      <c r="D26" s="14">
        <f>data!D75</f>
        <v>0</v>
      </c>
      <c r="E26" s="14">
        <f>data!E75</f>
        <v>6298503</v>
      </c>
      <c r="F26" s="14">
        <f>data!F75</f>
        <v>0</v>
      </c>
      <c r="G26" s="14">
        <f>data!G75</f>
        <v>880326</v>
      </c>
      <c r="H26" s="14">
        <f>data!H75</f>
        <v>0</v>
      </c>
      <c r="I26" s="14">
        <f>data!I75</f>
        <v>4824164</v>
      </c>
    </row>
    <row r="27" spans="1:9" ht="20.149999999999999" customHeight="1" x14ac:dyDescent="0.35">
      <c r="A27" s="23" t="s">
        <v>1185</v>
      </c>
      <c r="B27" s="60"/>
      <c r="C27" s="210"/>
      <c r="D27" s="210"/>
      <c r="E27" s="210"/>
      <c r="F27" s="210"/>
      <c r="G27" s="210"/>
      <c r="H27" s="210"/>
      <c r="I27" s="210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2200</v>
      </c>
      <c r="D28" s="14">
        <f>data!D76</f>
        <v>0</v>
      </c>
      <c r="E28" s="14">
        <f>data!E76</f>
        <v>11120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1753</v>
      </c>
      <c r="D29" s="14">
        <f>data!D77</f>
        <v>0</v>
      </c>
      <c r="E29" s="14">
        <f>data!E77</f>
        <v>8465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13284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958</v>
      </c>
      <c r="D30" s="14">
        <f>data!D78</f>
        <v>0</v>
      </c>
      <c r="E30" s="14">
        <f>data!E78</f>
        <v>4017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6789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7450</v>
      </c>
      <c r="D31" s="14">
        <f>data!D79</f>
        <v>0</v>
      </c>
      <c r="E31" s="14">
        <f>data!E79</f>
        <v>54075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5443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8.4</v>
      </c>
      <c r="D32" s="84">
        <f>data!D80</f>
        <v>0</v>
      </c>
      <c r="E32" s="84">
        <f>data!E80</f>
        <v>21.24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11.9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EvergreenHealth Monroe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91268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5.57</v>
      </c>
      <c r="H42" s="26">
        <f>data!O60</f>
        <v>0</v>
      </c>
      <c r="I42" s="26">
        <f>data!P60</f>
        <v>12.66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1526789</v>
      </c>
      <c r="H43" s="14">
        <f>data!O61</f>
        <v>0</v>
      </c>
      <c r="I43" s="14">
        <f>data!P61</f>
        <v>1071007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434957</v>
      </c>
      <c r="H44" s="14">
        <f>data!O62</f>
        <v>0</v>
      </c>
      <c r="I44" s="14">
        <f>data!P62</f>
        <v>305112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207</v>
      </c>
      <c r="H46" s="14">
        <f>data!O64</f>
        <v>0</v>
      </c>
      <c r="I46" s="14">
        <f>data!P64</f>
        <v>2331258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51</v>
      </c>
      <c r="H48" s="14">
        <f>data!O66</f>
        <v>0</v>
      </c>
      <c r="I48" s="14">
        <f>data!P66</f>
        <v>59098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121068</v>
      </c>
      <c r="I49" s="14">
        <f>data!P67</f>
        <v>113079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954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10648</v>
      </c>
      <c r="H51" s="14">
        <f>data!O69</f>
        <v>0</v>
      </c>
      <c r="I51" s="14">
        <f>data!P69</f>
        <v>82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1972652</v>
      </c>
      <c r="H53" s="14">
        <f>data!O71</f>
        <v>121068</v>
      </c>
      <c r="I53" s="14">
        <f>data!P71</f>
        <v>3880590</v>
      </c>
    </row>
    <row r="54" spans="1:9" ht="20.149999999999999" customHeight="1" x14ac:dyDescent="0.35">
      <c r="A54" s="23">
        <v>17</v>
      </c>
      <c r="B54" s="14" t="s">
        <v>244</v>
      </c>
      <c r="C54" s="210"/>
      <c r="D54" s="210"/>
      <c r="E54" s="210"/>
      <c r="F54" s="210"/>
      <c r="G54" s="210"/>
      <c r="H54" s="210"/>
      <c r="I54" s="210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393773</v>
      </c>
      <c r="H55" s="48">
        <f>+data!M680</f>
        <v>229630</v>
      </c>
      <c r="I55" s="48">
        <f>+data!M681</f>
        <v>2703357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1402</v>
      </c>
      <c r="H56" s="14">
        <f>data!O73</f>
        <v>0</v>
      </c>
      <c r="I56" s="14">
        <f>data!P73</f>
        <v>7199736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1132095</v>
      </c>
      <c r="H57" s="14">
        <f>data!O74</f>
        <v>0</v>
      </c>
      <c r="I57" s="14">
        <f>data!P74</f>
        <v>12846203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1133497</v>
      </c>
      <c r="H58" s="14">
        <f>data!O75</f>
        <v>0</v>
      </c>
      <c r="I58" s="14">
        <f>data!P75</f>
        <v>20045939</v>
      </c>
    </row>
    <row r="59" spans="1:9" ht="20.149999999999999" customHeight="1" x14ac:dyDescent="0.35">
      <c r="A59" s="23" t="s">
        <v>1185</v>
      </c>
      <c r="B59" s="60"/>
      <c r="C59" s="210"/>
      <c r="D59" s="210"/>
      <c r="E59" s="210"/>
      <c r="F59" s="210"/>
      <c r="G59" s="210"/>
      <c r="H59" s="210"/>
      <c r="I59" s="210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6045</v>
      </c>
      <c r="I60" s="14">
        <f>data!P76</f>
        <v>5422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2360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37228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3.11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EvergreenHealth Monroe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1"/>
      <c r="F72" s="211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1"/>
      <c r="F73" s="211"/>
      <c r="G73" s="14">
        <f>data!U59</f>
        <v>114209</v>
      </c>
      <c r="H73" s="14">
        <f>data!V59</f>
        <v>3935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3.09</v>
      </c>
      <c r="D74" s="26">
        <f>data!R60</f>
        <v>0</v>
      </c>
      <c r="E74" s="26">
        <f>data!S60</f>
        <v>1.84</v>
      </c>
      <c r="F74" s="26">
        <f>data!T60</f>
        <v>0</v>
      </c>
      <c r="G74" s="26">
        <f>data!U60</f>
        <v>12.53</v>
      </c>
      <c r="H74" s="26">
        <f>data!V60</f>
        <v>0</v>
      </c>
      <c r="I74" s="26">
        <f>data!W60</f>
        <v>2.19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334593</v>
      </c>
      <c r="D75" s="14">
        <f>data!R61</f>
        <v>0</v>
      </c>
      <c r="E75" s="14">
        <f>data!S61</f>
        <v>105222</v>
      </c>
      <c r="F75" s="14">
        <f>data!T61</f>
        <v>0</v>
      </c>
      <c r="G75" s="14">
        <f>data!U61</f>
        <v>1060732</v>
      </c>
      <c r="H75" s="14">
        <f>data!V61</f>
        <v>0</v>
      </c>
      <c r="I75" s="14">
        <f>data!W61</f>
        <v>245101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95320</v>
      </c>
      <c r="D76" s="14">
        <f>data!R62</f>
        <v>0</v>
      </c>
      <c r="E76" s="14">
        <f>data!S62</f>
        <v>29976</v>
      </c>
      <c r="F76" s="14">
        <f>data!T62</f>
        <v>0</v>
      </c>
      <c r="G76" s="14">
        <f>data!U62</f>
        <v>302185</v>
      </c>
      <c r="H76" s="14">
        <f>data!V62</f>
        <v>0</v>
      </c>
      <c r="I76" s="14">
        <f>data!W62</f>
        <v>69825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5339</v>
      </c>
      <c r="D78" s="14">
        <f>data!R64</f>
        <v>42517</v>
      </c>
      <c r="E78" s="14">
        <f>data!S64</f>
        <v>196027</v>
      </c>
      <c r="F78" s="14">
        <f>data!T64</f>
        <v>0</v>
      </c>
      <c r="G78" s="14">
        <f>data!U64</f>
        <v>724593</v>
      </c>
      <c r="H78" s="14">
        <f>data!V64</f>
        <v>0</v>
      </c>
      <c r="I78" s="14">
        <f>data!W64</f>
        <v>20175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-7503</v>
      </c>
      <c r="D80" s="14">
        <f>data!R66</f>
        <v>472982</v>
      </c>
      <c r="E80" s="14">
        <f>data!S66</f>
        <v>-30.47</v>
      </c>
      <c r="F80" s="14">
        <f>data!T66</f>
        <v>0</v>
      </c>
      <c r="G80" s="14">
        <f>data!U66</f>
        <v>787136</v>
      </c>
      <c r="H80" s="14">
        <f>data!V66</f>
        <v>0</v>
      </c>
      <c r="I80" s="14">
        <f>data!W66</f>
        <v>10171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12017</v>
      </c>
      <c r="D81" s="14">
        <f>data!R67</f>
        <v>3645</v>
      </c>
      <c r="E81" s="14">
        <f>data!S67</f>
        <v>0</v>
      </c>
      <c r="F81" s="14">
        <f>data!T67</f>
        <v>0</v>
      </c>
      <c r="G81" s="14">
        <f>data!U67</f>
        <v>40079</v>
      </c>
      <c r="H81" s="14">
        <f>data!V67</f>
        <v>0</v>
      </c>
      <c r="I81" s="14">
        <f>data!W67</f>
        <v>230246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32765</v>
      </c>
      <c r="H82" s="14">
        <f>data!V68</f>
        <v>0</v>
      </c>
      <c r="I82" s="14">
        <f>data!W68</f>
        <v>60569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5942</v>
      </c>
      <c r="H83" s="14">
        <f>data!V69</f>
        <v>0</v>
      </c>
      <c r="I83" s="14">
        <f>data!W69</f>
        <v>463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439766</v>
      </c>
      <c r="D85" s="14">
        <f>data!R71</f>
        <v>519144</v>
      </c>
      <c r="E85" s="14">
        <f>data!S71</f>
        <v>331194.53000000003</v>
      </c>
      <c r="F85" s="14">
        <f>data!T71</f>
        <v>0</v>
      </c>
      <c r="G85" s="14">
        <f>data!U71</f>
        <v>2953432</v>
      </c>
      <c r="H85" s="14">
        <f>data!V71</f>
        <v>0</v>
      </c>
      <c r="I85" s="14">
        <f>data!W71</f>
        <v>636550</v>
      </c>
    </row>
    <row r="86" spans="1:9" ht="20.149999999999999" customHeight="1" x14ac:dyDescent="0.35">
      <c r="A86" s="23">
        <v>17</v>
      </c>
      <c r="B86" s="14" t="s">
        <v>244</v>
      </c>
      <c r="C86" s="210"/>
      <c r="D86" s="210"/>
      <c r="E86" s="210"/>
      <c r="F86" s="210"/>
      <c r="G86" s="210"/>
      <c r="H86" s="210"/>
      <c r="I86" s="210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280754</v>
      </c>
      <c r="D87" s="48">
        <f>+data!M683</f>
        <v>218842</v>
      </c>
      <c r="E87" s="48">
        <f>+data!M684</f>
        <v>76360</v>
      </c>
      <c r="F87" s="48">
        <f>+data!M685</f>
        <v>0</v>
      </c>
      <c r="G87" s="48">
        <f>+data!M686</f>
        <v>1393518</v>
      </c>
      <c r="H87" s="48">
        <f>+data!M687</f>
        <v>85883</v>
      </c>
      <c r="I87" s="48">
        <f>+data!M688</f>
        <v>419068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608578</v>
      </c>
      <c r="D88" s="14">
        <f>data!R73</f>
        <v>604630</v>
      </c>
      <c r="E88" s="14">
        <f>data!S73</f>
        <v>0</v>
      </c>
      <c r="F88" s="14">
        <f>data!T73</f>
        <v>0</v>
      </c>
      <c r="G88" s="14">
        <f>data!U73</f>
        <v>2328263</v>
      </c>
      <c r="H88" s="14">
        <f>data!V73</f>
        <v>182295</v>
      </c>
      <c r="I88" s="14">
        <f>data!W73</f>
        <v>224435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1306950</v>
      </c>
      <c r="D89" s="14">
        <f>data!R74</f>
        <v>1304773</v>
      </c>
      <c r="E89" s="14">
        <f>data!S74</f>
        <v>0</v>
      </c>
      <c r="F89" s="14">
        <f>data!T74</f>
        <v>0</v>
      </c>
      <c r="G89" s="14">
        <f>data!U74</f>
        <v>8071806</v>
      </c>
      <c r="H89" s="14">
        <f>data!V74</f>
        <v>1011817</v>
      </c>
      <c r="I89" s="14">
        <f>data!W74</f>
        <v>3581829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1915528</v>
      </c>
      <c r="D90" s="14">
        <f>data!R75</f>
        <v>1909403</v>
      </c>
      <c r="E90" s="14">
        <f>data!S75</f>
        <v>0</v>
      </c>
      <c r="F90" s="14">
        <f>data!T75</f>
        <v>0</v>
      </c>
      <c r="G90" s="14">
        <f>data!U75</f>
        <v>10400069</v>
      </c>
      <c r="H90" s="14">
        <f>data!V75</f>
        <v>1194112</v>
      </c>
      <c r="I90" s="14">
        <f>data!W75</f>
        <v>3806264</v>
      </c>
    </row>
    <row r="91" spans="1:9" ht="20.149999999999999" customHeight="1" x14ac:dyDescent="0.35">
      <c r="A91" s="23" t="s">
        <v>1185</v>
      </c>
      <c r="B91" s="60"/>
      <c r="C91" s="210"/>
      <c r="D91" s="210"/>
      <c r="E91" s="210"/>
      <c r="F91" s="210"/>
      <c r="G91" s="210"/>
      <c r="H91" s="210"/>
      <c r="I91" s="210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600</v>
      </c>
      <c r="D92" s="14">
        <f>data!R76</f>
        <v>182</v>
      </c>
      <c r="E92" s="14">
        <f>data!S76</f>
        <v>0</v>
      </c>
      <c r="F92" s="14">
        <f>data!T76</f>
        <v>0</v>
      </c>
      <c r="G92" s="14">
        <f>data!U76</f>
        <v>1280</v>
      </c>
      <c r="H92" s="14">
        <f>data!V76</f>
        <v>0</v>
      </c>
      <c r="I92" s="14">
        <f>data!W76</f>
        <v>726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262</v>
      </c>
      <c r="D94" s="14">
        <f>data!R78</f>
        <v>79</v>
      </c>
      <c r="E94" s="14">
        <f>data!S78</f>
        <v>0</v>
      </c>
      <c r="F94" s="14">
        <f>data!T78</f>
        <v>0</v>
      </c>
      <c r="G94" s="14">
        <f>data!U78</f>
        <v>558</v>
      </c>
      <c r="H94" s="14">
        <f>data!V78</f>
        <v>0</v>
      </c>
      <c r="I94" s="14">
        <f>data!W78</f>
        <v>209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2.31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EvergreenHealth Monroe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1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1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7.73</v>
      </c>
      <c r="D106" s="26">
        <f>data!Y60</f>
        <v>4.34</v>
      </c>
      <c r="E106" s="26">
        <f>data!Z60</f>
        <v>0</v>
      </c>
      <c r="F106" s="26">
        <f>data!AA60</f>
        <v>2.35</v>
      </c>
      <c r="G106" s="26">
        <f>data!AB60</f>
        <v>7.02</v>
      </c>
      <c r="H106" s="26">
        <f>data!AC60</f>
        <v>4.09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637824</v>
      </c>
      <c r="D107" s="14">
        <f>data!Y61</f>
        <v>624532</v>
      </c>
      <c r="E107" s="14">
        <f>data!Z61</f>
        <v>0</v>
      </c>
      <c r="F107" s="14">
        <f>data!AA61</f>
        <v>0</v>
      </c>
      <c r="G107" s="14">
        <f>data!AB61</f>
        <v>773706</v>
      </c>
      <c r="H107" s="14">
        <f>data!AC61</f>
        <v>333465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181706</v>
      </c>
      <c r="D108" s="14">
        <f>data!Y62</f>
        <v>177919</v>
      </c>
      <c r="E108" s="14">
        <f>data!Z62</f>
        <v>0</v>
      </c>
      <c r="F108" s="14">
        <f>data!AA62</f>
        <v>0</v>
      </c>
      <c r="G108" s="14">
        <f>data!AB62</f>
        <v>220416</v>
      </c>
      <c r="H108" s="14">
        <f>data!AC62</f>
        <v>94999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3826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4158</v>
      </c>
      <c r="D110" s="14">
        <f>data!Y64</f>
        <v>57648</v>
      </c>
      <c r="E110" s="14">
        <f>data!Z64</f>
        <v>0</v>
      </c>
      <c r="F110" s="14">
        <f>data!AA64</f>
        <v>0</v>
      </c>
      <c r="G110" s="14">
        <f>data!AB64</f>
        <v>899100</v>
      </c>
      <c r="H110" s="14">
        <f>data!AC64</f>
        <v>29137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1716</v>
      </c>
      <c r="D112" s="14">
        <f>data!Y66</f>
        <v>218504</v>
      </c>
      <c r="E112" s="14">
        <f>data!Z66</f>
        <v>0</v>
      </c>
      <c r="F112" s="14">
        <f>data!AA66</f>
        <v>0</v>
      </c>
      <c r="G112" s="14">
        <f>data!AB66</f>
        <v>121588</v>
      </c>
      <c r="H112" s="14">
        <f>data!AC66</f>
        <v>564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90551</v>
      </c>
      <c r="D113" s="14">
        <f>data!Y67</f>
        <v>90885</v>
      </c>
      <c r="E113" s="14">
        <f>data!Z67</f>
        <v>0</v>
      </c>
      <c r="F113" s="14">
        <f>data!AA67</f>
        <v>8552</v>
      </c>
      <c r="G113" s="14">
        <f>data!AB67</f>
        <v>16243</v>
      </c>
      <c r="H113" s="14">
        <f>data!AC67</f>
        <v>17176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109428</v>
      </c>
      <c r="E114" s="14">
        <f>data!Z68</f>
        <v>0</v>
      </c>
      <c r="F114" s="14">
        <f>data!AA68</f>
        <v>0</v>
      </c>
      <c r="G114" s="14">
        <f>data!AB68</f>
        <v>169514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275</v>
      </c>
      <c r="D115" s="14">
        <f>data!Y69</f>
        <v>8222</v>
      </c>
      <c r="E115" s="14">
        <f>data!Z69</f>
        <v>0</v>
      </c>
      <c r="F115" s="14">
        <f>data!AA69</f>
        <v>8920</v>
      </c>
      <c r="G115" s="14">
        <f>data!AB69</f>
        <v>2784</v>
      </c>
      <c r="H115" s="14">
        <f>data!AC69</f>
        <v>437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916230</v>
      </c>
      <c r="D117" s="14">
        <f>data!Y71</f>
        <v>1287138</v>
      </c>
      <c r="E117" s="14">
        <f>data!Z71</f>
        <v>0</v>
      </c>
      <c r="F117" s="14">
        <f>data!AA71</f>
        <v>21298</v>
      </c>
      <c r="G117" s="14">
        <f>data!AB71</f>
        <v>2203351</v>
      </c>
      <c r="H117" s="14">
        <f>data!AC71</f>
        <v>475778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0"/>
      <c r="D118" s="210"/>
      <c r="E118" s="210"/>
      <c r="F118" s="210"/>
      <c r="G118" s="210"/>
      <c r="H118" s="210"/>
      <c r="I118" s="210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1288542</v>
      </c>
      <c r="D119" s="48">
        <f>+data!M690</f>
        <v>882880</v>
      </c>
      <c r="E119" s="48">
        <f>+data!M691</f>
        <v>0</v>
      </c>
      <c r="F119" s="48">
        <f>+data!M692</f>
        <v>54147</v>
      </c>
      <c r="G119" s="48">
        <f>+data!M693</f>
        <v>882010</v>
      </c>
      <c r="H119" s="48">
        <f>+data!M694</f>
        <v>200381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2204551</v>
      </c>
      <c r="D120" s="14">
        <f>data!Y73</f>
        <v>924543</v>
      </c>
      <c r="E120" s="14">
        <f>data!Z73</f>
        <v>0</v>
      </c>
      <c r="F120" s="14">
        <f>data!AA73</f>
        <v>0</v>
      </c>
      <c r="G120" s="14">
        <f>data!AB73</f>
        <v>2338277</v>
      </c>
      <c r="H120" s="14">
        <f>data!AC73</f>
        <v>468914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12518645</v>
      </c>
      <c r="D121" s="14">
        <f>data!Y74</f>
        <v>5616285</v>
      </c>
      <c r="E121" s="14">
        <f>data!Z74</f>
        <v>0</v>
      </c>
      <c r="F121" s="14">
        <f>data!AA74</f>
        <v>0</v>
      </c>
      <c r="G121" s="14">
        <f>data!AB74</f>
        <v>3323936</v>
      </c>
      <c r="H121" s="14">
        <f>data!AC74</f>
        <v>171810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14723196</v>
      </c>
      <c r="D122" s="14">
        <f>data!Y75</f>
        <v>6540828</v>
      </c>
      <c r="E122" s="14">
        <f>data!Z75</f>
        <v>0</v>
      </c>
      <c r="F122" s="14">
        <f>data!AA75</f>
        <v>0</v>
      </c>
      <c r="G122" s="14">
        <f>data!AB75</f>
        <v>5662213</v>
      </c>
      <c r="H122" s="14">
        <f>data!AC75</f>
        <v>640724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0"/>
      <c r="D123" s="210"/>
      <c r="E123" s="210"/>
      <c r="F123" s="210"/>
      <c r="G123" s="210"/>
      <c r="H123" s="210"/>
      <c r="I123" s="210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554</v>
      </c>
      <c r="D124" s="14">
        <f>data!Y76</f>
        <v>3578</v>
      </c>
      <c r="E124" s="14">
        <f>data!Z76</f>
        <v>0</v>
      </c>
      <c r="F124" s="14">
        <f>data!AA76</f>
        <v>427</v>
      </c>
      <c r="G124" s="14">
        <f>data!AB76</f>
        <v>811</v>
      </c>
      <c r="H124" s="14">
        <f>data!AC76</f>
        <v>765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175</v>
      </c>
      <c r="D126" s="14">
        <f>data!Y78</f>
        <v>1109</v>
      </c>
      <c r="E126" s="14">
        <f>data!Z78</f>
        <v>0</v>
      </c>
      <c r="F126" s="14">
        <f>data!AA78</f>
        <v>186</v>
      </c>
      <c r="G126" s="14">
        <f>data!AB78</f>
        <v>353</v>
      </c>
      <c r="H126" s="14">
        <f>data!AC78</f>
        <v>333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EvergreenHealth Monroe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14470</v>
      </c>
      <c r="D137" s="14">
        <f>data!AF59</f>
        <v>0</v>
      </c>
      <c r="E137" s="14">
        <f>data!AG59</f>
        <v>13586</v>
      </c>
      <c r="F137" s="14">
        <f>data!AH59</f>
        <v>0</v>
      </c>
      <c r="G137" s="14">
        <f>data!AI59</f>
        <v>0</v>
      </c>
      <c r="H137" s="14">
        <f>data!AJ59</f>
        <v>931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6.31</v>
      </c>
      <c r="D138" s="26">
        <f>data!AF60</f>
        <v>0</v>
      </c>
      <c r="E138" s="26">
        <f>data!AG60</f>
        <v>23.98</v>
      </c>
      <c r="F138" s="26">
        <f>data!AH60</f>
        <v>0</v>
      </c>
      <c r="G138" s="26">
        <f>data!AI60</f>
        <v>0</v>
      </c>
      <c r="H138" s="26">
        <f>data!AJ60</f>
        <v>8.8699999999999992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453286</v>
      </c>
      <c r="D139" s="14">
        <f>data!AF61</f>
        <v>0</v>
      </c>
      <c r="E139" s="14">
        <f>data!AG61</f>
        <v>2166799</v>
      </c>
      <c r="F139" s="14">
        <f>data!AH61</f>
        <v>0</v>
      </c>
      <c r="G139" s="14">
        <f>data!AI61</f>
        <v>0</v>
      </c>
      <c r="H139" s="14">
        <f>data!AJ61</f>
        <v>1059914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129134</v>
      </c>
      <c r="D140" s="14">
        <f>data!AF62</f>
        <v>0</v>
      </c>
      <c r="E140" s="14">
        <f>data!AG62</f>
        <v>617285</v>
      </c>
      <c r="F140" s="14">
        <f>data!AH62</f>
        <v>0</v>
      </c>
      <c r="G140" s="14">
        <f>data!AI62</f>
        <v>0</v>
      </c>
      <c r="H140" s="14">
        <f>data!AJ62</f>
        <v>301952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1595545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16993</v>
      </c>
      <c r="D142" s="14">
        <f>data!AF64</f>
        <v>0</v>
      </c>
      <c r="E142" s="14">
        <f>data!AG64</f>
        <v>291037</v>
      </c>
      <c r="F142" s="14">
        <f>data!AH64</f>
        <v>0</v>
      </c>
      <c r="G142" s="14">
        <f>data!AI64</f>
        <v>0</v>
      </c>
      <c r="H142" s="14">
        <f>data!AJ64</f>
        <v>257052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10669</v>
      </c>
      <c r="F144" s="14">
        <f>data!AH66</f>
        <v>0</v>
      </c>
      <c r="G144" s="14">
        <f>data!AI66</f>
        <v>0</v>
      </c>
      <c r="H144" s="14">
        <f>data!AJ66</f>
        <v>380978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5207</v>
      </c>
      <c r="D145" s="14">
        <f>data!AF67</f>
        <v>0</v>
      </c>
      <c r="E145" s="14">
        <f>data!AG67</f>
        <v>158133</v>
      </c>
      <c r="F145" s="14">
        <f>data!AH67</f>
        <v>0</v>
      </c>
      <c r="G145" s="14">
        <f>data!AI67</f>
        <v>0</v>
      </c>
      <c r="H145" s="14">
        <f>data!AJ67</f>
        <v>170489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107093</v>
      </c>
      <c r="D146" s="14">
        <f>data!AF68</f>
        <v>0</v>
      </c>
      <c r="E146" s="14">
        <f>data!AG68</f>
        <v>395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164</v>
      </c>
      <c r="D147" s="14">
        <f>data!AF69</f>
        <v>0</v>
      </c>
      <c r="E147" s="14">
        <f>data!AG69</f>
        <v>2304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711877</v>
      </c>
      <c r="D149" s="14">
        <f>data!AF71</f>
        <v>0</v>
      </c>
      <c r="E149" s="14">
        <f>data!AG71</f>
        <v>4842167</v>
      </c>
      <c r="F149" s="14">
        <f>data!AH71</f>
        <v>0</v>
      </c>
      <c r="G149" s="14">
        <f>data!AI71</f>
        <v>0</v>
      </c>
      <c r="H149" s="14">
        <f>data!AJ71</f>
        <v>2170385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0"/>
      <c r="D150" s="210"/>
      <c r="E150" s="210"/>
      <c r="F150" s="210"/>
      <c r="G150" s="210"/>
      <c r="H150" s="210"/>
      <c r="I150" s="210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365692</v>
      </c>
      <c r="D151" s="48">
        <f>+data!M697</f>
        <v>0</v>
      </c>
      <c r="E151" s="48">
        <f>+data!M698</f>
        <v>3775679</v>
      </c>
      <c r="F151" s="48">
        <f>+data!M699</f>
        <v>0</v>
      </c>
      <c r="G151" s="48">
        <f>+data!M700</f>
        <v>0</v>
      </c>
      <c r="H151" s="48">
        <f>+data!M701</f>
        <v>1132206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343264</v>
      </c>
      <c r="D152" s="14">
        <f>data!AF73</f>
        <v>0</v>
      </c>
      <c r="E152" s="14">
        <f>data!AG73</f>
        <v>2958688</v>
      </c>
      <c r="F152" s="14">
        <f>data!AH73</f>
        <v>0</v>
      </c>
      <c r="G152" s="14">
        <f>data!AI73</f>
        <v>0</v>
      </c>
      <c r="H152" s="14">
        <f>data!AJ73</f>
        <v>46319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2130828</v>
      </c>
      <c r="D153" s="14">
        <f>data!AF74</f>
        <v>0</v>
      </c>
      <c r="E153" s="14">
        <f>data!AG74</f>
        <v>27630267</v>
      </c>
      <c r="F153" s="14">
        <f>data!AH74</f>
        <v>0</v>
      </c>
      <c r="G153" s="14">
        <f>data!AI74</f>
        <v>0</v>
      </c>
      <c r="H153" s="14">
        <f>data!AJ74</f>
        <v>5343200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2474092</v>
      </c>
      <c r="D154" s="14">
        <f>data!AF75</f>
        <v>0</v>
      </c>
      <c r="E154" s="14">
        <f>data!AG75</f>
        <v>30588955</v>
      </c>
      <c r="F154" s="14">
        <f>data!AH75</f>
        <v>0</v>
      </c>
      <c r="G154" s="14">
        <f>data!AI75</f>
        <v>0</v>
      </c>
      <c r="H154" s="14">
        <f>data!AJ75</f>
        <v>5389519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0"/>
      <c r="D155" s="210"/>
      <c r="E155" s="210"/>
      <c r="F155" s="210"/>
      <c r="G155" s="210"/>
      <c r="H155" s="210"/>
      <c r="I155" s="210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260</v>
      </c>
      <c r="D156" s="14">
        <f>data!AF76</f>
        <v>0</v>
      </c>
      <c r="E156" s="14">
        <f>data!AG76</f>
        <v>7800</v>
      </c>
      <c r="F156" s="14">
        <f>data!AH76</f>
        <v>0</v>
      </c>
      <c r="G156" s="14">
        <f>data!AI76</f>
        <v>0</v>
      </c>
      <c r="H156" s="14">
        <f>data!AJ76</f>
        <v>8420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520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113</v>
      </c>
      <c r="D158" s="14">
        <f>data!AF78</f>
        <v>0</v>
      </c>
      <c r="E158" s="14">
        <f>data!AG78</f>
        <v>3397</v>
      </c>
      <c r="F158" s="14">
        <f>data!AH78</f>
        <v>0</v>
      </c>
      <c r="G158" s="14">
        <f>data!AI78</f>
        <v>0</v>
      </c>
      <c r="H158" s="14">
        <f>data!AJ78</f>
        <v>262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5019</v>
      </c>
      <c r="D159" s="14">
        <f>data!AF79</f>
        <v>0</v>
      </c>
      <c r="E159" s="14">
        <f>data!AG79</f>
        <v>29182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16.739999999999998</v>
      </c>
      <c r="F160" s="26">
        <f>data!AH80</f>
        <v>0</v>
      </c>
      <c r="G160" s="26">
        <f>data!AI80</f>
        <v>0</v>
      </c>
      <c r="H160" s="26">
        <f>data!AJ80</f>
        <v>5.64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EvergreenHealth Monroe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0"/>
      <c r="D182" s="210"/>
      <c r="E182" s="210"/>
      <c r="F182" s="210"/>
      <c r="G182" s="210"/>
      <c r="H182" s="210"/>
      <c r="I182" s="210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0"/>
      <c r="D187" s="210"/>
      <c r="E187" s="210"/>
      <c r="F187" s="210"/>
      <c r="G187" s="210"/>
      <c r="H187" s="210"/>
      <c r="I187" s="210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EvergreenHealth Monroe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1"/>
      <c r="G200" s="211"/>
      <c r="H200" s="211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1"/>
      <c r="G201" s="211"/>
      <c r="H201" s="211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5</v>
      </c>
      <c r="I206" s="14">
        <f>data!AY64</f>
        <v>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136849</v>
      </c>
      <c r="I208" s="14">
        <f>data!AY66</f>
        <v>0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136854</v>
      </c>
      <c r="I213" s="14">
        <f>data!AY71</f>
        <v>0</v>
      </c>
    </row>
    <row r="214" spans="1:9" ht="20.149999999999999" customHeight="1" x14ac:dyDescent="0.35">
      <c r="A214" s="23">
        <v>17</v>
      </c>
      <c r="B214" s="14" t="s">
        <v>244</v>
      </c>
      <c r="C214" s="210"/>
      <c r="D214" s="210"/>
      <c r="E214" s="210"/>
      <c r="F214" s="210"/>
      <c r="G214" s="210"/>
      <c r="H214" s="210"/>
      <c r="I214" s="210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2" t="str">
        <f>IF(data!AW73&gt;0,data!AW73,"")</f>
        <v>x</v>
      </c>
      <c r="H216" s="212" t="str">
        <f>IF(data!AX73&gt;0,data!AX73,"")</f>
        <v>x</v>
      </c>
      <c r="I216" s="212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2" t="str">
        <f>IF(data!AW74&gt;0,data!AW74,"")</f>
        <v>x</v>
      </c>
      <c r="H217" s="212" t="str">
        <f>IF(data!AX74&gt;0,data!AX74,"")</f>
        <v>x</v>
      </c>
      <c r="I217" s="212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2" t="str">
        <f>IF(data!AW75&gt;0,data!AW75,"")</f>
        <v>x</v>
      </c>
      <c r="H218" s="212" t="str">
        <f>IF(data!AX75&gt;0,data!AX75,"")</f>
        <v>x</v>
      </c>
      <c r="I218" s="212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0"/>
      <c r="D219" s="210"/>
      <c r="E219" s="210"/>
      <c r="F219" s="210"/>
      <c r="G219" s="210"/>
      <c r="H219" s="210"/>
      <c r="I219" s="210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2" t="str">
        <f>IF(data!AX77&gt;0,data!AX77,"")</f>
        <v>x</v>
      </c>
      <c r="I221" s="212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2" t="str">
        <f>IF(data!AX78&gt;0,data!AX78,"")</f>
        <v>x</v>
      </c>
      <c r="I222" s="212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2" t="str">
        <f>IF(data!AX79&gt;0,data!AX79,"")</f>
        <v>x</v>
      </c>
      <c r="I223" s="212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2" t="str">
        <f>IF(data!AW80&gt;0,data!AW80,"")</f>
        <v>x</v>
      </c>
      <c r="H224" s="212" t="str">
        <f>IF(data!AX80&gt;0,data!AX80,"")</f>
        <v>x</v>
      </c>
      <c r="I224" s="212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EvergreenHealth Monroe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1"/>
      <c r="F232" s="211"/>
      <c r="G232" s="211"/>
      <c r="H232" s="15" t="s">
        <v>232</v>
      </c>
      <c r="I232" s="211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79937</v>
      </c>
      <c r="D233" s="14">
        <f>data!BA59</f>
        <v>0</v>
      </c>
      <c r="E233" s="211"/>
      <c r="F233" s="211"/>
      <c r="G233" s="211"/>
      <c r="H233" s="14">
        <f>data!BE59</f>
        <v>83637</v>
      </c>
      <c r="I233" s="211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14.92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2.3199999999999998</v>
      </c>
      <c r="H234" s="26">
        <f>data!BE60</f>
        <v>8.0399999999999991</v>
      </c>
      <c r="I234" s="26">
        <f>data!BF60</f>
        <v>15.36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711355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189569</v>
      </c>
      <c r="H235" s="14">
        <f>data!BE61</f>
        <v>517465</v>
      </c>
      <c r="I235" s="14">
        <f>data!BF61</f>
        <v>680390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202653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54005</v>
      </c>
      <c r="H236" s="14">
        <f>data!BE62</f>
        <v>147417</v>
      </c>
      <c r="I236" s="14">
        <f>data!BF62</f>
        <v>193832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99996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258630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-24097</v>
      </c>
      <c r="H238" s="14">
        <f>data!BE64</f>
        <v>69049</v>
      </c>
      <c r="I238" s="14">
        <f>data!BF64</f>
        <v>59057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452381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14672</v>
      </c>
      <c r="D240" s="14">
        <f>data!BA66</f>
        <v>287844</v>
      </c>
      <c r="E240" s="14">
        <f>data!BB66</f>
        <v>0</v>
      </c>
      <c r="F240" s="14">
        <f>data!BC66</f>
        <v>0</v>
      </c>
      <c r="G240" s="14">
        <f>data!BD66</f>
        <v>3797</v>
      </c>
      <c r="H240" s="14">
        <f>data!BE66</f>
        <v>600213</v>
      </c>
      <c r="I240" s="14">
        <f>data!BF66</f>
        <v>91605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88843</v>
      </c>
      <c r="D241" s="14">
        <f>data!BA67</f>
        <v>8271</v>
      </c>
      <c r="E241" s="14">
        <f>data!BB67</f>
        <v>0</v>
      </c>
      <c r="F241" s="14">
        <f>data!BC67</f>
        <v>0</v>
      </c>
      <c r="G241" s="14">
        <f>data!BD67</f>
        <v>64490</v>
      </c>
      <c r="H241" s="14">
        <f>data!BE67</f>
        <v>499379</v>
      </c>
      <c r="I241" s="14">
        <f>data!BF67</f>
        <v>7711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6674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406</v>
      </c>
      <c r="D243" s="14">
        <f>data!BA69</f>
        <v>14</v>
      </c>
      <c r="E243" s="14">
        <f>data!BB69</f>
        <v>0</v>
      </c>
      <c r="F243" s="14">
        <f>data!BC69</f>
        <v>0</v>
      </c>
      <c r="G243" s="14">
        <f>data!BD69</f>
        <v>457</v>
      </c>
      <c r="H243" s="14">
        <f>data!BE69</f>
        <v>2022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1376555</v>
      </c>
      <c r="D245" s="14">
        <f>data!BA71</f>
        <v>296129</v>
      </c>
      <c r="E245" s="14">
        <f>data!BB71</f>
        <v>0</v>
      </c>
      <c r="F245" s="14">
        <f>data!BC71</f>
        <v>0</v>
      </c>
      <c r="G245" s="14">
        <f>data!BD71</f>
        <v>288221</v>
      </c>
      <c r="H245" s="14">
        <f>data!BE71</f>
        <v>2294600</v>
      </c>
      <c r="I245" s="14">
        <f>data!BF71</f>
        <v>1032595</v>
      </c>
    </row>
    <row r="246" spans="1:9" ht="20.149999999999999" customHeight="1" x14ac:dyDescent="0.35">
      <c r="A246" s="23">
        <v>17</v>
      </c>
      <c r="B246" s="14" t="s">
        <v>244</v>
      </c>
      <c r="C246" s="210"/>
      <c r="D246" s="210"/>
      <c r="E246" s="210"/>
      <c r="F246" s="210"/>
      <c r="G246" s="210"/>
      <c r="H246" s="210"/>
      <c r="I246" s="210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2" t="str">
        <f>IF(data!AZ73&gt;0,data!AZ73,"")</f>
        <v>x</v>
      </c>
      <c r="D248" s="212" t="str">
        <f>IF(data!BA73&gt;0,data!BA73,"")</f>
        <v>x</v>
      </c>
      <c r="E248" s="212" t="str">
        <f>IF(data!BB73&gt;0,data!BB73,"")</f>
        <v>x</v>
      </c>
      <c r="F248" s="212" t="str">
        <f>IF(data!BC73&gt;0,data!BC73,"")</f>
        <v>x</v>
      </c>
      <c r="G248" s="212" t="str">
        <f>IF(data!BD73&gt;0,data!BD73,"")</f>
        <v>x</v>
      </c>
      <c r="H248" s="212" t="str">
        <f>IF(data!BE73&gt;0,data!BE73,"")</f>
        <v>x</v>
      </c>
      <c r="I248" s="212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2" t="str">
        <f>IF(data!AZ74&gt;0,data!AZ74,"")</f>
        <v>x</v>
      </c>
      <c r="D249" s="212" t="str">
        <f>IF(data!BA74&gt;0,data!BA74,"")</f>
        <v>x</v>
      </c>
      <c r="E249" s="212" t="str">
        <f>IF(data!BB74&gt;0,data!BB74,"")</f>
        <v>x</v>
      </c>
      <c r="F249" s="212" t="str">
        <f>IF(data!BC74&gt;0,data!BC74,"")</f>
        <v>x</v>
      </c>
      <c r="G249" s="212" t="str">
        <f>IF(data!BD74&gt;0,data!BD74,"")</f>
        <v>x</v>
      </c>
      <c r="H249" s="212" t="str">
        <f>IF(data!BE74&gt;0,data!BE74,"")</f>
        <v>x</v>
      </c>
      <c r="I249" s="212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2" t="str">
        <f>IF(data!AZ75&gt;0,data!AZ75,"")</f>
        <v>x</v>
      </c>
      <c r="D250" s="212" t="str">
        <f>IF(data!BA75&gt;0,data!BA75,"")</f>
        <v>x</v>
      </c>
      <c r="E250" s="212" t="str">
        <f>IF(data!BB75&gt;0,data!BB75,"")</f>
        <v>x</v>
      </c>
      <c r="F250" s="212" t="str">
        <f>IF(data!BC75&gt;0,data!BC75,"")</f>
        <v>x</v>
      </c>
      <c r="G250" s="212" t="str">
        <f>IF(data!BD75&gt;0,data!BD75,"")</f>
        <v>x</v>
      </c>
      <c r="H250" s="212" t="str">
        <f>IF(data!BE75&gt;0,data!BE75,"")</f>
        <v>x</v>
      </c>
      <c r="I250" s="212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0"/>
      <c r="D251" s="210"/>
      <c r="E251" s="210"/>
      <c r="F251" s="210"/>
      <c r="G251" s="210"/>
      <c r="H251" s="210"/>
      <c r="I251" s="210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4436</v>
      </c>
      <c r="D252" s="85">
        <f>data!BA76</f>
        <v>413</v>
      </c>
      <c r="E252" s="85">
        <f>data!BB76</f>
        <v>0</v>
      </c>
      <c r="F252" s="85">
        <f>data!BC76</f>
        <v>0</v>
      </c>
      <c r="G252" s="85">
        <f>data!BD76</f>
        <v>3220</v>
      </c>
      <c r="H252" s="85">
        <f>data!BE76</f>
        <v>10476</v>
      </c>
      <c r="I252" s="85">
        <f>data!BF76</f>
        <v>385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2" t="str">
        <f>IF(data!BD77&gt;0,data!BD77,"")</f>
        <v>x</v>
      </c>
      <c r="H253" s="212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2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2" t="str">
        <f>IF(data!BD78&gt;0,data!BD78,"")</f>
        <v>x</v>
      </c>
      <c r="H254" s="212" t="str">
        <f>IF(data!BE78&gt;0,data!BE78,"")</f>
        <v>x</v>
      </c>
      <c r="I254" s="212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2" t="str">
        <f>IF(data!AZ79&gt;0,data!AZ79,"")</f>
        <v>x</v>
      </c>
      <c r="D255" s="212" t="str">
        <f>IF(data!BA79&gt;0,data!BA79,"")</f>
        <v>x</v>
      </c>
      <c r="E255" s="85">
        <f>data!BB79</f>
        <v>0</v>
      </c>
      <c r="F255" s="85">
        <f>data!BC79</f>
        <v>0</v>
      </c>
      <c r="G255" s="212" t="str">
        <f>IF(data!BD79&gt;0,data!BD79,"")</f>
        <v>x</v>
      </c>
      <c r="H255" s="212" t="str">
        <f>IF(data!BE79&gt;0,data!BE79,"")</f>
        <v>x</v>
      </c>
      <c r="I255" s="212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2" t="str">
        <f>IF(data!AZ80&gt;0,data!AZ80,"")</f>
        <v>x</v>
      </c>
      <c r="D256" s="212" t="str">
        <f>IF(data!BA80&gt;0,data!BA80,"")</f>
        <v>x</v>
      </c>
      <c r="E256" s="212" t="str">
        <f>IF(data!BB80&gt;0,data!BB80,"")</f>
        <v>x</v>
      </c>
      <c r="F256" s="212" t="str">
        <f>IF(data!BC80&gt;0,data!BC80,"")</f>
        <v>x</v>
      </c>
      <c r="G256" s="212" t="str">
        <f>IF(data!BD80&gt;0,data!BD80,"")</f>
        <v>x</v>
      </c>
      <c r="H256" s="212" t="str">
        <f>IF(data!BE80&gt;0,data!BE80,"")</f>
        <v>x</v>
      </c>
      <c r="I256" s="212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EvergreenHealth Monroe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1"/>
      <c r="D264" s="211"/>
      <c r="E264" s="211"/>
      <c r="F264" s="211"/>
      <c r="G264" s="211"/>
      <c r="H264" s="211"/>
      <c r="I264" s="211"/>
    </row>
    <row r="265" spans="1:9" ht="20.149999999999999" customHeight="1" x14ac:dyDescent="0.35">
      <c r="A265" s="23">
        <v>4</v>
      </c>
      <c r="B265" s="14" t="s">
        <v>233</v>
      </c>
      <c r="C265" s="211"/>
      <c r="D265" s="211"/>
      <c r="E265" s="211"/>
      <c r="F265" s="211"/>
      <c r="G265" s="211"/>
      <c r="H265" s="211"/>
      <c r="I265" s="211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5.97</v>
      </c>
      <c r="E266" s="26">
        <f>data!BI60</f>
        <v>2.4</v>
      </c>
      <c r="F266" s="26">
        <f>data!BJ60</f>
        <v>2.93</v>
      </c>
      <c r="G266" s="26">
        <f>data!BK60</f>
        <v>7.58</v>
      </c>
      <c r="H266" s="26">
        <f>data!BL60</f>
        <v>11.33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506680</v>
      </c>
      <c r="E267" s="14">
        <f>data!BI61</f>
        <v>1183352</v>
      </c>
      <c r="F267" s="14">
        <f>data!BJ61</f>
        <v>232413</v>
      </c>
      <c r="G267" s="14">
        <f>data!BK61</f>
        <v>386582</v>
      </c>
      <c r="H267" s="14">
        <f>data!BL61</f>
        <v>521551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144345</v>
      </c>
      <c r="E268" s="14">
        <f>data!BI62</f>
        <v>337117</v>
      </c>
      <c r="F268" s="14">
        <f>data!BJ62</f>
        <v>66211</v>
      </c>
      <c r="G268" s="14">
        <f>data!BK62</f>
        <v>110131</v>
      </c>
      <c r="H268" s="14">
        <f>data!BL62</f>
        <v>148581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131844</v>
      </c>
      <c r="G269" s="14">
        <f>data!BK63</f>
        <v>-9777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113013</v>
      </c>
      <c r="E270" s="14">
        <f>data!BI64</f>
        <v>169972</v>
      </c>
      <c r="F270" s="14">
        <f>data!BJ64</f>
        <v>2210</v>
      </c>
      <c r="G270" s="14">
        <f>data!BK64</f>
        <v>5134</v>
      </c>
      <c r="H270" s="14">
        <f>data!BL64</f>
        <v>12002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104890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914553</v>
      </c>
      <c r="E272" s="14">
        <f>data!BI66</f>
        <v>100018</v>
      </c>
      <c r="F272" s="14">
        <f>data!BJ66</f>
        <v>0</v>
      </c>
      <c r="G272" s="14">
        <f>data!BK66</f>
        <v>265063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112095</v>
      </c>
      <c r="E273" s="14">
        <f>data!BI67</f>
        <v>0</v>
      </c>
      <c r="F273" s="14">
        <f>data!BJ67</f>
        <v>0</v>
      </c>
      <c r="G273" s="14">
        <f>data!BK67</f>
        <v>24033</v>
      </c>
      <c r="H273" s="14">
        <f>data!BL67</f>
        <v>8412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24695</v>
      </c>
      <c r="E274" s="14">
        <f>data!BI68</f>
        <v>80278</v>
      </c>
      <c r="F274" s="14">
        <f>data!BJ68</f>
        <v>0</v>
      </c>
      <c r="G274" s="14">
        <f>data!BK68</f>
        <v>5762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629</v>
      </c>
      <c r="E275" s="14">
        <f>data!BI69</f>
        <v>157</v>
      </c>
      <c r="F275" s="14">
        <f>data!BJ69</f>
        <v>837</v>
      </c>
      <c r="G275" s="14">
        <f>data!BK69</f>
        <v>318</v>
      </c>
      <c r="H275" s="14">
        <f>data!BL69</f>
        <v>436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104890</v>
      </c>
      <c r="D277" s="14">
        <f>data!BH71</f>
        <v>1816010</v>
      </c>
      <c r="E277" s="14">
        <f>data!BI71</f>
        <v>1870894</v>
      </c>
      <c r="F277" s="14">
        <f>data!BJ71</f>
        <v>433515</v>
      </c>
      <c r="G277" s="14">
        <f>data!BK71</f>
        <v>787246</v>
      </c>
      <c r="H277" s="14">
        <f>data!BL71</f>
        <v>690982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0"/>
      <c r="D278" s="210"/>
      <c r="E278" s="210"/>
      <c r="F278" s="210"/>
      <c r="G278" s="210"/>
      <c r="H278" s="210"/>
      <c r="I278" s="210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2" t="str">
        <f>IF(data!BG73&gt;0,data!BG73,"")</f>
        <v>x</v>
      </c>
      <c r="D280" s="212" t="str">
        <f>IF(data!BH73&gt;0,data!BH73,"")</f>
        <v>x</v>
      </c>
      <c r="E280" s="212" t="str">
        <f>IF(data!BI73&gt;0,data!BI73,"")</f>
        <v>x</v>
      </c>
      <c r="F280" s="212" t="str">
        <f>IF(data!BJ73&gt;0,data!BJ73,"")</f>
        <v>x</v>
      </c>
      <c r="G280" s="212" t="str">
        <f>IF(data!BK73&gt;0,data!BK73,"")</f>
        <v>x</v>
      </c>
      <c r="H280" s="212" t="str">
        <f>IF(data!BL73&gt;0,data!BL73,"")</f>
        <v>x</v>
      </c>
      <c r="I280" s="212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2" t="str">
        <f>IF(data!BG74&gt;0,data!BG74,"")</f>
        <v>x</v>
      </c>
      <c r="D281" s="212" t="str">
        <f>IF(data!BH74&gt;0,data!BH74,"")</f>
        <v>x</v>
      </c>
      <c r="E281" s="212" t="str">
        <f>IF(data!BI74&gt;0,data!BI74,"")</f>
        <v>x</v>
      </c>
      <c r="F281" s="212" t="str">
        <f>IF(data!BJ74&gt;0,data!BJ74,"")</f>
        <v>x</v>
      </c>
      <c r="G281" s="212" t="str">
        <f>IF(data!BK74&gt;0,data!BK74,"")</f>
        <v>x</v>
      </c>
      <c r="H281" s="212" t="str">
        <f>IF(data!BL74&gt;0,data!BL74,"")</f>
        <v>x</v>
      </c>
      <c r="I281" s="212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2" t="str">
        <f>IF(data!BG75&gt;0,data!BG75,"")</f>
        <v>x</v>
      </c>
      <c r="D282" s="212" t="str">
        <f>IF(data!BH75&gt;0,data!BH75,"")</f>
        <v>x</v>
      </c>
      <c r="E282" s="212" t="str">
        <f>IF(data!BI75&gt;0,data!BI75,"")</f>
        <v>x</v>
      </c>
      <c r="F282" s="212" t="str">
        <f>IF(data!BJ75&gt;0,data!BJ75,"")</f>
        <v>x</v>
      </c>
      <c r="G282" s="212" t="str">
        <f>IF(data!BK75&gt;0,data!BK75,"")</f>
        <v>x</v>
      </c>
      <c r="H282" s="212" t="str">
        <f>IF(data!BL75&gt;0,data!BL75,"")</f>
        <v>x</v>
      </c>
      <c r="I282" s="212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4"/>
      <c r="D283" s="214"/>
      <c r="E283" s="214"/>
      <c r="F283" s="214"/>
      <c r="G283" s="214"/>
      <c r="H283" s="214"/>
      <c r="I283" s="214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1300</v>
      </c>
      <c r="E284" s="85">
        <f>data!BI76</f>
        <v>0</v>
      </c>
      <c r="F284" s="85">
        <f>data!BJ76</f>
        <v>0</v>
      </c>
      <c r="G284" s="85">
        <f>data!BK76</f>
        <v>1200</v>
      </c>
      <c r="H284" s="85">
        <f>data!BL76</f>
        <v>420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2" t="str">
        <f>IF(data!BG77&gt;0,data!BG77,"")</f>
        <v>x</v>
      </c>
      <c r="D285" s="85">
        <f>data!BH77</f>
        <v>0</v>
      </c>
      <c r="E285" s="85">
        <f>data!BI77</f>
        <v>0</v>
      </c>
      <c r="F285" s="212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2" t="str">
        <f>IF(data!BG78&gt;0,data!BG78,"")</f>
        <v>x</v>
      </c>
      <c r="D286" s="85">
        <f>data!BH78</f>
        <v>0</v>
      </c>
      <c r="E286" s="85">
        <f>data!BI78</f>
        <v>0</v>
      </c>
      <c r="F286" s="212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2" t="str">
        <f>IF(data!BG79&gt;0,data!BG79,"")</f>
        <v>x</v>
      </c>
      <c r="D287" s="85">
        <f>data!BH79</f>
        <v>0</v>
      </c>
      <c r="E287" s="85">
        <f>data!BI79</f>
        <v>0</v>
      </c>
      <c r="F287" s="212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2" t="str">
        <f>IF(data!BG80&gt;0,data!BG80,"")</f>
        <v>x</v>
      </c>
      <c r="D288" s="212" t="str">
        <f>IF(data!BH80&gt;0,data!BH80,"")</f>
        <v>x</v>
      </c>
      <c r="E288" s="212" t="str">
        <f>IF(data!BI80&gt;0,data!BI80,"")</f>
        <v>x</v>
      </c>
      <c r="F288" s="212" t="str">
        <f>IF(data!BJ80&gt;0,data!BJ80,"")</f>
        <v>x</v>
      </c>
      <c r="G288" s="212" t="str">
        <f>IF(data!BK80&gt;0,data!BK80,"")</f>
        <v>x</v>
      </c>
      <c r="H288" s="212" t="str">
        <f>IF(data!BL80&gt;0,data!BL80,"")</f>
        <v>x</v>
      </c>
      <c r="I288" s="212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EvergreenHealth Monroe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1"/>
      <c r="D296" s="211"/>
      <c r="E296" s="211"/>
      <c r="F296" s="211"/>
      <c r="G296" s="211"/>
      <c r="H296" s="211"/>
      <c r="I296" s="211"/>
    </row>
    <row r="297" spans="1:9" ht="20.149999999999999" customHeight="1" x14ac:dyDescent="0.35">
      <c r="A297" s="23">
        <v>4</v>
      </c>
      <c r="B297" s="14" t="s">
        <v>233</v>
      </c>
      <c r="C297" s="211"/>
      <c r="D297" s="211"/>
      <c r="E297" s="211"/>
      <c r="F297" s="211"/>
      <c r="G297" s="211"/>
      <c r="H297" s="211"/>
      <c r="I297" s="211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5.68</v>
      </c>
      <c r="D298" s="26">
        <f>data!BO60</f>
        <v>0.32</v>
      </c>
      <c r="E298" s="26">
        <f>data!BP60</f>
        <v>0</v>
      </c>
      <c r="F298" s="26">
        <f>data!BQ60</f>
        <v>0</v>
      </c>
      <c r="G298" s="26">
        <f>data!BR60</f>
        <v>2.2200000000000002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1594486</v>
      </c>
      <c r="D299" s="14">
        <f>data!BO61</f>
        <v>31763</v>
      </c>
      <c r="E299" s="14">
        <f>data!BP61</f>
        <v>0</v>
      </c>
      <c r="F299" s="14">
        <f>data!BQ61</f>
        <v>0</v>
      </c>
      <c r="G299" s="14">
        <f>data!BR61</f>
        <v>223852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454243</v>
      </c>
      <c r="D300" s="14">
        <f>data!BO62</f>
        <v>9049</v>
      </c>
      <c r="E300" s="14">
        <f>data!BP62</f>
        <v>0</v>
      </c>
      <c r="F300" s="14">
        <f>data!BQ62</f>
        <v>0</v>
      </c>
      <c r="G300" s="14">
        <f>data!BR62</f>
        <v>63772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99319</v>
      </c>
      <c r="D301" s="14">
        <f>data!BO63</f>
        <v>0</v>
      </c>
      <c r="E301" s="14">
        <f>data!BP63</f>
        <v>2520</v>
      </c>
      <c r="F301" s="14">
        <f>data!BQ63</f>
        <v>0</v>
      </c>
      <c r="G301" s="14">
        <f>data!BR63</f>
        <v>81667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26445</v>
      </c>
      <c r="D302" s="14">
        <f>data!BO64</f>
        <v>3105</v>
      </c>
      <c r="E302" s="14">
        <f>data!BP64</f>
        <v>0</v>
      </c>
      <c r="F302" s="14">
        <f>data!BQ64</f>
        <v>0</v>
      </c>
      <c r="G302" s="14">
        <f>data!BR64</f>
        <v>2980</v>
      </c>
      <c r="H302" s="14">
        <f>data!BS64</f>
        <v>153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1717543</v>
      </c>
      <c r="D304" s="14">
        <f>data!BO66</f>
        <v>10320</v>
      </c>
      <c r="E304" s="14">
        <f>data!BP66</f>
        <v>13465</v>
      </c>
      <c r="F304" s="14">
        <f>data!BQ66</f>
        <v>0</v>
      </c>
      <c r="G304" s="14">
        <f>data!BR66</f>
        <v>130625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116722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12017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106497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129023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710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4244278</v>
      </c>
      <c r="D309" s="14">
        <f>data!BO71</f>
        <v>54237</v>
      </c>
      <c r="E309" s="14">
        <f>data!BP71</f>
        <v>15985</v>
      </c>
      <c r="F309" s="14">
        <f>data!BQ71</f>
        <v>0</v>
      </c>
      <c r="G309" s="14">
        <f>data!BR71</f>
        <v>515623</v>
      </c>
      <c r="H309" s="14">
        <f>data!BS71</f>
        <v>153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0"/>
      <c r="D310" s="210"/>
      <c r="E310" s="210"/>
      <c r="F310" s="210"/>
      <c r="G310" s="210"/>
      <c r="H310" s="210"/>
      <c r="I310" s="210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2" t="str">
        <f>IF(data!BN73&gt;0,data!BN73,"")</f>
        <v>x</v>
      </c>
      <c r="D312" s="212" t="str">
        <f>IF(data!BO73&gt;0,data!BO73,"")</f>
        <v>x</v>
      </c>
      <c r="E312" s="212" t="str">
        <f>IF(data!BP73&gt;0,data!BP73,"")</f>
        <v>x</v>
      </c>
      <c r="F312" s="212" t="str">
        <f>IF(data!BQ73&gt;0,data!BQ73,"")</f>
        <v>x</v>
      </c>
      <c r="G312" s="212" t="str">
        <f>IF(data!BR73&gt;0,data!BR73,"")</f>
        <v>x</v>
      </c>
      <c r="H312" s="212" t="str">
        <f>IF(data!BS73&gt;0,data!BS73,"")</f>
        <v>x</v>
      </c>
      <c r="I312" s="212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2" t="str">
        <f>IF(data!BN74&gt;0,data!BN74,"")</f>
        <v>x</v>
      </c>
      <c r="D313" s="212" t="str">
        <f>IF(data!BO74&gt;0,data!BO74,"")</f>
        <v>x</v>
      </c>
      <c r="E313" s="212" t="str">
        <f>IF(data!BP74&gt;0,data!BP74,"")</f>
        <v>x</v>
      </c>
      <c r="F313" s="212" t="str">
        <f>IF(data!BQ74&gt;0,data!BQ74,"")</f>
        <v>x</v>
      </c>
      <c r="G313" s="212" t="str">
        <f>IF(data!BR74&gt;0,data!BR74,"")</f>
        <v>x</v>
      </c>
      <c r="H313" s="212" t="str">
        <f>IF(data!BS74&gt;0,data!BS74,"")</f>
        <v>x</v>
      </c>
      <c r="I313" s="212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2" t="str">
        <f>IF(data!BN75&gt;0,data!BN75,"")</f>
        <v>x</v>
      </c>
      <c r="D314" s="212" t="str">
        <f>IF(data!BO75&gt;0,data!BO75,"")</f>
        <v>x</v>
      </c>
      <c r="E314" s="212" t="str">
        <f>IF(data!BP75&gt;0,data!BP75,"")</f>
        <v>x</v>
      </c>
      <c r="F314" s="212" t="str">
        <f>IF(data!BQ75&gt;0,data!BQ75,"")</f>
        <v>x</v>
      </c>
      <c r="G314" s="212" t="str">
        <f>IF(data!BR75&gt;0,data!BR75,"")</f>
        <v>x</v>
      </c>
      <c r="H314" s="212" t="str">
        <f>IF(data!BS75&gt;0,data!BS75,"")</f>
        <v>x</v>
      </c>
      <c r="I314" s="212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0"/>
      <c r="D315" s="210"/>
      <c r="E315" s="210"/>
      <c r="F315" s="210"/>
      <c r="G315" s="210"/>
      <c r="H315" s="210"/>
      <c r="I315" s="210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5828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600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2" t="str">
        <f>IF(data!BN77&gt;0,data!BN77,"")</f>
        <v>x</v>
      </c>
      <c r="D317" s="212" t="str">
        <f>IF(data!BO77&gt;0,data!BO77,"")</f>
        <v>x</v>
      </c>
      <c r="E317" s="212" t="str">
        <f>IF(data!BP77&gt;0,data!BP77,"")</f>
        <v>x</v>
      </c>
      <c r="F317" s="212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2" t="str">
        <f>IF(data!BN78&gt;0,data!BN78,"")</f>
        <v>x</v>
      </c>
      <c r="D318" s="212" t="str">
        <f>IF(data!BO78&gt;0,data!BO78,"")</f>
        <v>x</v>
      </c>
      <c r="E318" s="212" t="str">
        <f>IF(data!BP78&gt;0,data!BP78,"")</f>
        <v>x</v>
      </c>
      <c r="F318" s="212" t="str">
        <f>IF(data!BQ78&gt;0,data!BQ78,"")</f>
        <v>x</v>
      </c>
      <c r="G318" s="212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2" t="str">
        <f>IF(data!BN79&gt;0,data!BN79,"")</f>
        <v>x</v>
      </c>
      <c r="D319" s="212" t="str">
        <f>IF(data!BO79&gt;0,data!BO79,"")</f>
        <v>x</v>
      </c>
      <c r="E319" s="212" t="str">
        <f>IF(data!BP79&gt;0,data!BP79,"")</f>
        <v>x</v>
      </c>
      <c r="F319" s="212" t="str">
        <f>IF(data!BQ79&gt;0,data!BQ79,"")</f>
        <v>x</v>
      </c>
      <c r="G319" s="212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5" t="str">
        <f>IF(data!BN80&gt;0,data!BN80,"")</f>
        <v>x</v>
      </c>
      <c r="D320" s="215" t="str">
        <f>IF(data!BO80&gt;0,data!BO80,"")</f>
        <v>x</v>
      </c>
      <c r="E320" s="215" t="str">
        <f>IF(data!BP80&gt;0,data!BP80,"")</f>
        <v>x</v>
      </c>
      <c r="F320" s="215" t="str">
        <f>IF(data!BQ80&gt;0,data!BQ80,"")</f>
        <v>x</v>
      </c>
      <c r="G320" s="215" t="str">
        <f>IF(data!BR80&gt;0,data!BR80,"")</f>
        <v>x</v>
      </c>
      <c r="H320" s="215" t="str">
        <f>IF(data!BS80&gt;0,data!BS80,"")</f>
        <v>x</v>
      </c>
      <c r="I320" s="215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EvergreenHealth Monroe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1"/>
      <c r="D328" s="211"/>
      <c r="E328" s="211"/>
      <c r="F328" s="211"/>
      <c r="G328" s="211"/>
      <c r="H328" s="211"/>
      <c r="I328" s="211"/>
    </row>
    <row r="329" spans="1:9" ht="20.149999999999999" customHeight="1" x14ac:dyDescent="0.35">
      <c r="A329" s="23">
        <v>4</v>
      </c>
      <c r="B329" s="14" t="s">
        <v>233</v>
      </c>
      <c r="C329" s="211"/>
      <c r="D329" s="211"/>
      <c r="E329" s="211"/>
      <c r="F329" s="211"/>
      <c r="G329" s="211"/>
      <c r="H329" s="211"/>
      <c r="I329" s="211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10.130000000000001</v>
      </c>
      <c r="E330" s="26">
        <f>data!BW60</f>
        <v>1.01</v>
      </c>
      <c r="F330" s="26">
        <f>data!BX60</f>
        <v>6.35</v>
      </c>
      <c r="G330" s="26">
        <f>data!BY60</f>
        <v>2.27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518796</v>
      </c>
      <c r="E331" s="86">
        <f>data!BW61</f>
        <v>67639</v>
      </c>
      <c r="F331" s="86">
        <f>data!BX61</f>
        <v>580048</v>
      </c>
      <c r="G331" s="86">
        <f>data!BY61</f>
        <v>270509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147796</v>
      </c>
      <c r="E332" s="86">
        <f>data!BW62</f>
        <v>19269</v>
      </c>
      <c r="F332" s="86">
        <f>data!BX62</f>
        <v>165246</v>
      </c>
      <c r="G332" s="86">
        <f>data!BY62</f>
        <v>77064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2368</v>
      </c>
      <c r="E334" s="86">
        <f>data!BW64</f>
        <v>592</v>
      </c>
      <c r="F334" s="86">
        <f>data!BX64</f>
        <v>2121</v>
      </c>
      <c r="G334" s="86">
        <f>data!BY64</f>
        <v>221</v>
      </c>
      <c r="H334" s="86">
        <f>data!BZ64</f>
        <v>0</v>
      </c>
      <c r="I334" s="86">
        <f>data!CA64</f>
        <v>120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176185</v>
      </c>
      <c r="E336" s="86">
        <f>data!BW66</f>
        <v>23855</v>
      </c>
      <c r="F336" s="86">
        <f>data!BX66</f>
        <v>134750</v>
      </c>
      <c r="G336" s="86">
        <f>data!BY66</f>
        <v>0</v>
      </c>
      <c r="H336" s="86">
        <f>data!BZ66</f>
        <v>0</v>
      </c>
      <c r="I336" s="86">
        <f>data!CA66</f>
        <v>228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54616</v>
      </c>
      <c r="E337" s="86">
        <f>data!BW67</f>
        <v>0</v>
      </c>
      <c r="F337" s="86">
        <f>data!BX67</f>
        <v>0</v>
      </c>
      <c r="G337" s="86">
        <f>data!BY67</f>
        <v>14961</v>
      </c>
      <c r="H337" s="86">
        <f>data!BZ67</f>
        <v>0</v>
      </c>
      <c r="I337" s="86">
        <f>data!CA67</f>
        <v>1855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5053</v>
      </c>
      <c r="F339" s="86">
        <f>data!BX69</f>
        <v>1709</v>
      </c>
      <c r="G339" s="86">
        <f>data!BY69</f>
        <v>1170</v>
      </c>
      <c r="H339" s="86">
        <f>data!BZ69</f>
        <v>0</v>
      </c>
      <c r="I339" s="86">
        <f>data!CA69</f>
        <v>11046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899761</v>
      </c>
      <c r="E341" s="14">
        <f>data!BW71</f>
        <v>116408</v>
      </c>
      <c r="F341" s="14">
        <f>data!BX71</f>
        <v>883874</v>
      </c>
      <c r="G341" s="14">
        <f>data!BY71</f>
        <v>363925</v>
      </c>
      <c r="H341" s="14">
        <f>data!BZ71</f>
        <v>0</v>
      </c>
      <c r="I341" s="14">
        <f>data!CA71</f>
        <v>13249</v>
      </c>
    </row>
    <row r="342" spans="1:9" ht="20.149999999999999" customHeight="1" x14ac:dyDescent="0.35">
      <c r="A342" s="23">
        <v>17</v>
      </c>
      <c r="B342" s="14" t="s">
        <v>244</v>
      </c>
      <c r="C342" s="210"/>
      <c r="D342" s="210"/>
      <c r="E342" s="210"/>
      <c r="F342" s="210"/>
      <c r="G342" s="210"/>
      <c r="H342" s="210"/>
      <c r="I342" s="210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2" t="str">
        <f>IF(data!BU73&gt;0,data!BU73,"")</f>
        <v>x</v>
      </c>
      <c r="D344" s="212" t="str">
        <f>IF(data!BV73&gt;0,data!BV73,"")</f>
        <v>x</v>
      </c>
      <c r="E344" s="212" t="str">
        <f>IF(data!BW73&gt;0,data!BW73,"")</f>
        <v>x</v>
      </c>
      <c r="F344" s="212" t="str">
        <f>IF(data!BX73&gt;0,data!BX73,"")</f>
        <v>x</v>
      </c>
      <c r="G344" s="212" t="str">
        <f>IF(data!BY73&gt;0,data!BY73,"")</f>
        <v>x</v>
      </c>
      <c r="H344" s="212" t="str">
        <f>IF(data!BZ73&gt;0,data!BZ73,"")</f>
        <v>x</v>
      </c>
      <c r="I344" s="212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2" t="str">
        <f>IF(data!BU74&gt;0,data!BU74,"")</f>
        <v>x</v>
      </c>
      <c r="D345" s="212" t="str">
        <f>IF(data!BV74&gt;0,data!BV74,"")</f>
        <v>x</v>
      </c>
      <c r="E345" s="212" t="str">
        <f>IF(data!BW74&gt;0,data!BW74,"")</f>
        <v>x</v>
      </c>
      <c r="F345" s="212" t="str">
        <f>IF(data!BX74&gt;0,data!BX74,"")</f>
        <v>x</v>
      </c>
      <c r="G345" s="212" t="str">
        <f>IF(data!BY74&gt;0,data!BY74,"")</f>
        <v>x</v>
      </c>
      <c r="H345" s="212" t="str">
        <f>IF(data!BZ74&gt;0,data!BZ74,"")</f>
        <v>x</v>
      </c>
      <c r="I345" s="212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2" t="str">
        <f>IF(data!BU75&gt;0,data!BU75,"")</f>
        <v>x</v>
      </c>
      <c r="D346" s="212" t="str">
        <f>IF(data!BV75&gt;0,data!BV75,"")</f>
        <v>x</v>
      </c>
      <c r="E346" s="212" t="str">
        <f>IF(data!BW75&gt;0,data!BW75,"")</f>
        <v>x</v>
      </c>
      <c r="F346" s="212" t="str">
        <f>IF(data!BX75&gt;0,data!BX75,"")</f>
        <v>x</v>
      </c>
      <c r="G346" s="212" t="str">
        <f>IF(data!BY75&gt;0,data!BY75,"")</f>
        <v>x</v>
      </c>
      <c r="H346" s="212" t="str">
        <f>IF(data!BZ75&gt;0,data!BZ75,"")</f>
        <v>x</v>
      </c>
      <c r="I346" s="212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0"/>
      <c r="D347" s="210"/>
      <c r="E347" s="210"/>
      <c r="F347" s="210"/>
      <c r="G347" s="210"/>
      <c r="H347" s="210"/>
      <c r="I347" s="210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2727</v>
      </c>
      <c r="E348" s="85">
        <f>data!BW76</f>
        <v>0</v>
      </c>
      <c r="F348" s="85">
        <f>data!BX76</f>
        <v>0</v>
      </c>
      <c r="G348" s="85">
        <f>data!BY76</f>
        <v>747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5" t="str">
        <f>IF(data!BU80&gt;0,data!BU80,"")</f>
        <v/>
      </c>
      <c r="D352" s="215" t="str">
        <f>IF(data!BV80&gt;0,data!BV80,"")</f>
        <v/>
      </c>
      <c r="E352" s="215" t="str">
        <f>IF(data!BW80&gt;0,data!BW80,"")</f>
        <v/>
      </c>
      <c r="F352" s="215" t="str">
        <f>IF(data!BX80&gt;0,data!BX80,"")</f>
        <v/>
      </c>
      <c r="G352" s="215" t="str">
        <f>IF(data!BY80&gt;0,data!BY80,"")</f>
        <v/>
      </c>
      <c r="H352" s="215" t="str">
        <f>IF(data!BZ80&gt;0,data!BZ80,"")</f>
        <v/>
      </c>
      <c r="I352" s="215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EvergreenHealth Monroe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1"/>
      <c r="D360" s="211"/>
      <c r="E360" s="211"/>
      <c r="F360" s="211"/>
      <c r="G360" s="211"/>
      <c r="H360" s="211"/>
      <c r="I360" s="211"/>
    </row>
    <row r="361" spans="1:9" ht="20.149999999999999" customHeight="1" x14ac:dyDescent="0.35">
      <c r="A361" s="23">
        <v>4</v>
      </c>
      <c r="B361" s="14" t="s">
        <v>233</v>
      </c>
      <c r="C361" s="211"/>
      <c r="D361" s="211"/>
      <c r="E361" s="211"/>
      <c r="F361" s="211"/>
      <c r="G361" s="211"/>
      <c r="H361" s="211"/>
      <c r="I361" s="211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6"/>
      <c r="F362" s="210"/>
      <c r="G362" s="210"/>
      <c r="H362" s="210"/>
      <c r="I362" s="87">
        <f>data!CE60</f>
        <v>266.42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7"/>
      <c r="F363" s="218"/>
      <c r="G363" s="218"/>
      <c r="H363" s="218"/>
      <c r="I363" s="86">
        <f>data!CE61</f>
        <v>24193471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7"/>
      <c r="F364" s="218"/>
      <c r="G364" s="218"/>
      <c r="H364" s="218"/>
      <c r="I364" s="86">
        <f>data!CE62</f>
        <v>6892322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7"/>
      <c r="F365" s="218"/>
      <c r="G365" s="218"/>
      <c r="H365" s="218"/>
      <c r="I365" s="86">
        <f>data!CE63</f>
        <v>2143814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125887</v>
      </c>
      <c r="E366" s="217"/>
      <c r="F366" s="218"/>
      <c r="G366" s="218"/>
      <c r="H366" s="218"/>
      <c r="I366" s="86">
        <f>data!CE64</f>
        <v>6133176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7"/>
      <c r="F367" s="218"/>
      <c r="G367" s="218"/>
      <c r="H367" s="218"/>
      <c r="I367" s="86">
        <f>data!CE65</f>
        <v>608427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7"/>
      <c r="F368" s="218"/>
      <c r="G368" s="218"/>
      <c r="H368" s="218"/>
      <c r="I368" s="86">
        <f>data!CE66</f>
        <v>6751616.5300000003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33947</v>
      </c>
      <c r="E369" s="217"/>
      <c r="F369" s="218"/>
      <c r="G369" s="218"/>
      <c r="H369" s="218"/>
      <c r="I369" s="86">
        <f>data!CE67</f>
        <v>2418830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7"/>
      <c r="F370" s="218"/>
      <c r="G370" s="218"/>
      <c r="H370" s="218"/>
      <c r="I370" s="86">
        <f>data!CE68</f>
        <v>1184622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495856</v>
      </c>
      <c r="E371" s="86">
        <f>data!CD69</f>
        <v>0</v>
      </c>
      <c r="F371" s="218"/>
      <c r="G371" s="218"/>
      <c r="H371" s="218"/>
      <c r="I371" s="86">
        <f>data!CE69</f>
        <v>716244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19"/>
      <c r="G372" s="219"/>
      <c r="H372" s="219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655690</v>
      </c>
      <c r="E373" s="86">
        <f>data!CD71</f>
        <v>0</v>
      </c>
      <c r="F373" s="218"/>
      <c r="G373" s="218"/>
      <c r="H373" s="218"/>
      <c r="I373" s="14">
        <f>data!CE71</f>
        <v>51042522.530000001</v>
      </c>
    </row>
    <row r="374" spans="1:9" ht="20.149999999999999" customHeight="1" x14ac:dyDescent="0.35">
      <c r="A374" s="23">
        <v>17</v>
      </c>
      <c r="B374" s="14" t="s">
        <v>244</v>
      </c>
      <c r="C374" s="218"/>
      <c r="D374" s="218"/>
      <c r="E374" s="218"/>
      <c r="F374" s="218"/>
      <c r="G374" s="218"/>
      <c r="H374" s="218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2" t="str">
        <f>IF(data!CB73&gt;0,data!CB73,"")</f>
        <v>x</v>
      </c>
      <c r="D376" s="212" t="str">
        <f>IF(data!CC73&gt;0,data!CC73,"")</f>
        <v>x</v>
      </c>
      <c r="E376" s="213"/>
      <c r="F376" s="210"/>
      <c r="G376" s="210"/>
      <c r="H376" s="210"/>
      <c r="I376" s="85">
        <f>data!CE73</f>
        <v>31751671</v>
      </c>
    </row>
    <row r="377" spans="1:9" ht="20.149999999999999" customHeight="1" x14ac:dyDescent="0.35">
      <c r="A377" s="23">
        <v>20</v>
      </c>
      <c r="B377" s="48" t="s">
        <v>1183</v>
      </c>
      <c r="C377" s="212" t="str">
        <f>IF(data!CB74&gt;0,data!CB74,"")</f>
        <v>x</v>
      </c>
      <c r="D377" s="212" t="str">
        <f>IF(data!CC74&gt;0,data!CC74,"")</f>
        <v>x</v>
      </c>
      <c r="E377" s="213"/>
      <c r="F377" s="210"/>
      <c r="G377" s="210"/>
      <c r="H377" s="210"/>
      <c r="I377" s="85">
        <f>data!CE74</f>
        <v>88721091</v>
      </c>
    </row>
    <row r="378" spans="1:9" ht="20.149999999999999" customHeight="1" x14ac:dyDescent="0.35">
      <c r="A378" s="23">
        <v>21</v>
      </c>
      <c r="B378" s="48" t="s">
        <v>1184</v>
      </c>
      <c r="C378" s="212" t="str">
        <f>IF(data!CB75&gt;0,data!CB75,"")</f>
        <v>x</v>
      </c>
      <c r="D378" s="212" t="str">
        <f>IF(data!CC75&gt;0,data!CC75,"")</f>
        <v>x</v>
      </c>
      <c r="E378" s="213"/>
      <c r="F378" s="210"/>
      <c r="G378" s="210"/>
      <c r="H378" s="210"/>
      <c r="I378" s="85">
        <f>data!CE75</f>
        <v>120472762</v>
      </c>
    </row>
    <row r="379" spans="1:9" ht="20.149999999999999" customHeight="1" x14ac:dyDescent="0.35">
      <c r="A379" s="23" t="s">
        <v>1185</v>
      </c>
      <c r="B379" s="60"/>
      <c r="C379" s="210"/>
      <c r="D379" s="210"/>
      <c r="E379" s="210"/>
      <c r="F379" s="210"/>
      <c r="G379" s="210"/>
      <c r="H379" s="210"/>
      <c r="I379" s="210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1695</v>
      </c>
      <c r="E380" s="213"/>
      <c r="F380" s="210"/>
      <c r="G380" s="210"/>
      <c r="H380" s="210"/>
      <c r="I380" s="14">
        <f>data!CE76</f>
        <v>83637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2" t="str">
        <f>IF(data!CC77&gt;0,data!CC77,"")</f>
        <v>x</v>
      </c>
      <c r="E381" s="213"/>
      <c r="F381" s="210"/>
      <c r="G381" s="210"/>
      <c r="H381" s="210"/>
      <c r="I381" s="14">
        <f>data!CE77</f>
        <v>24022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2" t="str">
        <f>IF(data!CC78&gt;0,data!CC78,"")</f>
        <v>x</v>
      </c>
      <c r="E382" s="213"/>
      <c r="F382" s="210"/>
      <c r="G382" s="210"/>
      <c r="H382" s="210"/>
      <c r="I382" s="14">
        <f>data!CE78</f>
        <v>21160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2" t="str">
        <f>IF(data!CC79&gt;0,data!CC79,"")</f>
        <v>x</v>
      </c>
      <c r="E383" s="213"/>
      <c r="F383" s="210"/>
      <c r="G383" s="210"/>
      <c r="H383" s="210"/>
      <c r="I383" s="14">
        <f>data!CE79</f>
        <v>138397</v>
      </c>
    </row>
    <row r="384" spans="1:9" ht="20.149999999999999" customHeight="1" x14ac:dyDescent="0.35">
      <c r="A384" s="23">
        <v>26</v>
      </c>
      <c r="B384" s="14" t="s">
        <v>252</v>
      </c>
      <c r="C384" s="212" t="str">
        <f>IF(data!CB80&gt;0,data!CB80,"")</f>
        <v/>
      </c>
      <c r="D384" s="212" t="str">
        <f>IF(data!CC80&gt;0,data!CC80,"")</f>
        <v>x</v>
      </c>
      <c r="E384" s="216"/>
      <c r="F384" s="210"/>
      <c r="G384" s="210"/>
      <c r="H384" s="210"/>
      <c r="I384" s="84">
        <f>data!CE80</f>
        <v>69.34</v>
      </c>
    </row>
  </sheetData>
  <phoneticPr fontId="0" type="noConversion"/>
  <printOptions horizontalCentered="1" verticalCentered="1"/>
  <pageMargins left="0" right="0" top="0" bottom="0" header="0" footer="0"/>
  <pageSetup scale="82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 2019</vt:lpstr>
      <vt:lpstr>Costcenter</vt:lpstr>
      <vt:lpstr>'Prior Year 2019'!Edit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 2019'!Print_Area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2021-07-01T04:58:16Z</cp:lastPrinted>
  <dcterms:created xsi:type="dcterms:W3CDTF">1999-06-02T22:01:56Z</dcterms:created>
  <dcterms:modified xsi:type="dcterms:W3CDTF">2021-07-01T17:30:48Z</dcterms:modified>
</cp:coreProperties>
</file>