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AO\Department of Health Reports\DOH FY20\St Michael Medical Center\"/>
    </mc:Choice>
  </mc:AlternateContent>
  <xr:revisionPtr revIDLastSave="0" documentId="13_ncr:1_{2E3F87BB-C22A-4E29-A01D-87FA55792131}" xr6:coauthVersionLast="45" xr6:coauthVersionMax="45" xr10:uidLastSave="{00000000-0000-0000-0000-000000000000}"/>
  <bookViews>
    <workbookView xWindow="-120" yWindow="-120" windowWidth="29040" windowHeight="15840" tabRatio="847" xr2:uid="{00000000-000D-0000-FFFF-FFFF00000000}"/>
  </bookViews>
  <sheets>
    <sheet name="data" sheetId="1" r:id="rId1"/>
    <sheet name="HR DATA" sheetId="12" r:id="rId2"/>
    <sheet name="Sheet1" sheetId="13" r:id="rId3"/>
    <sheet name="orig data" sheetId="11" r:id="rId4"/>
    <sheet name="Transmittal" sheetId="2" r:id="rId5"/>
    <sheet name="INFO_PG1" sheetId="3" r:id="rId6"/>
    <sheet name="INFO_PG2" sheetId="4" r:id="rId7"/>
    <sheet name="SS2_3_5_6" sheetId="5" r:id="rId8"/>
    <sheet name="SS4" sheetId="6" r:id="rId9"/>
    <sheet name="SS8" sheetId="7" r:id="rId10"/>
    <sheet name="FS" sheetId="8" r:id="rId11"/>
    <sheet name="CC's" sheetId="9" r:id="rId12"/>
    <sheet name="Prior Year" sheetId="10" r:id="rId13"/>
  </sheets>
  <definedNames>
    <definedName name="_Fill" localSheetId="12" hidden="1">'Prior Year'!$DR$819:$DR$864</definedName>
    <definedName name="_Fill" hidden="1">data!$DR$921:$DR$966</definedName>
    <definedName name="Costcenter" localSheetId="12">'Prior Year'!#REF!</definedName>
    <definedName name="Costcenter">data!$A$732:$W$813</definedName>
    <definedName name="Edit" localSheetId="12">'Prior Year'!$A$410:$E$477</definedName>
    <definedName name="Edit">data!$A$411:$E$478</definedName>
    <definedName name="Funds" localSheetId="12">'Prior Year'!#REF!</definedName>
    <definedName name="Funds">data!$A$728:$CF$730</definedName>
    <definedName name="Hospital" localSheetId="12">'Prior Year'!#REF!</definedName>
    <definedName name="Hospital">data!$A$724:$BR$726</definedName>
    <definedName name="_xlnm.Print_Area" localSheetId="11">'CC''s'!$A$1:$I$384</definedName>
    <definedName name="_xlnm.Print_Area" localSheetId="0">data!$A$485:$J$576</definedName>
    <definedName name="_xlnm.Print_Area" localSheetId="10">FS!$A$1:$D$153</definedName>
    <definedName name="_xlnm.Print_Area" localSheetId="5">INFO_PG1!$A$1:$G$40</definedName>
    <definedName name="_xlnm.Print_Area" localSheetId="6">INFO_PG2!$A$1:$G$33</definedName>
    <definedName name="_xlnm.Print_Area" localSheetId="12">'Prior Year'!$A$410:$E$477</definedName>
    <definedName name="_xlnm.Print_Area" localSheetId="7">SS2_3_5_6!$A$1:$C$40</definedName>
    <definedName name="_xlnm.Print_Area" localSheetId="8">'SS4'!$A$1:$F$32</definedName>
    <definedName name="_xlnm.Print_Area" localSheetId="9">'SS8'!$A$1:$D$34</definedName>
    <definedName name="Support" localSheetId="12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69" i="1" l="1"/>
  <c r="CC69" i="1" l="1"/>
  <c r="CD69" i="1"/>
  <c r="AY59" i="1"/>
  <c r="AZ59" i="1"/>
  <c r="D139" i="1" l="1"/>
  <c r="B139" i="1"/>
  <c r="D138" i="1"/>
  <c r="B138" i="1"/>
  <c r="D85" i="12" l="1"/>
  <c r="AJ59" i="1" l="1"/>
  <c r="C231" i="1" l="1"/>
  <c r="D200" i="1" l="1"/>
  <c r="D202" i="1"/>
  <c r="C326" i="1"/>
  <c r="C305" i="1"/>
  <c r="C306" i="1"/>
  <c r="C327" i="1"/>
  <c r="C313" i="1"/>
  <c r="C332" i="1"/>
  <c r="C366" i="1" l="1"/>
  <c r="C364" i="1"/>
  <c r="C389" i="1"/>
  <c r="E59" i="1" l="1"/>
  <c r="P59" i="1"/>
  <c r="CC51" i="1" l="1"/>
  <c r="D213" i="1"/>
  <c r="C213" i="1"/>
  <c r="C200" i="1" l="1"/>
  <c r="D215" i="1" l="1"/>
  <c r="D212" i="1" l="1"/>
  <c r="D211" i="1"/>
  <c r="C212" i="1"/>
  <c r="C215" i="1"/>
  <c r="C211" i="1"/>
  <c r="C210" i="1"/>
  <c r="C209" i="1"/>
  <c r="C203" i="1"/>
  <c r="C199" i="1"/>
  <c r="C202" i="1"/>
  <c r="C198" i="1"/>
  <c r="C307" i="1" l="1"/>
  <c r="C289" i="1"/>
  <c r="C286" i="1"/>
  <c r="C282" i="1"/>
  <c r="C276" i="1"/>
  <c r="C272" i="1"/>
  <c r="C274" i="1"/>
  <c r="C271" i="1"/>
  <c r="C273" i="1"/>
  <c r="C270" i="1"/>
  <c r="C257" i="1"/>
  <c r="C258" i="1"/>
  <c r="C255" i="1"/>
  <c r="C253" i="1"/>
  <c r="C252" i="1"/>
  <c r="C250" i="1"/>
  <c r="C167" i="1" l="1"/>
  <c r="C166" i="1"/>
  <c r="C170" i="1"/>
  <c r="C171" i="1"/>
  <c r="C169" i="1"/>
  <c r="C168" i="1"/>
  <c r="C85" i="12" l="1"/>
  <c r="AE59" i="1" l="1"/>
  <c r="AC59" i="1"/>
  <c r="I80" i="12"/>
  <c r="D80" i="1" l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C8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60" i="1"/>
  <c r="CB78" i="1" l="1"/>
  <c r="CA78" i="1"/>
  <c r="BZ78" i="1"/>
  <c r="BY78" i="1"/>
  <c r="BX78" i="1"/>
  <c r="BW78" i="1"/>
  <c r="BV78" i="1"/>
  <c r="BU78" i="1"/>
  <c r="BT78" i="1"/>
  <c r="BS78" i="1"/>
  <c r="BM78" i="1"/>
  <c r="BL78" i="1"/>
  <c r="BK78" i="1"/>
  <c r="BI78" i="1"/>
  <c r="BH78" i="1"/>
  <c r="BC78" i="1"/>
  <c r="BB78" i="1"/>
  <c r="BA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C78" i="1"/>
  <c r="BR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Q76" i="1"/>
  <c r="AR76" i="1"/>
  <c r="AS76" i="1"/>
  <c r="AT76" i="1"/>
  <c r="AU76" i="1"/>
  <c r="AW76" i="1"/>
  <c r="AX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T76" i="1"/>
  <c r="BU76" i="1"/>
  <c r="BV76" i="1"/>
  <c r="BW76" i="1"/>
  <c r="BX76" i="1"/>
  <c r="BY76" i="1"/>
  <c r="BZ76" i="1"/>
  <c r="CA76" i="1"/>
  <c r="CB76" i="1"/>
  <c r="CC76" i="1"/>
  <c r="C76" i="1"/>
  <c r="AV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C74" i="1"/>
  <c r="C73" i="1"/>
  <c r="CC68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70" i="1"/>
  <c r="C69" i="1"/>
  <c r="C68" i="1"/>
  <c r="CC66" i="1"/>
  <c r="CC65" i="1"/>
  <c r="CC64" i="1"/>
  <c r="AV63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66" i="1"/>
  <c r="C65" i="1"/>
  <c r="C64" i="1"/>
  <c r="C63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51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47" i="1"/>
  <c r="CC61" i="1"/>
  <c r="U50" i="12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61" i="1"/>
  <c r="I229" i="12" l="1"/>
  <c r="H229" i="12"/>
  <c r="I146" i="12"/>
  <c r="J145" i="12"/>
  <c r="H145" i="12"/>
  <c r="I136" i="12"/>
  <c r="BS76" i="1" s="1"/>
  <c r="I116" i="12"/>
  <c r="AY76" i="1" s="1"/>
  <c r="I113" i="12"/>
  <c r="AV76" i="1" s="1"/>
  <c r="I107" i="12"/>
  <c r="AP76" i="1" s="1"/>
  <c r="I86" i="12"/>
  <c r="U76" i="1" s="1"/>
  <c r="D104" i="12"/>
  <c r="C104" i="12"/>
  <c r="I145" i="12" l="1"/>
  <c r="I147" i="12" s="1"/>
  <c r="C383" i="1"/>
  <c r="C180" i="1"/>
  <c r="C179" i="1"/>
  <c r="C175" i="1"/>
  <c r="C176" i="1"/>
  <c r="C165" i="1"/>
  <c r="C378" i="1" l="1"/>
  <c r="C370" i="1"/>
  <c r="C234" i="1"/>
  <c r="C228" i="1"/>
  <c r="C224" i="1"/>
  <c r="C238" i="1"/>
  <c r="C223" i="1"/>
  <c r="C360" i="1" l="1"/>
  <c r="D142" i="1"/>
  <c r="C142" i="1"/>
  <c r="B142" i="1"/>
  <c r="D141" i="1"/>
  <c r="B141" i="1"/>
  <c r="C139" i="1" l="1"/>
  <c r="C138" i="1"/>
  <c r="AG79" i="1"/>
  <c r="AE79" i="1"/>
  <c r="P79" i="1"/>
  <c r="O817" i="10" l="1"/>
  <c r="K817" i="10"/>
  <c r="J817" i="10"/>
  <c r="H817" i="10"/>
  <c r="G817" i="10"/>
  <c r="F817" i="10"/>
  <c r="E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A812" i="10"/>
  <c r="T811" i="10"/>
  <c r="S811" i="10"/>
  <c r="Q811" i="10"/>
  <c r="A811" i="10"/>
  <c r="T810" i="10"/>
  <c r="S810" i="10"/>
  <c r="Q810" i="10"/>
  <c r="A810" i="10"/>
  <c r="T809" i="10"/>
  <c r="S809" i="10"/>
  <c r="Q809" i="10"/>
  <c r="A809" i="10"/>
  <c r="T808" i="10"/>
  <c r="S808" i="10"/>
  <c r="Q808" i="10"/>
  <c r="A808" i="10"/>
  <c r="T807" i="10"/>
  <c r="S807" i="10"/>
  <c r="Q807" i="10"/>
  <c r="A807" i="10"/>
  <c r="T806" i="10"/>
  <c r="S806" i="10"/>
  <c r="Q806" i="10"/>
  <c r="A806" i="10"/>
  <c r="T805" i="10"/>
  <c r="S805" i="10"/>
  <c r="Q805" i="10"/>
  <c r="A805" i="10"/>
  <c r="T804" i="10"/>
  <c r="S804" i="10"/>
  <c r="Q804" i="10"/>
  <c r="A804" i="10"/>
  <c r="T803" i="10"/>
  <c r="S803" i="10"/>
  <c r="Q803" i="10"/>
  <c r="M803" i="10"/>
  <c r="D803" i="10"/>
  <c r="A803" i="10"/>
  <c r="T802" i="10"/>
  <c r="S802" i="10"/>
  <c r="Q802" i="10"/>
  <c r="A802" i="10"/>
  <c r="T801" i="10"/>
  <c r="S801" i="10"/>
  <c r="R801" i="10"/>
  <c r="Q801" i="10"/>
  <c r="A801" i="10"/>
  <c r="T800" i="10"/>
  <c r="S800" i="10"/>
  <c r="R800" i="10"/>
  <c r="Q800" i="10"/>
  <c r="A800" i="10"/>
  <c r="T799" i="10"/>
  <c r="S799" i="10"/>
  <c r="R799" i="10"/>
  <c r="Q799" i="10"/>
  <c r="A799" i="10"/>
  <c r="T798" i="10"/>
  <c r="S798" i="10"/>
  <c r="R798" i="10"/>
  <c r="Q798" i="10"/>
  <c r="A798" i="10"/>
  <c r="T797" i="10"/>
  <c r="S797" i="10"/>
  <c r="R797" i="10"/>
  <c r="Q797" i="10"/>
  <c r="A797" i="10"/>
  <c r="T796" i="10"/>
  <c r="S796" i="10"/>
  <c r="Q796" i="10"/>
  <c r="A796" i="10"/>
  <c r="T795" i="10"/>
  <c r="S795" i="10"/>
  <c r="Q795" i="10"/>
  <c r="A795" i="10"/>
  <c r="T794" i="10"/>
  <c r="S794" i="10"/>
  <c r="Q794" i="10"/>
  <c r="A794" i="10"/>
  <c r="T793" i="10"/>
  <c r="S793" i="10"/>
  <c r="R793" i="10"/>
  <c r="Q793" i="10"/>
  <c r="A793" i="10"/>
  <c r="T792" i="10"/>
  <c r="S792" i="10"/>
  <c r="Q792" i="10"/>
  <c r="A792" i="10"/>
  <c r="T791" i="10"/>
  <c r="S791" i="10"/>
  <c r="Q791" i="10"/>
  <c r="A791" i="10"/>
  <c r="T790" i="10"/>
  <c r="S790" i="10"/>
  <c r="R790" i="10"/>
  <c r="Q790" i="10"/>
  <c r="A790" i="10"/>
  <c r="T789" i="10"/>
  <c r="S789" i="10"/>
  <c r="R789" i="10"/>
  <c r="Q789" i="10"/>
  <c r="A789" i="10"/>
  <c r="T788" i="10"/>
  <c r="S788" i="10"/>
  <c r="R788" i="10"/>
  <c r="Q788" i="10"/>
  <c r="B788" i="10"/>
  <c r="A788" i="10"/>
  <c r="T787" i="10"/>
  <c r="S787" i="10"/>
  <c r="R787" i="10"/>
  <c r="Q787" i="10"/>
  <c r="A787" i="10"/>
  <c r="T786" i="10"/>
  <c r="S786" i="10"/>
  <c r="Q786" i="10"/>
  <c r="A786" i="10"/>
  <c r="T785" i="10"/>
  <c r="S785" i="10"/>
  <c r="Q785" i="10"/>
  <c r="A785" i="10"/>
  <c r="T784" i="10"/>
  <c r="S784" i="10"/>
  <c r="Q784" i="10"/>
  <c r="B784" i="10"/>
  <c r="A784" i="10"/>
  <c r="T783" i="10"/>
  <c r="S783" i="10"/>
  <c r="R783" i="10"/>
  <c r="Q783" i="10"/>
  <c r="B783" i="10"/>
  <c r="A783" i="10"/>
  <c r="T782" i="10"/>
  <c r="S782" i="10"/>
  <c r="R782" i="10"/>
  <c r="Q782" i="10"/>
  <c r="A782" i="10"/>
  <c r="T781" i="10"/>
  <c r="S781" i="10"/>
  <c r="R781" i="10"/>
  <c r="Q781" i="10"/>
  <c r="A781" i="10"/>
  <c r="T780" i="10"/>
  <c r="S780" i="10"/>
  <c r="Q780" i="10"/>
  <c r="A780" i="10"/>
  <c r="S779" i="10"/>
  <c r="Q779" i="10"/>
  <c r="A779" i="10"/>
  <c r="S778" i="10"/>
  <c r="Q778" i="10"/>
  <c r="B778" i="10"/>
  <c r="A778" i="10"/>
  <c r="S777" i="10"/>
  <c r="Q777" i="10"/>
  <c r="B777" i="10"/>
  <c r="A777" i="10"/>
  <c r="S776" i="10"/>
  <c r="Q776" i="10"/>
  <c r="B776" i="10"/>
  <c r="A776" i="10"/>
  <c r="S775" i="10"/>
  <c r="Q775" i="10"/>
  <c r="B775" i="10"/>
  <c r="A775" i="10"/>
  <c r="S774" i="10"/>
  <c r="Q774" i="10"/>
  <c r="B774" i="10"/>
  <c r="A774" i="10"/>
  <c r="S773" i="10"/>
  <c r="Q773" i="10"/>
  <c r="B773" i="10"/>
  <c r="A773" i="10"/>
  <c r="S772" i="10"/>
  <c r="Q772" i="10"/>
  <c r="B772" i="10"/>
  <c r="A772" i="10"/>
  <c r="S771" i="10"/>
  <c r="Q771" i="10"/>
  <c r="B771" i="10"/>
  <c r="A771" i="10"/>
  <c r="S770" i="10"/>
  <c r="Q770" i="10"/>
  <c r="B770" i="10"/>
  <c r="A770" i="10"/>
  <c r="S769" i="10"/>
  <c r="Q769" i="10"/>
  <c r="B769" i="10"/>
  <c r="A769" i="10"/>
  <c r="S768" i="10"/>
  <c r="Q768" i="10"/>
  <c r="B768" i="10"/>
  <c r="A768" i="10"/>
  <c r="S767" i="10"/>
  <c r="Q767" i="10"/>
  <c r="B767" i="10"/>
  <c r="A767" i="10"/>
  <c r="S766" i="10"/>
  <c r="Q766" i="10"/>
  <c r="B766" i="10"/>
  <c r="A766" i="10"/>
  <c r="S765" i="10"/>
  <c r="Q765" i="10"/>
  <c r="B765" i="10"/>
  <c r="A765" i="10"/>
  <c r="Q764" i="10"/>
  <c r="B764" i="10"/>
  <c r="A764" i="10"/>
  <c r="S763" i="10"/>
  <c r="Q763" i="10"/>
  <c r="B763" i="10"/>
  <c r="A763" i="10"/>
  <c r="Q762" i="10"/>
  <c r="B762" i="10"/>
  <c r="A762" i="10"/>
  <c r="S761" i="10"/>
  <c r="Q761" i="10"/>
  <c r="B761" i="10"/>
  <c r="A761" i="10"/>
  <c r="S760" i="10"/>
  <c r="Q760" i="10"/>
  <c r="B760" i="10"/>
  <c r="A760" i="10"/>
  <c r="S759" i="10"/>
  <c r="Q759" i="10"/>
  <c r="A759" i="10"/>
  <c r="S758" i="10"/>
  <c r="Q758" i="10"/>
  <c r="B758" i="10"/>
  <c r="A758" i="10"/>
  <c r="S757" i="10"/>
  <c r="Q757" i="10"/>
  <c r="B757" i="10"/>
  <c r="A757" i="10"/>
  <c r="S756" i="10"/>
  <c r="Q756" i="10"/>
  <c r="B756" i="10"/>
  <c r="A756" i="10"/>
  <c r="S755" i="10"/>
  <c r="Q755" i="10"/>
  <c r="B755" i="10"/>
  <c r="A755" i="10"/>
  <c r="S754" i="10"/>
  <c r="Q754" i="10"/>
  <c r="B754" i="10"/>
  <c r="A754" i="10"/>
  <c r="S753" i="10"/>
  <c r="Q753" i="10"/>
  <c r="B753" i="10"/>
  <c r="A753" i="10"/>
  <c r="S752" i="10"/>
  <c r="Q752" i="10"/>
  <c r="B752" i="10"/>
  <c r="A752" i="10"/>
  <c r="S751" i="10"/>
  <c r="Q751" i="10"/>
  <c r="A751" i="10"/>
  <c r="S750" i="10"/>
  <c r="Q750" i="10"/>
  <c r="A750" i="10"/>
  <c r="T749" i="10"/>
  <c r="S749" i="10"/>
  <c r="Q749" i="10"/>
  <c r="B749" i="10"/>
  <c r="A749" i="10"/>
  <c r="S748" i="10"/>
  <c r="Q748" i="10"/>
  <c r="B748" i="10"/>
  <c r="A748" i="10"/>
  <c r="R747" i="10"/>
  <c r="Q747" i="10"/>
  <c r="B747" i="10"/>
  <c r="A747" i="10"/>
  <c r="S746" i="10"/>
  <c r="Q746" i="10"/>
  <c r="O746" i="10"/>
  <c r="B746" i="10"/>
  <c r="A746" i="10"/>
  <c r="S745" i="10"/>
  <c r="Q745" i="10"/>
  <c r="B745" i="10"/>
  <c r="A745" i="10"/>
  <c r="S744" i="10"/>
  <c r="R744" i="10"/>
  <c r="Q744" i="10"/>
  <c r="B744" i="10"/>
  <c r="A744" i="10"/>
  <c r="S743" i="10"/>
  <c r="Q743" i="10"/>
  <c r="B743" i="10"/>
  <c r="A743" i="10"/>
  <c r="T742" i="10"/>
  <c r="S742" i="10"/>
  <c r="Q742" i="10"/>
  <c r="B742" i="10"/>
  <c r="A742" i="10"/>
  <c r="S741" i="10"/>
  <c r="Q741" i="10"/>
  <c r="B741" i="10"/>
  <c r="A741" i="10"/>
  <c r="T740" i="10"/>
  <c r="S740" i="10"/>
  <c r="Q740" i="10"/>
  <c r="B740" i="10"/>
  <c r="A740" i="10"/>
  <c r="S739" i="10"/>
  <c r="Q739" i="10"/>
  <c r="B739" i="10"/>
  <c r="A739" i="10"/>
  <c r="S738" i="10"/>
  <c r="Q738" i="10"/>
  <c r="B738" i="10"/>
  <c r="A738" i="10"/>
  <c r="S737" i="10"/>
  <c r="Q737" i="10"/>
  <c r="B737" i="10"/>
  <c r="A737" i="10"/>
  <c r="S736" i="10"/>
  <c r="B736" i="10"/>
  <c r="A736" i="10"/>
  <c r="S735" i="10"/>
  <c r="Q735" i="10"/>
  <c r="B735" i="10"/>
  <c r="A735" i="10"/>
  <c r="S734" i="10"/>
  <c r="Q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U730" i="10"/>
  <c r="BT730" i="10"/>
  <c r="BS730" i="10"/>
  <c r="BR730" i="10"/>
  <c r="BP730" i="10"/>
  <c r="BM730" i="10"/>
  <c r="BJ730" i="10"/>
  <c r="BF730" i="10"/>
  <c r="BE730" i="10"/>
  <c r="BA730" i="10"/>
  <c r="AZ730" i="10"/>
  <c r="AX730" i="10"/>
  <c r="AU730" i="10"/>
  <c r="AT730" i="10"/>
  <c r="AS730" i="10"/>
  <c r="AR730" i="10"/>
  <c r="AQ730" i="10"/>
  <c r="AO730" i="10"/>
  <c r="AN730" i="10"/>
  <c r="AM730" i="10"/>
  <c r="AK730" i="10"/>
  <c r="AG730" i="10"/>
  <c r="AE730" i="10"/>
  <c r="AD730" i="10"/>
  <c r="AA730" i="10"/>
  <c r="Z730" i="10"/>
  <c r="Y730" i="10"/>
  <c r="W730" i="10"/>
  <c r="P730" i="10"/>
  <c r="O730" i="10"/>
  <c r="N730" i="10"/>
  <c r="M730" i="10"/>
  <c r="L730" i="10"/>
  <c r="K730" i="10"/>
  <c r="H730" i="10"/>
  <c r="F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X722" i="10"/>
  <c r="BW722" i="10"/>
  <c r="BV722" i="10"/>
  <c r="BS722" i="10"/>
  <c r="BR722" i="10"/>
  <c r="BQ722" i="10"/>
  <c r="BP722" i="10"/>
  <c r="BM722" i="10"/>
  <c r="BL722" i="10"/>
  <c r="BK722" i="10"/>
  <c r="BG722" i="10"/>
  <c r="BD722" i="10"/>
  <c r="BA722" i="10"/>
  <c r="AY722" i="10"/>
  <c r="AX722" i="10"/>
  <c r="AV722" i="10"/>
  <c r="AR722" i="10"/>
  <c r="AL722" i="10"/>
  <c r="AK722" i="10"/>
  <c r="AJ722" i="10"/>
  <c r="AF722" i="10"/>
  <c r="AC722" i="10"/>
  <c r="AB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A722" i="10"/>
  <c r="E550" i="10"/>
  <c r="F546" i="10"/>
  <c r="E546" i="10"/>
  <c r="F545" i="10"/>
  <c r="E545" i="10"/>
  <c r="F544" i="10"/>
  <c r="E540" i="10"/>
  <c r="H539" i="10"/>
  <c r="E539" i="10"/>
  <c r="F539" i="10"/>
  <c r="H538" i="10"/>
  <c r="E538" i="10"/>
  <c r="F538" i="10"/>
  <c r="F537" i="10"/>
  <c r="E537" i="10"/>
  <c r="H536" i="10"/>
  <c r="F536" i="10"/>
  <c r="E536" i="10"/>
  <c r="F535" i="10"/>
  <c r="E535" i="10"/>
  <c r="H534" i="10"/>
  <c r="F534" i="10"/>
  <c r="E534" i="10"/>
  <c r="E533" i="10"/>
  <c r="E532" i="10"/>
  <c r="E531" i="10"/>
  <c r="F531" i="10"/>
  <c r="E530" i="10"/>
  <c r="F530" i="10"/>
  <c r="H529" i="10"/>
  <c r="F529" i="10"/>
  <c r="E529" i="10"/>
  <c r="H528" i="10"/>
  <c r="F528" i="10"/>
  <c r="E528" i="10"/>
  <c r="F527" i="10"/>
  <c r="E527" i="10"/>
  <c r="H527" i="10"/>
  <c r="E526" i="10"/>
  <c r="F526" i="10"/>
  <c r="E525" i="10"/>
  <c r="E524" i="10"/>
  <c r="E523" i="10"/>
  <c r="F523" i="10"/>
  <c r="E522" i="10"/>
  <c r="F522" i="10"/>
  <c r="F521" i="10"/>
  <c r="F520" i="10"/>
  <c r="E520" i="10"/>
  <c r="E519" i="10"/>
  <c r="E518" i="10"/>
  <c r="E517" i="10"/>
  <c r="F517" i="10"/>
  <c r="E516" i="10"/>
  <c r="F516" i="10"/>
  <c r="F515" i="10"/>
  <c r="E515" i="10"/>
  <c r="F514" i="10"/>
  <c r="E514" i="10"/>
  <c r="H513" i="10"/>
  <c r="F511" i="10"/>
  <c r="E511" i="10"/>
  <c r="F510" i="10"/>
  <c r="E510" i="10"/>
  <c r="E509" i="10"/>
  <c r="F509" i="10"/>
  <c r="H508" i="10"/>
  <c r="F508" i="10"/>
  <c r="E508" i="10"/>
  <c r="E507" i="10"/>
  <c r="E506" i="10"/>
  <c r="H505" i="10"/>
  <c r="E505" i="10"/>
  <c r="F505" i="10"/>
  <c r="E504" i="10"/>
  <c r="F503" i="10"/>
  <c r="E503" i="10"/>
  <c r="H502" i="10"/>
  <c r="F502" i="10"/>
  <c r="E502" i="10"/>
  <c r="E501" i="10"/>
  <c r="F501" i="10"/>
  <c r="H500" i="10"/>
  <c r="F500" i="10"/>
  <c r="E500" i="10"/>
  <c r="E499" i="10"/>
  <c r="E498" i="10"/>
  <c r="H497" i="10"/>
  <c r="E497" i="10"/>
  <c r="F497" i="10"/>
  <c r="E496" i="10"/>
  <c r="F496" i="10"/>
  <c r="G493" i="10"/>
  <c r="E493" i="10"/>
  <c r="C493" i="10"/>
  <c r="A493" i="10"/>
  <c r="B470" i="10"/>
  <c r="B469" i="10"/>
  <c r="B468" i="10"/>
  <c r="B464" i="10"/>
  <c r="B463" i="10"/>
  <c r="C459" i="10"/>
  <c r="B459" i="10"/>
  <c r="B458" i="10"/>
  <c r="B454" i="10"/>
  <c r="B453" i="10"/>
  <c r="C446" i="10"/>
  <c r="C444" i="10"/>
  <c r="B438" i="10"/>
  <c r="B437" i="10"/>
  <c r="B436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383" i="10"/>
  <c r="C378" i="10"/>
  <c r="B427" i="10" s="1"/>
  <c r="D372" i="10"/>
  <c r="C370" i="10"/>
  <c r="C366" i="10"/>
  <c r="C364" i="10"/>
  <c r="C360" i="10"/>
  <c r="BK730" i="10" s="1"/>
  <c r="C332" i="10"/>
  <c r="BB730" i="10" s="1"/>
  <c r="C326" i="10"/>
  <c r="AY730" i="10" s="1"/>
  <c r="C324" i="10"/>
  <c r="AW730" i="10" s="1"/>
  <c r="C323" i="10"/>
  <c r="AV730" i="10" s="1"/>
  <c r="D319" i="10"/>
  <c r="C313" i="10"/>
  <c r="AP730" i="10" s="1"/>
  <c r="C309" i="10"/>
  <c r="AL730" i="10" s="1"/>
  <c r="C307" i="10"/>
  <c r="AJ730" i="10" s="1"/>
  <c r="C306" i="10"/>
  <c r="AI730" i="10" s="1"/>
  <c r="C305" i="10"/>
  <c r="AH730" i="10" s="1"/>
  <c r="C289" i="10"/>
  <c r="AF730" i="10" s="1"/>
  <c r="C286" i="10"/>
  <c r="C282" i="10"/>
  <c r="AB730" i="10" s="1"/>
  <c r="C276" i="10"/>
  <c r="X730" i="10" s="1"/>
  <c r="C274" i="10"/>
  <c r="V730" i="10" s="1"/>
  <c r="C273" i="10"/>
  <c r="U730" i="10" s="1"/>
  <c r="C272" i="10"/>
  <c r="T730" i="10" s="1"/>
  <c r="C271" i="10"/>
  <c r="C270" i="10"/>
  <c r="C269" i="10"/>
  <c r="Q730" i="10" s="1"/>
  <c r="D265" i="10"/>
  <c r="C258" i="10"/>
  <c r="J730" i="10" s="1"/>
  <c r="C257" i="10"/>
  <c r="I730" i="10" s="1"/>
  <c r="C255" i="10"/>
  <c r="G730" i="10" s="1"/>
  <c r="C253" i="10"/>
  <c r="C252" i="10"/>
  <c r="D730" i="10" s="1"/>
  <c r="C250" i="10"/>
  <c r="B730" i="10" s="1"/>
  <c r="C238" i="10"/>
  <c r="CC722" i="10" s="1"/>
  <c r="C234" i="10"/>
  <c r="CB722" i="10" s="1"/>
  <c r="C228" i="10"/>
  <c r="C224" i="10"/>
  <c r="BU722" i="10" s="1"/>
  <c r="C223" i="10"/>
  <c r="BT722" i="10" s="1"/>
  <c r="D221" i="10"/>
  <c r="CD722" i="10" s="1"/>
  <c r="E216" i="10"/>
  <c r="C215" i="10"/>
  <c r="BO722" i="10" s="1"/>
  <c r="B215" i="10"/>
  <c r="BN722" i="10" s="1"/>
  <c r="E214" i="10"/>
  <c r="D213" i="10"/>
  <c r="BJ722" i="10" s="1"/>
  <c r="C213" i="10"/>
  <c r="BI722" i="10" s="1"/>
  <c r="B213" i="10"/>
  <c r="BH722" i="10" s="1"/>
  <c r="C212" i="10"/>
  <c r="BF722" i="10" s="1"/>
  <c r="B212" i="10"/>
  <c r="C211" i="10"/>
  <c r="BC722" i="10" s="1"/>
  <c r="B211" i="10"/>
  <c r="C210" i="10"/>
  <c r="AZ722" i="10" s="1"/>
  <c r="C209" i="10"/>
  <c r="AW722" i="10" s="1"/>
  <c r="C203" i="10"/>
  <c r="B203" i="10"/>
  <c r="AP722" i="10" s="1"/>
  <c r="D202" i="10"/>
  <c r="AO722" i="10" s="1"/>
  <c r="C202" i="10"/>
  <c r="AN722" i="10" s="1"/>
  <c r="B202" i="10"/>
  <c r="E201" i="10"/>
  <c r="D200" i="10"/>
  <c r="C200" i="10"/>
  <c r="AH722" i="10" s="1"/>
  <c r="B200" i="10"/>
  <c r="AG722" i="10" s="1"/>
  <c r="C199" i="10"/>
  <c r="AE722" i="10" s="1"/>
  <c r="B199" i="10"/>
  <c r="E198" i="10"/>
  <c r="C471" i="10" s="1"/>
  <c r="B198" i="10"/>
  <c r="AA722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C180" i="10"/>
  <c r="L722" i="10" s="1"/>
  <c r="C179" i="10"/>
  <c r="K722" i="10" s="1"/>
  <c r="C176" i="10"/>
  <c r="J722" i="10" s="1"/>
  <c r="C175" i="10"/>
  <c r="I722" i="10" s="1"/>
  <c r="C171" i="10"/>
  <c r="H722" i="10" s="1"/>
  <c r="C170" i="10"/>
  <c r="G722" i="10" s="1"/>
  <c r="C169" i="10"/>
  <c r="F722" i="10" s="1"/>
  <c r="C168" i="10"/>
  <c r="E722" i="10" s="1"/>
  <c r="C167" i="10"/>
  <c r="D722" i="10" s="1"/>
  <c r="C166" i="10"/>
  <c r="C722" i="10" s="1"/>
  <c r="C165" i="10"/>
  <c r="B722" i="10" s="1"/>
  <c r="E155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AK726" i="10" s="1"/>
  <c r="E140" i="10"/>
  <c r="D139" i="10"/>
  <c r="AI726" i="10" s="1"/>
  <c r="C139" i="10"/>
  <c r="AD726" i="10" s="1"/>
  <c r="B139" i="10"/>
  <c r="Y726" i="10" s="1"/>
  <c r="D138" i="10"/>
  <c r="AH726" i="10" s="1"/>
  <c r="C138" i="10"/>
  <c r="B138" i="10"/>
  <c r="X726" i="10" s="1"/>
  <c r="E127" i="10"/>
  <c r="T779" i="10"/>
  <c r="T778" i="10"/>
  <c r="T777" i="10"/>
  <c r="T776" i="10"/>
  <c r="T775" i="10"/>
  <c r="T774" i="10"/>
  <c r="T773" i="10"/>
  <c r="T772" i="10"/>
  <c r="T771" i="10"/>
  <c r="T770" i="10"/>
  <c r="T769" i="10"/>
  <c r="T768" i="10"/>
  <c r="T767" i="10"/>
  <c r="T766" i="10"/>
  <c r="T765" i="10"/>
  <c r="T764" i="10"/>
  <c r="T763" i="10"/>
  <c r="T762" i="10"/>
  <c r="T761" i="10"/>
  <c r="T760" i="10"/>
  <c r="T759" i="10"/>
  <c r="T758" i="10"/>
  <c r="T757" i="10"/>
  <c r="T756" i="10"/>
  <c r="T755" i="10"/>
  <c r="T754" i="10"/>
  <c r="T753" i="10"/>
  <c r="T752" i="10"/>
  <c r="T751" i="10"/>
  <c r="T750" i="10"/>
  <c r="T748" i="10"/>
  <c r="T747" i="10"/>
  <c r="T746" i="10"/>
  <c r="T745" i="10"/>
  <c r="T744" i="10"/>
  <c r="T743" i="10"/>
  <c r="T741" i="10"/>
  <c r="T739" i="10"/>
  <c r="T738" i="10"/>
  <c r="T737" i="10"/>
  <c r="T736" i="10"/>
  <c r="T735" i="10"/>
  <c r="CF79" i="10"/>
  <c r="AG79" i="10"/>
  <c r="S764" i="10" s="1"/>
  <c r="AE79" i="10"/>
  <c r="S762" i="10" s="1"/>
  <c r="P79" i="10"/>
  <c r="S747" i="10" s="1"/>
  <c r="R811" i="10"/>
  <c r="R810" i="10"/>
  <c r="R809" i="10"/>
  <c r="R808" i="10"/>
  <c r="R807" i="10"/>
  <c r="R806" i="10"/>
  <c r="R805" i="10"/>
  <c r="R804" i="10"/>
  <c r="R803" i="10"/>
  <c r="R802" i="10"/>
  <c r="R796" i="10"/>
  <c r="R795" i="10"/>
  <c r="R794" i="10"/>
  <c r="R792" i="10"/>
  <c r="R791" i="10"/>
  <c r="R786" i="10"/>
  <c r="R785" i="10"/>
  <c r="R784" i="10"/>
  <c r="R780" i="10"/>
  <c r="R779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6" i="10"/>
  <c r="R755" i="10"/>
  <c r="R754" i="10"/>
  <c r="R753" i="10"/>
  <c r="R752" i="10"/>
  <c r="R751" i="10"/>
  <c r="R750" i="10"/>
  <c r="R749" i="10"/>
  <c r="R748" i="10"/>
  <c r="R746" i="10"/>
  <c r="R745" i="10"/>
  <c r="R743" i="10"/>
  <c r="R742" i="10"/>
  <c r="R741" i="10"/>
  <c r="R740" i="10"/>
  <c r="R739" i="10"/>
  <c r="R738" i="10"/>
  <c r="R737" i="10"/>
  <c r="R736" i="10"/>
  <c r="R735" i="10"/>
  <c r="CE77" i="10"/>
  <c r="E77" i="10"/>
  <c r="Q736" i="10" s="1"/>
  <c r="P812" i="10"/>
  <c r="P811" i="10"/>
  <c r="P810" i="10"/>
  <c r="P809" i="10"/>
  <c r="P808" i="10"/>
  <c r="P807" i="10"/>
  <c r="P806" i="10"/>
  <c r="P805" i="10"/>
  <c r="P804" i="10"/>
  <c r="P803" i="10"/>
  <c r="P802" i="10"/>
  <c r="P801" i="10"/>
  <c r="P800" i="10"/>
  <c r="P799" i="10"/>
  <c r="P798" i="10"/>
  <c r="P797" i="10"/>
  <c r="P796" i="10"/>
  <c r="P795" i="10"/>
  <c r="P794" i="10"/>
  <c r="P793" i="10"/>
  <c r="P792" i="10"/>
  <c r="P791" i="10"/>
  <c r="P790" i="10"/>
  <c r="P789" i="10"/>
  <c r="P788" i="10"/>
  <c r="P787" i="10"/>
  <c r="P786" i="10"/>
  <c r="P785" i="10"/>
  <c r="P784" i="10"/>
  <c r="P783" i="10"/>
  <c r="P782" i="10"/>
  <c r="P781" i="10"/>
  <c r="P780" i="10"/>
  <c r="P779" i="10"/>
  <c r="P778" i="10"/>
  <c r="P777" i="10"/>
  <c r="P776" i="10"/>
  <c r="P775" i="10"/>
  <c r="P774" i="10"/>
  <c r="P773" i="10"/>
  <c r="P772" i="10"/>
  <c r="P771" i="10"/>
  <c r="P770" i="10"/>
  <c r="P769" i="10"/>
  <c r="P768" i="10"/>
  <c r="P767" i="10"/>
  <c r="P766" i="10"/>
  <c r="P765" i="10"/>
  <c r="P764" i="10"/>
  <c r="P763" i="10"/>
  <c r="P762" i="10"/>
  <c r="P761" i="10"/>
  <c r="P760" i="10"/>
  <c r="P759" i="10"/>
  <c r="P758" i="10"/>
  <c r="P757" i="10"/>
  <c r="P756" i="10"/>
  <c r="P755" i="10"/>
  <c r="P754" i="10"/>
  <c r="P753" i="10"/>
  <c r="P752" i="10"/>
  <c r="P751" i="10"/>
  <c r="P750" i="10"/>
  <c r="P749" i="10"/>
  <c r="P748" i="10"/>
  <c r="P747" i="10"/>
  <c r="P746" i="10"/>
  <c r="P745" i="10"/>
  <c r="P744" i="10"/>
  <c r="P743" i="10"/>
  <c r="P742" i="10"/>
  <c r="P741" i="10"/>
  <c r="P740" i="10"/>
  <c r="P739" i="10"/>
  <c r="P738" i="10"/>
  <c r="P737" i="10"/>
  <c r="P736" i="10"/>
  <c r="P735" i="10"/>
  <c r="P734" i="10"/>
  <c r="AU75" i="10"/>
  <c r="N778" i="10" s="1"/>
  <c r="AT75" i="10"/>
  <c r="N777" i="10" s="1"/>
  <c r="AS75" i="10"/>
  <c r="N776" i="10" s="1"/>
  <c r="AM75" i="10"/>
  <c r="N770" i="10" s="1"/>
  <c r="AL75" i="10"/>
  <c r="N769" i="10" s="1"/>
  <c r="AE75" i="10"/>
  <c r="N762" i="10" s="1"/>
  <c r="AD75" i="10"/>
  <c r="N761" i="10" s="1"/>
  <c r="W75" i="10"/>
  <c r="N754" i="10" s="1"/>
  <c r="V75" i="10"/>
  <c r="N753" i="10" s="1"/>
  <c r="O75" i="10"/>
  <c r="N746" i="10" s="1"/>
  <c r="N75" i="10"/>
  <c r="N745" i="10" s="1"/>
  <c r="G75" i="10"/>
  <c r="N738" i="10" s="1"/>
  <c r="F75" i="10"/>
  <c r="N737" i="10" s="1"/>
  <c r="E75" i="10"/>
  <c r="N736" i="10" s="1"/>
  <c r="AK75" i="10"/>
  <c r="N768" i="10" s="1"/>
  <c r="AC75" i="10"/>
  <c r="N760" i="10" s="1"/>
  <c r="U75" i="10"/>
  <c r="N752" i="10" s="1"/>
  <c r="M75" i="10"/>
  <c r="N744" i="10" s="1"/>
  <c r="O779" i="10"/>
  <c r="O778" i="10"/>
  <c r="O777" i="10"/>
  <c r="O776" i="10"/>
  <c r="O773" i="10"/>
  <c r="O772" i="10"/>
  <c r="O771" i="10"/>
  <c r="O770" i="10"/>
  <c r="O769" i="10"/>
  <c r="O768" i="10"/>
  <c r="O765" i="10"/>
  <c r="O764" i="10"/>
  <c r="O763" i="10"/>
  <c r="O762" i="10"/>
  <c r="O761" i="10"/>
  <c r="O760" i="10"/>
  <c r="O757" i="10"/>
  <c r="O756" i="10"/>
  <c r="O755" i="10"/>
  <c r="O754" i="10"/>
  <c r="O753" i="10"/>
  <c r="O752" i="10"/>
  <c r="O749" i="10"/>
  <c r="O748" i="10"/>
  <c r="O747" i="10"/>
  <c r="O745" i="10"/>
  <c r="O744" i="10"/>
  <c r="O741" i="10"/>
  <c r="O740" i="10"/>
  <c r="O739" i="10"/>
  <c r="O738" i="10"/>
  <c r="O737" i="10"/>
  <c r="O736" i="10"/>
  <c r="M812" i="10"/>
  <c r="M811" i="10"/>
  <c r="M810" i="10"/>
  <c r="M809" i="10"/>
  <c r="M808" i="10"/>
  <c r="M807" i="10"/>
  <c r="M806" i="10"/>
  <c r="M805" i="10"/>
  <c r="M804" i="10"/>
  <c r="M802" i="10"/>
  <c r="M801" i="10"/>
  <c r="M800" i="10"/>
  <c r="M799" i="10"/>
  <c r="M798" i="10"/>
  <c r="M797" i="10"/>
  <c r="M796" i="10"/>
  <c r="M795" i="10"/>
  <c r="M794" i="10"/>
  <c r="M793" i="10"/>
  <c r="M792" i="10"/>
  <c r="M791" i="10"/>
  <c r="M790" i="10"/>
  <c r="M789" i="10"/>
  <c r="M788" i="10"/>
  <c r="M787" i="10"/>
  <c r="M786" i="10"/>
  <c r="M785" i="10"/>
  <c r="M784" i="10"/>
  <c r="M783" i="10"/>
  <c r="M782" i="10"/>
  <c r="M781" i="10"/>
  <c r="M780" i="10"/>
  <c r="M779" i="10"/>
  <c r="M778" i="10"/>
  <c r="M777" i="10"/>
  <c r="M776" i="10"/>
  <c r="M775" i="10"/>
  <c r="M774" i="10"/>
  <c r="M773" i="10"/>
  <c r="M772" i="10"/>
  <c r="M771" i="10"/>
  <c r="M770" i="10"/>
  <c r="M769" i="10"/>
  <c r="M768" i="10"/>
  <c r="M767" i="10"/>
  <c r="M766" i="10"/>
  <c r="M765" i="10"/>
  <c r="M764" i="10"/>
  <c r="M763" i="10"/>
  <c r="M762" i="10"/>
  <c r="M761" i="10"/>
  <c r="M760" i="10"/>
  <c r="M759" i="10"/>
  <c r="M758" i="10"/>
  <c r="M757" i="10"/>
  <c r="M756" i="10"/>
  <c r="M755" i="10"/>
  <c r="M754" i="10"/>
  <c r="M753" i="10"/>
  <c r="M752" i="10"/>
  <c r="M751" i="10"/>
  <c r="M750" i="10"/>
  <c r="M749" i="10"/>
  <c r="M747" i="10"/>
  <c r="M746" i="10"/>
  <c r="M745" i="10"/>
  <c r="M744" i="10"/>
  <c r="M743" i="10"/>
  <c r="M742" i="10"/>
  <c r="M741" i="10"/>
  <c r="M740" i="10"/>
  <c r="M739" i="10"/>
  <c r="M738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7" i="10"/>
  <c r="D806" i="10"/>
  <c r="D805" i="10"/>
  <c r="D804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AY59" i="10"/>
  <c r="B782" i="10" s="1"/>
  <c r="B53" i="10"/>
  <c r="B52" i="10"/>
  <c r="B48" i="10"/>
  <c r="B47" i="10"/>
  <c r="B49" i="10" s="1"/>
  <c r="E141" i="10" l="1"/>
  <c r="D463" i="10" s="1"/>
  <c r="D177" i="10"/>
  <c r="D434" i="10" s="1"/>
  <c r="B217" i="10"/>
  <c r="D236" i="10"/>
  <c r="B446" i="10" s="1"/>
  <c r="D328" i="10"/>
  <c r="E138" i="10"/>
  <c r="C414" i="10" s="1"/>
  <c r="B204" i="10"/>
  <c r="E212" i="10"/>
  <c r="B455" i="10"/>
  <c r="CF77" i="10"/>
  <c r="D240" i="10"/>
  <c r="B447" i="10" s="1"/>
  <c r="D329" i="10"/>
  <c r="B473" i="10"/>
  <c r="BB722" i="10"/>
  <c r="B478" i="10"/>
  <c r="AC726" i="10"/>
  <c r="CE51" i="10"/>
  <c r="O735" i="10"/>
  <c r="D75" i="10"/>
  <c r="N735" i="10" s="1"/>
  <c r="O759" i="10"/>
  <c r="AB75" i="10"/>
  <c r="N759" i="10" s="1"/>
  <c r="O767" i="10"/>
  <c r="AJ75" i="10"/>
  <c r="N767" i="10" s="1"/>
  <c r="AI722" i="10"/>
  <c r="D204" i="10"/>
  <c r="E200" i="10"/>
  <c r="C473" i="10" s="1"/>
  <c r="E730" i="10"/>
  <c r="D260" i="10"/>
  <c r="BY722" i="10"/>
  <c r="D229" i="10"/>
  <c r="F519" i="10"/>
  <c r="L817" i="10"/>
  <c r="CC730" i="10"/>
  <c r="B439" i="10"/>
  <c r="T734" i="10"/>
  <c r="T815" i="10" s="1"/>
  <c r="CE80" i="10"/>
  <c r="D390" i="10"/>
  <c r="B441" i="10" s="1"/>
  <c r="F512" i="10"/>
  <c r="CE74" i="10"/>
  <c r="C464" i="10" s="1"/>
  <c r="C445" i="10"/>
  <c r="BL730" i="10"/>
  <c r="D367" i="10"/>
  <c r="C448" i="10" s="1"/>
  <c r="F498" i="10"/>
  <c r="F504" i="10"/>
  <c r="H504" i="10"/>
  <c r="BN730" i="10"/>
  <c r="C447" i="10"/>
  <c r="H540" i="10"/>
  <c r="F540" i="10"/>
  <c r="O734" i="10"/>
  <c r="C75" i="10"/>
  <c r="CE73" i="10"/>
  <c r="O742" i="10"/>
  <c r="K75" i="10"/>
  <c r="N742" i="10" s="1"/>
  <c r="O750" i="10"/>
  <c r="S75" i="10"/>
  <c r="N750" i="10" s="1"/>
  <c r="O758" i="10"/>
  <c r="AA75" i="10"/>
  <c r="N758" i="10" s="1"/>
  <c r="O766" i="10"/>
  <c r="AI75" i="10"/>
  <c r="N766" i="10" s="1"/>
  <c r="O774" i="10"/>
  <c r="AQ75" i="10"/>
  <c r="N774" i="10" s="1"/>
  <c r="R734" i="10"/>
  <c r="R815" i="10" s="1"/>
  <c r="CE78" i="10"/>
  <c r="AQ722" i="10"/>
  <c r="C204" i="10"/>
  <c r="CE47" i="10"/>
  <c r="O743" i="10"/>
  <c r="L75" i="10"/>
  <c r="N743" i="10" s="1"/>
  <c r="O751" i="10"/>
  <c r="T75" i="10"/>
  <c r="N751" i="10" s="1"/>
  <c r="O775" i="10"/>
  <c r="AR75" i="10"/>
  <c r="N775" i="10" s="1"/>
  <c r="E203" i="10"/>
  <c r="C475" i="10" s="1"/>
  <c r="B472" i="10"/>
  <c r="S730" i="10"/>
  <c r="B440" i="10"/>
  <c r="B474" i="10"/>
  <c r="H506" i="10"/>
  <c r="F506" i="10"/>
  <c r="H75" i="10"/>
  <c r="N739" i="10" s="1"/>
  <c r="P75" i="10"/>
  <c r="N747" i="10" s="1"/>
  <c r="X75" i="10"/>
  <c r="N755" i="10" s="1"/>
  <c r="AF75" i="10"/>
  <c r="N763" i="10" s="1"/>
  <c r="AN75" i="10"/>
  <c r="N771" i="10" s="1"/>
  <c r="AV75" i="10"/>
  <c r="N779" i="10" s="1"/>
  <c r="H517" i="10"/>
  <c r="H525" i="10"/>
  <c r="F525" i="10"/>
  <c r="H533" i="10"/>
  <c r="F533" i="10"/>
  <c r="E544" i="10"/>
  <c r="M748" i="10"/>
  <c r="I75" i="10"/>
  <c r="N740" i="10" s="1"/>
  <c r="Q75" i="10"/>
  <c r="N748" i="10" s="1"/>
  <c r="Y75" i="10"/>
  <c r="N756" i="10" s="1"/>
  <c r="AG75" i="10"/>
  <c r="N764" i="10" s="1"/>
  <c r="AO75" i="10"/>
  <c r="N772" i="10" s="1"/>
  <c r="CE76" i="10"/>
  <c r="AM722" i="10"/>
  <c r="E202" i="10"/>
  <c r="C474" i="10" s="1"/>
  <c r="C217" i="10"/>
  <c r="D433" i="10" s="1"/>
  <c r="F513" i="10"/>
  <c r="F518" i="10"/>
  <c r="CE60" i="10"/>
  <c r="CE61" i="10"/>
  <c r="AN48" i="10" s="1"/>
  <c r="AN62" i="10" s="1"/>
  <c r="CE63" i="10"/>
  <c r="CE64" i="10"/>
  <c r="CE65" i="10"/>
  <c r="CE66" i="10"/>
  <c r="CE68" i="10"/>
  <c r="U813" i="10"/>
  <c r="U815" i="10" s="1"/>
  <c r="C615" i="10"/>
  <c r="C438" i="10"/>
  <c r="J75" i="10"/>
  <c r="N741" i="10" s="1"/>
  <c r="R75" i="10"/>
  <c r="N749" i="10" s="1"/>
  <c r="Z75" i="10"/>
  <c r="N757" i="10" s="1"/>
  <c r="AH75" i="10"/>
  <c r="N765" i="10" s="1"/>
  <c r="AP75" i="10"/>
  <c r="N773" i="10" s="1"/>
  <c r="P815" i="10"/>
  <c r="E142" i="10"/>
  <c r="D464" i="10" s="1"/>
  <c r="D465" i="10" s="1"/>
  <c r="D181" i="10"/>
  <c r="AD722" i="10"/>
  <c r="E199" i="10"/>
  <c r="C472" i="10" s="1"/>
  <c r="D217" i="10"/>
  <c r="H499" i="10"/>
  <c r="F499" i="10"/>
  <c r="C815" i="10"/>
  <c r="D815" i="10"/>
  <c r="F815" i="10"/>
  <c r="G815" i="10"/>
  <c r="H815" i="10"/>
  <c r="I815" i="10"/>
  <c r="K815" i="10"/>
  <c r="L734" i="10"/>
  <c r="L815" i="10" s="1"/>
  <c r="C439" i="10"/>
  <c r="CE69" i="10"/>
  <c r="CE70" i="10"/>
  <c r="CD71" i="10"/>
  <c r="C575" i="10" s="1"/>
  <c r="CE79" i="10"/>
  <c r="E139" i="10"/>
  <c r="C415" i="10" s="1"/>
  <c r="E210" i="10"/>
  <c r="E213" i="10"/>
  <c r="D283" i="10"/>
  <c r="D314" i="10"/>
  <c r="H507" i="10"/>
  <c r="F507" i="10"/>
  <c r="F550" i="10"/>
  <c r="M815" i="10"/>
  <c r="Q816" i="10"/>
  <c r="G612" i="10"/>
  <c r="E211" i="10"/>
  <c r="R730" i="10"/>
  <c r="D275" i="10"/>
  <c r="B471" i="10"/>
  <c r="AC730" i="10"/>
  <c r="D290" i="10"/>
  <c r="I817" i="10"/>
  <c r="BV730" i="10"/>
  <c r="B432" i="10"/>
  <c r="F524" i="10"/>
  <c r="F532" i="10"/>
  <c r="M817" i="10"/>
  <c r="BO730" i="10"/>
  <c r="B444" i="10"/>
  <c r="B475" i="10"/>
  <c r="D173" i="10"/>
  <c r="D428" i="10" s="1"/>
  <c r="BE722" i="10"/>
  <c r="E209" i="10"/>
  <c r="E215" i="10"/>
  <c r="D361" i="10"/>
  <c r="D817" i="10"/>
  <c r="BQ730" i="10"/>
  <c r="Q815" i="10"/>
  <c r="S815" i="10"/>
  <c r="D330" i="10" l="1"/>
  <c r="D339" i="10" s="1"/>
  <c r="C482" i="10" s="1"/>
  <c r="AO48" i="10"/>
  <c r="AO62" i="10" s="1"/>
  <c r="AA48" i="10"/>
  <c r="AA62" i="10" s="1"/>
  <c r="D48" i="10"/>
  <c r="D62" i="10" s="1"/>
  <c r="BH48" i="10"/>
  <c r="BH62" i="10" s="1"/>
  <c r="M48" i="10"/>
  <c r="M62" i="10" s="1"/>
  <c r="E744" i="10" s="1"/>
  <c r="BQ48" i="10"/>
  <c r="BQ62" i="10" s="1"/>
  <c r="E800" i="10" s="1"/>
  <c r="AL48" i="10"/>
  <c r="AL62" i="10" s="1"/>
  <c r="E769" i="10" s="1"/>
  <c r="O48" i="10"/>
  <c r="O62" i="10" s="1"/>
  <c r="BS48" i="10"/>
  <c r="BS62" i="10" s="1"/>
  <c r="E802" i="10" s="1"/>
  <c r="AF48" i="10"/>
  <c r="AF62" i="10" s="1"/>
  <c r="E763" i="10" s="1"/>
  <c r="AQ48" i="10"/>
  <c r="AQ62" i="10" s="1"/>
  <c r="L48" i="10"/>
  <c r="L62" i="10" s="1"/>
  <c r="BP48" i="10"/>
  <c r="BP62" i="10" s="1"/>
  <c r="AK48" i="10"/>
  <c r="AK62" i="10" s="1"/>
  <c r="E768" i="10" s="1"/>
  <c r="BY48" i="10"/>
  <c r="BY62" i="10" s="1"/>
  <c r="E808" i="10" s="1"/>
  <c r="BB48" i="10"/>
  <c r="BB62" i="10" s="1"/>
  <c r="E785" i="10" s="1"/>
  <c r="W48" i="10"/>
  <c r="W62" i="10" s="1"/>
  <c r="E754" i="10" s="1"/>
  <c r="CA48" i="10"/>
  <c r="CA62" i="10" s="1"/>
  <c r="E810" i="10" s="1"/>
  <c r="BD48" i="10"/>
  <c r="BD62" i="10" s="1"/>
  <c r="E787" i="10" s="1"/>
  <c r="C48" i="10"/>
  <c r="AY48" i="10"/>
  <c r="AY62" i="10" s="1"/>
  <c r="E782" i="10" s="1"/>
  <c r="AB48" i="10"/>
  <c r="AB62" i="10" s="1"/>
  <c r="E759" i="10" s="1"/>
  <c r="BX48" i="10"/>
  <c r="BX62" i="10" s="1"/>
  <c r="AS48" i="10"/>
  <c r="AS62" i="10" s="1"/>
  <c r="E776" i="10" s="1"/>
  <c r="V48" i="10"/>
  <c r="V62" i="10" s="1"/>
  <c r="E753" i="10" s="1"/>
  <c r="BJ48" i="10"/>
  <c r="BJ62" i="10" s="1"/>
  <c r="E793" i="10" s="1"/>
  <c r="AM48" i="10"/>
  <c r="AM62" i="10" s="1"/>
  <c r="E770" i="10" s="1"/>
  <c r="H48" i="10"/>
  <c r="H62" i="10" s="1"/>
  <c r="BL48" i="10"/>
  <c r="BL62" i="10" s="1"/>
  <c r="E795" i="10" s="1"/>
  <c r="BU48" i="10"/>
  <c r="BU62" i="10" s="1"/>
  <c r="K48" i="10"/>
  <c r="K62" i="10" s="1"/>
  <c r="E742" i="10" s="1"/>
  <c r="BW48" i="10"/>
  <c r="BW62" i="10" s="1"/>
  <c r="AJ48" i="10"/>
  <c r="AJ62" i="10" s="1"/>
  <c r="E48" i="10"/>
  <c r="E62" i="10" s="1"/>
  <c r="E736" i="10" s="1"/>
  <c r="BA48" i="10"/>
  <c r="BA62" i="10" s="1"/>
  <c r="E784" i="10" s="1"/>
  <c r="AD48" i="10"/>
  <c r="AD62" i="10" s="1"/>
  <c r="E761" i="10" s="1"/>
  <c r="G48" i="10"/>
  <c r="G62" i="10" s="1"/>
  <c r="AU48" i="10"/>
  <c r="AU62" i="10" s="1"/>
  <c r="E778" i="10" s="1"/>
  <c r="X48" i="10"/>
  <c r="X62" i="10" s="1"/>
  <c r="BT48" i="10"/>
  <c r="BT62" i="10" s="1"/>
  <c r="E806" i="10"/>
  <c r="E803" i="10"/>
  <c r="E772" i="10"/>
  <c r="E743" i="10"/>
  <c r="E739" i="10"/>
  <c r="E755" i="10"/>
  <c r="E774" i="10"/>
  <c r="E738" i="10"/>
  <c r="E758" i="10"/>
  <c r="E791" i="10"/>
  <c r="E746" i="10"/>
  <c r="E771" i="10"/>
  <c r="E807" i="10"/>
  <c r="N734" i="10"/>
  <c r="N815" i="10" s="1"/>
  <c r="CE75" i="10"/>
  <c r="K816" i="10"/>
  <c r="C434" i="10"/>
  <c r="T816" i="10"/>
  <c r="L612" i="10"/>
  <c r="E217" i="10"/>
  <c r="C478" i="10" s="1"/>
  <c r="I816" i="10"/>
  <c r="C432" i="10"/>
  <c r="E432" i="10" s="1"/>
  <c r="R816" i="10"/>
  <c r="I612" i="10"/>
  <c r="AI48" i="10"/>
  <c r="AI62" i="10" s="1"/>
  <c r="T48" i="10"/>
  <c r="T62" i="10" s="1"/>
  <c r="S48" i="10"/>
  <c r="S62" i="10" s="1"/>
  <c r="BI48" i="10"/>
  <c r="BI62" i="10" s="1"/>
  <c r="AT48" i="10"/>
  <c r="AT62" i="10" s="1"/>
  <c r="AE48" i="10"/>
  <c r="AE62" i="10" s="1"/>
  <c r="P48" i="10"/>
  <c r="P62" i="10" s="1"/>
  <c r="CB48" i="10"/>
  <c r="CB62" i="10" s="1"/>
  <c r="C816" i="10"/>
  <c r="BI730" i="10"/>
  <c r="H612" i="10"/>
  <c r="M816" i="10"/>
  <c r="C458" i="10"/>
  <c r="D277" i="10"/>
  <c r="D292" i="10" s="1"/>
  <c r="D341" i="10" s="1"/>
  <c r="C481" i="10" s="1"/>
  <c r="B476" i="10"/>
  <c r="L816" i="10"/>
  <c r="C440" i="10"/>
  <c r="D435" i="10"/>
  <c r="D438" i="10"/>
  <c r="F816" i="10"/>
  <c r="C429" i="10"/>
  <c r="I48" i="10"/>
  <c r="I62" i="10" s="1"/>
  <c r="BG48" i="10"/>
  <c r="BG62" i="10" s="1"/>
  <c r="AR48" i="10"/>
  <c r="AR62" i="10" s="1"/>
  <c r="U48" i="10"/>
  <c r="U62" i="10" s="1"/>
  <c r="F48" i="10"/>
  <c r="F62" i="10" s="1"/>
  <c r="BR48" i="10"/>
  <c r="BR62" i="10" s="1"/>
  <c r="BC48" i="10"/>
  <c r="BC62" i="10" s="1"/>
  <c r="N817" i="10"/>
  <c r="D368" i="10"/>
  <c r="D373" i="10" s="1"/>
  <c r="D391" i="10" s="1"/>
  <c r="D393" i="10" s="1"/>
  <c r="D396" i="10" s="1"/>
  <c r="B465" i="10"/>
  <c r="H816" i="10"/>
  <c r="C431" i="10"/>
  <c r="E767" i="10"/>
  <c r="E204" i="10"/>
  <c r="C476" i="10" s="1"/>
  <c r="G816" i="10"/>
  <c r="F612" i="10"/>
  <c r="C430" i="10"/>
  <c r="D816" i="10"/>
  <c r="C427" i="10"/>
  <c r="AH48" i="10"/>
  <c r="AH62" i="10" s="1"/>
  <c r="BM48" i="10"/>
  <c r="BM62" i="10" s="1"/>
  <c r="Z48" i="10"/>
  <c r="Z62" i="10" s="1"/>
  <c r="J48" i="10"/>
  <c r="J62" i="10" s="1"/>
  <c r="BV48" i="10"/>
  <c r="BV62" i="10" s="1"/>
  <c r="AP48" i="10"/>
  <c r="AP62" i="10" s="1"/>
  <c r="BE48" i="10"/>
  <c r="BE62" i="10" s="1"/>
  <c r="Y48" i="10"/>
  <c r="Y62" i="10" s="1"/>
  <c r="AX48" i="10"/>
  <c r="AX62" i="10" s="1"/>
  <c r="R48" i="10"/>
  <c r="R62" i="10" s="1"/>
  <c r="CC48" i="10"/>
  <c r="CC62" i="10" s="1"/>
  <c r="AW48" i="10"/>
  <c r="AW62" i="10" s="1"/>
  <c r="Q48" i="10"/>
  <c r="Q62" i="10" s="1"/>
  <c r="AG48" i="10"/>
  <c r="AG62" i="10" s="1"/>
  <c r="BF48" i="10"/>
  <c r="BF62" i="10" s="1"/>
  <c r="P816" i="10"/>
  <c r="CF76" i="10"/>
  <c r="Z52" i="10" s="1"/>
  <c r="Z67" i="10" s="1"/>
  <c r="J757" i="10" s="1"/>
  <c r="D612" i="10"/>
  <c r="O816" i="10"/>
  <c r="C463" i="10"/>
  <c r="BN48" i="10"/>
  <c r="BN62" i="10" s="1"/>
  <c r="BO48" i="10"/>
  <c r="BO62" i="10" s="1"/>
  <c r="AZ48" i="10"/>
  <c r="AZ62" i="10" s="1"/>
  <c r="AC48" i="10"/>
  <c r="AC62" i="10" s="1"/>
  <c r="N48" i="10"/>
  <c r="N62" i="10" s="1"/>
  <c r="BZ48" i="10"/>
  <c r="BZ62" i="10" s="1"/>
  <c r="BK48" i="10"/>
  <c r="BK62" i="10" s="1"/>
  <c r="AV48" i="10"/>
  <c r="AV62" i="10" s="1"/>
  <c r="B445" i="10"/>
  <c r="D242" i="10"/>
  <c r="B448" i="10" s="1"/>
  <c r="E799" i="10"/>
  <c r="E735" i="10"/>
  <c r="C62" i="10"/>
  <c r="O815" i="10"/>
  <c r="S816" i="10"/>
  <c r="J612" i="10"/>
  <c r="P52" i="10" l="1"/>
  <c r="P67" i="10" s="1"/>
  <c r="J747" i="10" s="1"/>
  <c r="BV52" i="10"/>
  <c r="BV67" i="10" s="1"/>
  <c r="J805" i="10" s="1"/>
  <c r="X52" i="10"/>
  <c r="X67" i="10" s="1"/>
  <c r="J755" i="10" s="1"/>
  <c r="AN52" i="10"/>
  <c r="AN67" i="10" s="1"/>
  <c r="J771" i="10" s="1"/>
  <c r="BS52" i="10"/>
  <c r="BS67" i="10" s="1"/>
  <c r="J802" i="10" s="1"/>
  <c r="AF52" i="10"/>
  <c r="AF67" i="10" s="1"/>
  <c r="J763" i="10" s="1"/>
  <c r="AV52" i="10"/>
  <c r="AV67" i="10" s="1"/>
  <c r="J779" i="10" s="1"/>
  <c r="CE48" i="10"/>
  <c r="W52" i="10"/>
  <c r="W67" i="10" s="1"/>
  <c r="J754" i="10" s="1"/>
  <c r="AE52" i="10"/>
  <c r="AE67" i="10" s="1"/>
  <c r="J762" i="10" s="1"/>
  <c r="G52" i="10"/>
  <c r="G67" i="10" s="1"/>
  <c r="J738" i="10" s="1"/>
  <c r="AU52" i="10"/>
  <c r="AU67" i="10" s="1"/>
  <c r="O52" i="10"/>
  <c r="O67" i="10" s="1"/>
  <c r="AO52" i="10"/>
  <c r="AO67" i="10" s="1"/>
  <c r="I52" i="10"/>
  <c r="I67" i="10" s="1"/>
  <c r="J740" i="10" s="1"/>
  <c r="AA52" i="10"/>
  <c r="AA67" i="10" s="1"/>
  <c r="BG52" i="10"/>
  <c r="BG67" i="10" s="1"/>
  <c r="J790" i="10" s="1"/>
  <c r="AW52" i="10"/>
  <c r="AW67" i="10" s="1"/>
  <c r="J780" i="10" s="1"/>
  <c r="D52" i="10"/>
  <c r="D67" i="10" s="1"/>
  <c r="AJ52" i="10"/>
  <c r="AJ67" i="10" s="1"/>
  <c r="J767" i="10" s="1"/>
  <c r="BX52" i="10"/>
  <c r="BX67" i="10" s="1"/>
  <c r="J807" i="10" s="1"/>
  <c r="AC52" i="10"/>
  <c r="AC67" i="10" s="1"/>
  <c r="J760" i="10" s="1"/>
  <c r="BQ52" i="10"/>
  <c r="BQ67" i="10" s="1"/>
  <c r="AD52" i="10"/>
  <c r="AD67" i="10" s="1"/>
  <c r="J761" i="10" s="1"/>
  <c r="BJ52" i="10"/>
  <c r="BJ67" i="10" s="1"/>
  <c r="J793" i="10" s="1"/>
  <c r="E804" i="10"/>
  <c r="K52" i="10"/>
  <c r="K67" i="10" s="1"/>
  <c r="J742" i="10" s="1"/>
  <c r="BW52" i="10"/>
  <c r="BW67" i="10" s="1"/>
  <c r="J806" i="10" s="1"/>
  <c r="BH52" i="10"/>
  <c r="BH67" i="10" s="1"/>
  <c r="BA52" i="10"/>
  <c r="BA67" i="10" s="1"/>
  <c r="J784" i="10" s="1"/>
  <c r="AT52" i="10"/>
  <c r="AT67" i="10" s="1"/>
  <c r="J777" i="10" s="1"/>
  <c r="BZ52" i="10"/>
  <c r="BZ67" i="10" s="1"/>
  <c r="J809" i="10" s="1"/>
  <c r="BF52" i="10"/>
  <c r="BF67" i="10" s="1"/>
  <c r="J789" i="10" s="1"/>
  <c r="BC52" i="10"/>
  <c r="BC67" i="10" s="1"/>
  <c r="J786" i="10" s="1"/>
  <c r="BK52" i="10"/>
  <c r="BK67" i="10" s="1"/>
  <c r="J794" i="10" s="1"/>
  <c r="AM52" i="10"/>
  <c r="AM67" i="10" s="1"/>
  <c r="H52" i="10"/>
  <c r="H67" i="10" s="1"/>
  <c r="J739" i="10" s="1"/>
  <c r="CA52" i="10"/>
  <c r="CA67" i="10" s="1"/>
  <c r="J810" i="10" s="1"/>
  <c r="BE52" i="10"/>
  <c r="BE67" i="10" s="1"/>
  <c r="J788" i="10" s="1"/>
  <c r="C52" i="10"/>
  <c r="AI52" i="10"/>
  <c r="AI67" i="10" s="1"/>
  <c r="J766" i="10" s="1"/>
  <c r="BO52" i="10"/>
  <c r="BO67" i="10" s="1"/>
  <c r="J798" i="10" s="1"/>
  <c r="BU52" i="10"/>
  <c r="BU67" i="10" s="1"/>
  <c r="J804" i="10" s="1"/>
  <c r="L52" i="10"/>
  <c r="L67" i="10" s="1"/>
  <c r="J743" i="10" s="1"/>
  <c r="AR52" i="10"/>
  <c r="AR67" i="10" s="1"/>
  <c r="J775" i="10" s="1"/>
  <c r="E52" i="10"/>
  <c r="E67" i="10" s="1"/>
  <c r="AS52" i="10"/>
  <c r="AS67" i="10" s="1"/>
  <c r="J776" i="10" s="1"/>
  <c r="BY52" i="10"/>
  <c r="BY67" i="10" s="1"/>
  <c r="AL52" i="10"/>
  <c r="AL67" i="10" s="1"/>
  <c r="J769" i="10" s="1"/>
  <c r="BR52" i="10"/>
  <c r="BR67" i="10" s="1"/>
  <c r="J801" i="10" s="1"/>
  <c r="X71" i="10"/>
  <c r="BM52" i="10"/>
  <c r="BM67" i="10" s="1"/>
  <c r="J796" i="10" s="1"/>
  <c r="AQ52" i="10"/>
  <c r="AQ67" i="10" s="1"/>
  <c r="T52" i="10"/>
  <c r="T67" i="10" s="1"/>
  <c r="J751" i="10" s="1"/>
  <c r="M52" i="10"/>
  <c r="M67" i="10" s="1"/>
  <c r="J744" i="10" s="1"/>
  <c r="F52" i="10"/>
  <c r="F67" i="10" s="1"/>
  <c r="J737" i="10" s="1"/>
  <c r="CB52" i="10"/>
  <c r="CB67" i="10" s="1"/>
  <c r="J811" i="10" s="1"/>
  <c r="BD52" i="10"/>
  <c r="BD67" i="10" s="1"/>
  <c r="J787" i="10" s="1"/>
  <c r="BL52" i="10"/>
  <c r="BL67" i="10" s="1"/>
  <c r="J795" i="10" s="1"/>
  <c r="BT52" i="10"/>
  <c r="BT67" i="10" s="1"/>
  <c r="J803" i="10" s="1"/>
  <c r="Y52" i="10"/>
  <c r="Y67" i="10" s="1"/>
  <c r="J756" i="10" s="1"/>
  <c r="CC52" i="10"/>
  <c r="CC67" i="10" s="1"/>
  <c r="J812" i="10" s="1"/>
  <c r="S52" i="10"/>
  <c r="S67" i="10" s="1"/>
  <c r="J750" i="10" s="1"/>
  <c r="AY52" i="10"/>
  <c r="AY67" i="10" s="1"/>
  <c r="J782" i="10" s="1"/>
  <c r="Q52" i="10"/>
  <c r="Q67" i="10" s="1"/>
  <c r="J748" i="10" s="1"/>
  <c r="AG52" i="10"/>
  <c r="AG67" i="10" s="1"/>
  <c r="J764" i="10" s="1"/>
  <c r="AB52" i="10"/>
  <c r="AB67" i="10" s="1"/>
  <c r="J759" i="10" s="1"/>
  <c r="BP52" i="10"/>
  <c r="BP67" i="10" s="1"/>
  <c r="U52" i="10"/>
  <c r="U67" i="10" s="1"/>
  <c r="J752" i="10" s="1"/>
  <c r="BI52" i="10"/>
  <c r="BI67" i="10" s="1"/>
  <c r="J792" i="10" s="1"/>
  <c r="N52" i="10"/>
  <c r="N67" i="10" s="1"/>
  <c r="J745" i="10" s="1"/>
  <c r="BB52" i="10"/>
  <c r="BB67" i="10" s="1"/>
  <c r="J785" i="10" s="1"/>
  <c r="BS71" i="10"/>
  <c r="C639" i="10" s="1"/>
  <c r="C67" i="10"/>
  <c r="E748" i="10"/>
  <c r="E747" i="10"/>
  <c r="J800" i="10"/>
  <c r="BQ71" i="10"/>
  <c r="BB71" i="10"/>
  <c r="E780" i="10"/>
  <c r="AW71" i="10"/>
  <c r="E741" i="10"/>
  <c r="E740" i="10"/>
  <c r="I71" i="10"/>
  <c r="E762" i="10"/>
  <c r="J770" i="10"/>
  <c r="AM71" i="10"/>
  <c r="L71" i="10"/>
  <c r="J808" i="10"/>
  <c r="BY71" i="10"/>
  <c r="E777" i="10"/>
  <c r="AT71" i="10"/>
  <c r="E794" i="10"/>
  <c r="BK71" i="10"/>
  <c r="E790" i="10"/>
  <c r="E809" i="10"/>
  <c r="BZ71" i="10"/>
  <c r="AD71" i="10"/>
  <c r="E812" i="10"/>
  <c r="E749" i="10"/>
  <c r="E796" i="10"/>
  <c r="BM71" i="10"/>
  <c r="AJ71" i="10"/>
  <c r="E786" i="10"/>
  <c r="BC71" i="10"/>
  <c r="E792" i="10"/>
  <c r="AF71" i="10"/>
  <c r="AN71" i="10"/>
  <c r="E760" i="10"/>
  <c r="E781" i="10"/>
  <c r="E765" i="10"/>
  <c r="E801" i="10"/>
  <c r="AL71" i="10"/>
  <c r="AY71" i="10"/>
  <c r="E750" i="10"/>
  <c r="S71" i="10"/>
  <c r="W71" i="10"/>
  <c r="G71" i="10"/>
  <c r="BT71" i="10"/>
  <c r="CA71" i="10"/>
  <c r="E805" i="10"/>
  <c r="BV71" i="10"/>
  <c r="C689" i="10"/>
  <c r="C517" i="10"/>
  <c r="G517" i="10" s="1"/>
  <c r="E745" i="10"/>
  <c r="N71" i="10"/>
  <c r="E757" i="10"/>
  <c r="Z71" i="10"/>
  <c r="AS71" i="10"/>
  <c r="J778" i="10"/>
  <c r="AU71" i="10"/>
  <c r="E783" i="10"/>
  <c r="E798" i="10"/>
  <c r="AH52" i="10"/>
  <c r="AH67" i="10" s="1"/>
  <c r="J765" i="10" s="1"/>
  <c r="R52" i="10"/>
  <c r="R67" i="10" s="1"/>
  <c r="J749" i="10" s="1"/>
  <c r="J52" i="10"/>
  <c r="J67" i="10" s="1"/>
  <c r="J741" i="10" s="1"/>
  <c r="AP52" i="10"/>
  <c r="AP67" i="10" s="1"/>
  <c r="J773" i="10" s="1"/>
  <c r="AX52" i="10"/>
  <c r="AX67" i="10" s="1"/>
  <c r="J781" i="10" s="1"/>
  <c r="AZ52" i="10"/>
  <c r="AZ67" i="10" s="1"/>
  <c r="J783" i="10" s="1"/>
  <c r="AK52" i="10"/>
  <c r="AK67" i="10" s="1"/>
  <c r="V52" i="10"/>
  <c r="V67" i="10" s="1"/>
  <c r="E756" i="10"/>
  <c r="E737" i="10"/>
  <c r="F71" i="10"/>
  <c r="BL71" i="10"/>
  <c r="E751" i="10"/>
  <c r="T71" i="10"/>
  <c r="BN52" i="10"/>
  <c r="BN67" i="10" s="1"/>
  <c r="J797" i="10" s="1"/>
  <c r="E797" i="10"/>
  <c r="E788" i="10"/>
  <c r="BE71" i="10"/>
  <c r="E752" i="10"/>
  <c r="E766" i="10"/>
  <c r="N816" i="10"/>
  <c r="C465" i="10"/>
  <c r="K612" i="10"/>
  <c r="AB71" i="10"/>
  <c r="BW71" i="10"/>
  <c r="E789" i="10"/>
  <c r="BF71" i="10"/>
  <c r="E734" i="10"/>
  <c r="CE62" i="10"/>
  <c r="E779" i="10"/>
  <c r="AV71" i="10"/>
  <c r="E764" i="10"/>
  <c r="E773" i="10"/>
  <c r="AP71" i="10"/>
  <c r="E775" i="10"/>
  <c r="E811" i="10"/>
  <c r="M71" i="10"/>
  <c r="K71" i="10"/>
  <c r="U71" i="10" l="1"/>
  <c r="C686" i="10" s="1"/>
  <c r="BN71" i="10"/>
  <c r="Y71" i="10"/>
  <c r="BJ71" i="10"/>
  <c r="BX71" i="10"/>
  <c r="C644" i="10" s="1"/>
  <c r="Q71" i="10"/>
  <c r="CB71" i="10"/>
  <c r="H71" i="10"/>
  <c r="AH71" i="10"/>
  <c r="C699" i="10" s="1"/>
  <c r="C564" i="10"/>
  <c r="BG71" i="10"/>
  <c r="AR71" i="10"/>
  <c r="AI71" i="10"/>
  <c r="C528" i="10" s="1"/>
  <c r="G528" i="10" s="1"/>
  <c r="P71" i="10"/>
  <c r="J736" i="10"/>
  <c r="E71" i="10"/>
  <c r="BD71" i="10"/>
  <c r="C549" i="10" s="1"/>
  <c r="BI71" i="10"/>
  <c r="R71" i="10"/>
  <c r="J774" i="10"/>
  <c r="AQ71" i="10"/>
  <c r="J791" i="10"/>
  <c r="BH71" i="10"/>
  <c r="J746" i="10"/>
  <c r="O71" i="10"/>
  <c r="J772" i="10"/>
  <c r="AO71" i="10"/>
  <c r="AG71" i="10"/>
  <c r="BR71" i="10"/>
  <c r="C626" i="10" s="1"/>
  <c r="CC71" i="10"/>
  <c r="J799" i="10"/>
  <c r="BP71" i="10"/>
  <c r="J758" i="10"/>
  <c r="AA71" i="10"/>
  <c r="BO71" i="10"/>
  <c r="AC71" i="10"/>
  <c r="BA71" i="10"/>
  <c r="C546" i="10" s="1"/>
  <c r="AE71" i="10"/>
  <c r="J735" i="10"/>
  <c r="D71" i="10"/>
  <c r="BU71" i="10"/>
  <c r="C645" i="10"/>
  <c r="C570" i="10"/>
  <c r="C562" i="10"/>
  <c r="C623" i="10"/>
  <c r="C647" i="10"/>
  <c r="C572" i="10"/>
  <c r="C529" i="10"/>
  <c r="G529" i="10" s="1"/>
  <c r="C701" i="10"/>
  <c r="CE52" i="10"/>
  <c r="C637" i="10"/>
  <c r="C557" i="10"/>
  <c r="AZ71" i="10"/>
  <c r="C703" i="10"/>
  <c r="C531" i="10"/>
  <c r="C705" i="10"/>
  <c r="C533" i="10"/>
  <c r="G533" i="10" s="1"/>
  <c r="C638" i="10"/>
  <c r="C558" i="10"/>
  <c r="C677" i="10"/>
  <c r="C505" i="10"/>
  <c r="G505" i="10" s="1"/>
  <c r="J71" i="10"/>
  <c r="C535" i="10"/>
  <c r="C707" i="10"/>
  <c r="E815" i="10"/>
  <c r="C550" i="10"/>
  <c r="C614" i="10"/>
  <c r="C499" i="10"/>
  <c r="G499" i="10" s="1"/>
  <c r="C671" i="10"/>
  <c r="C507" i="10"/>
  <c r="G507" i="10" s="1"/>
  <c r="C679" i="10"/>
  <c r="C640" i="10"/>
  <c r="C565" i="10"/>
  <c r="C697" i="10"/>
  <c r="C525" i="10"/>
  <c r="G525" i="10" s="1"/>
  <c r="C695" i="10"/>
  <c r="C523" i="10"/>
  <c r="C704" i="10"/>
  <c r="C532" i="10"/>
  <c r="J768" i="10"/>
  <c r="AK71" i="10"/>
  <c r="C502" i="10"/>
  <c r="G502" i="10" s="1"/>
  <c r="C674" i="10"/>
  <c r="C709" i="10"/>
  <c r="C537" i="10"/>
  <c r="C544" i="10"/>
  <c r="C625" i="10"/>
  <c r="C551" i="10"/>
  <c r="C629" i="10"/>
  <c r="C673" i="10"/>
  <c r="C501" i="10"/>
  <c r="C634" i="10"/>
  <c r="C554" i="10"/>
  <c r="C646" i="10"/>
  <c r="C571" i="10"/>
  <c r="C681" i="10"/>
  <c r="C509" i="10"/>
  <c r="C518" i="10"/>
  <c r="C690" i="10"/>
  <c r="C569" i="10"/>
  <c r="C678" i="10"/>
  <c r="C506" i="10"/>
  <c r="G506" i="10" s="1"/>
  <c r="C643" i="10"/>
  <c r="C568" i="10"/>
  <c r="C710" i="10"/>
  <c r="C538" i="10"/>
  <c r="G538" i="10" s="1"/>
  <c r="C688" i="10"/>
  <c r="C516" i="10"/>
  <c r="C555" i="10"/>
  <c r="C617" i="10"/>
  <c r="C552" i="10"/>
  <c r="C618" i="10"/>
  <c r="C711" i="10"/>
  <c r="C539" i="10"/>
  <c r="G539" i="10" s="1"/>
  <c r="C696" i="10"/>
  <c r="C524" i="10"/>
  <c r="C632" i="10"/>
  <c r="C547" i="10"/>
  <c r="C510" i="10"/>
  <c r="C682" i="10"/>
  <c r="C685" i="10"/>
  <c r="C513" i="10"/>
  <c r="G513" i="10" s="1"/>
  <c r="C635" i="10"/>
  <c r="C556" i="10"/>
  <c r="J734" i="10"/>
  <c r="CE67" i="10"/>
  <c r="C71" i="10"/>
  <c r="C691" i="10"/>
  <c r="C519" i="10"/>
  <c r="C694" i="10"/>
  <c r="C522" i="10"/>
  <c r="C574" i="10"/>
  <c r="C620" i="10"/>
  <c r="E816" i="10"/>
  <c r="C428" i="10"/>
  <c r="C712" i="10"/>
  <c r="C540" i="10"/>
  <c r="G540" i="10" s="1"/>
  <c r="C683" i="10"/>
  <c r="C511" i="10"/>
  <c r="C631" i="10"/>
  <c r="C542" i="10"/>
  <c r="C504" i="10"/>
  <c r="G504" i="10" s="1"/>
  <c r="C676" i="10"/>
  <c r="C698" i="10"/>
  <c r="C526" i="10"/>
  <c r="C619" i="10"/>
  <c r="C559" i="10"/>
  <c r="C672" i="10"/>
  <c r="C500" i="10"/>
  <c r="G500" i="10" s="1"/>
  <c r="C573" i="10"/>
  <c r="C622" i="10"/>
  <c r="C713" i="10"/>
  <c r="C541" i="10"/>
  <c r="C521" i="10"/>
  <c r="C693" i="10"/>
  <c r="C700" i="10"/>
  <c r="J753" i="10"/>
  <c r="V71" i="10"/>
  <c r="C627" i="10"/>
  <c r="C560" i="10"/>
  <c r="C642" i="10"/>
  <c r="C567" i="10"/>
  <c r="C512" i="10"/>
  <c r="C684" i="10"/>
  <c r="AX71" i="10"/>
  <c r="C633" i="10"/>
  <c r="C548" i="10"/>
  <c r="C527" i="10" l="1"/>
  <c r="G527" i="10" s="1"/>
  <c r="C514" i="10"/>
  <c r="C630" i="10"/>
  <c r="C624" i="10"/>
  <c r="C563" i="10"/>
  <c r="C692" i="10"/>
  <c r="C520" i="10"/>
  <c r="C708" i="10"/>
  <c r="C536" i="10"/>
  <c r="G536" i="10" s="1"/>
  <c r="C669" i="10"/>
  <c r="C497" i="10"/>
  <c r="G497" i="10" s="1"/>
  <c r="C561" i="10"/>
  <c r="C621" i="10"/>
  <c r="C498" i="10"/>
  <c r="C670" i="10"/>
  <c r="C641" i="10"/>
  <c r="C566" i="10"/>
  <c r="C680" i="10"/>
  <c r="C508" i="10"/>
  <c r="G508" i="10" s="1"/>
  <c r="C534" i="10"/>
  <c r="G534" i="10" s="1"/>
  <c r="C706" i="10"/>
  <c r="C553" i="10"/>
  <c r="C636" i="10"/>
  <c r="J815" i="10"/>
  <c r="G518" i="10"/>
  <c r="H518" i="10" s="1"/>
  <c r="J816" i="10"/>
  <c r="C433" i="10"/>
  <c r="C441" i="10" s="1"/>
  <c r="G501" i="10"/>
  <c r="H501" i="10"/>
  <c r="G514" i="10"/>
  <c r="H514" i="10" s="1"/>
  <c r="G532" i="10"/>
  <c r="H532" i="10"/>
  <c r="G511" i="10"/>
  <c r="H511" i="10" s="1"/>
  <c r="G524" i="10"/>
  <c r="H524" i="10"/>
  <c r="H546" i="10"/>
  <c r="G546" i="10"/>
  <c r="G509" i="10"/>
  <c r="H509" i="10" s="1"/>
  <c r="H537" i="10"/>
  <c r="G537" i="10"/>
  <c r="G523" i="10"/>
  <c r="H523" i="10"/>
  <c r="G535" i="10"/>
  <c r="H535" i="10" s="1"/>
  <c r="G531" i="10"/>
  <c r="H531" i="10" s="1"/>
  <c r="G510" i="10"/>
  <c r="H510" i="10" s="1"/>
  <c r="G550" i="10"/>
  <c r="H550" i="10" s="1"/>
  <c r="C675" i="10"/>
  <c r="C503" i="10"/>
  <c r="G526" i="10"/>
  <c r="H526" i="10" s="1"/>
  <c r="G516" i="10"/>
  <c r="H516" i="10" s="1"/>
  <c r="C545" i="10"/>
  <c r="C628" i="10"/>
  <c r="C496" i="10"/>
  <c r="C668" i="10"/>
  <c r="H521" i="10"/>
  <c r="G521" i="10"/>
  <c r="G544" i="10"/>
  <c r="H544" i="10" s="1"/>
  <c r="G512" i="10"/>
  <c r="H512" i="10"/>
  <c r="G522" i="10"/>
  <c r="H522" i="10" s="1"/>
  <c r="C616" i="10"/>
  <c r="C543" i="10"/>
  <c r="G519" i="10"/>
  <c r="H519" i="10"/>
  <c r="C515" i="10"/>
  <c r="C687" i="10"/>
  <c r="CE71" i="10"/>
  <c r="C716" i="10" s="1"/>
  <c r="C702" i="10"/>
  <c r="C530" i="10"/>
  <c r="C648" i="10"/>
  <c r="M716" i="10" s="1"/>
  <c r="Y816" i="10" s="1"/>
  <c r="D615" i="10"/>
  <c r="G498" i="10" l="1"/>
  <c r="H498" i="10" s="1"/>
  <c r="C715" i="10"/>
  <c r="G520" i="10"/>
  <c r="H520" i="10" s="1"/>
  <c r="G515" i="10"/>
  <c r="H515" i="10" s="1"/>
  <c r="G496" i="10"/>
  <c r="H496" i="10" s="1"/>
  <c r="G503" i="10"/>
  <c r="H503" i="10" s="1"/>
  <c r="D708" i="10"/>
  <c r="D700" i="10"/>
  <c r="D692" i="10"/>
  <c r="D713" i="10"/>
  <c r="D705" i="10"/>
  <c r="D697" i="10"/>
  <c r="D710" i="10"/>
  <c r="D702" i="10"/>
  <c r="D716" i="10"/>
  <c r="D707" i="10"/>
  <c r="D699" i="10"/>
  <c r="D691" i="10"/>
  <c r="D712" i="10"/>
  <c r="D696" i="10"/>
  <c r="D686" i="10"/>
  <c r="D678" i="10"/>
  <c r="D670" i="10"/>
  <c r="D647" i="10"/>
  <c r="D646" i="10"/>
  <c r="D645" i="10"/>
  <c r="D709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706" i="10"/>
  <c r="D688" i="10"/>
  <c r="D680" i="10"/>
  <c r="D672" i="10"/>
  <c r="D620" i="10"/>
  <c r="D616" i="10"/>
  <c r="D703" i="10"/>
  <c r="D685" i="10"/>
  <c r="D677" i="10"/>
  <c r="D669" i="10"/>
  <c r="D627" i="10"/>
  <c r="D704" i="10"/>
  <c r="D693" i="10"/>
  <c r="D682" i="10"/>
  <c r="D674" i="10"/>
  <c r="D623" i="10"/>
  <c r="D619" i="10"/>
  <c r="D701" i="10"/>
  <c r="D694" i="10"/>
  <c r="D690" i="10"/>
  <c r="D687" i="10"/>
  <c r="D679" i="10"/>
  <c r="D671" i="10"/>
  <c r="D625" i="10"/>
  <c r="D617" i="10"/>
  <c r="D689" i="10"/>
  <c r="D676" i="10"/>
  <c r="D634" i="10"/>
  <c r="D632" i="10"/>
  <c r="D630" i="10"/>
  <c r="D624" i="10"/>
  <c r="D695" i="10"/>
  <c r="D673" i="10"/>
  <c r="D622" i="10"/>
  <c r="D628" i="10"/>
  <c r="D684" i="10"/>
  <c r="D711" i="10"/>
  <c r="D681" i="10"/>
  <c r="D629" i="10"/>
  <c r="D626" i="10"/>
  <c r="D621" i="10"/>
  <c r="D698" i="10"/>
  <c r="D633" i="10"/>
  <c r="D631" i="10"/>
  <c r="D618" i="10"/>
  <c r="D668" i="10"/>
  <c r="G530" i="10"/>
  <c r="H530" i="10" s="1"/>
  <c r="H545" i="10"/>
  <c r="G545" i="10"/>
  <c r="E623" i="10" l="1"/>
  <c r="E716" i="10" s="1"/>
  <c r="E612" i="10"/>
  <c r="E705" i="10" s="1"/>
  <c r="D715" i="10"/>
  <c r="E646" i="10" l="1"/>
  <c r="E693" i="10"/>
  <c r="E678" i="10"/>
  <c r="E700" i="10"/>
  <c r="E708" i="10"/>
  <c r="E699" i="10"/>
  <c r="E628" i="10"/>
  <c r="E670" i="10"/>
  <c r="E679" i="10"/>
  <c r="E680" i="10"/>
  <c r="E713" i="10"/>
  <c r="E645" i="10"/>
  <c r="E687" i="10"/>
  <c r="E643" i="10"/>
  <c r="E688" i="10"/>
  <c r="E644" i="10"/>
  <c r="E707" i="10"/>
  <c r="E637" i="10"/>
  <c r="E626" i="10"/>
  <c r="E673" i="10"/>
  <c r="E668" i="10"/>
  <c r="E690" i="10"/>
  <c r="E627" i="10"/>
  <c r="E706" i="10"/>
  <c r="E675" i="10"/>
  <c r="E635" i="10"/>
  <c r="E629" i="10"/>
  <c r="E695" i="10"/>
  <c r="E676" i="10"/>
  <c r="E691" i="10"/>
  <c r="E669" i="10"/>
  <c r="E638" i="10"/>
  <c r="E683" i="10"/>
  <c r="E694" i="10"/>
  <c r="E681" i="10"/>
  <c r="E639" i="10"/>
  <c r="E686" i="10"/>
  <c r="E711" i="10"/>
  <c r="E630" i="10"/>
  <c r="E698" i="10"/>
  <c r="E701" i="10"/>
  <c r="E685" i="10"/>
  <c r="E640" i="10"/>
  <c r="E696" i="10"/>
  <c r="E710" i="10"/>
  <c r="E689" i="10"/>
  <c r="E624" i="10"/>
  <c r="E692" i="10"/>
  <c r="E677" i="10"/>
  <c r="E702" i="10"/>
  <c r="E631" i="10"/>
  <c r="E636" i="10"/>
  <c r="E632" i="10"/>
  <c r="E625" i="10"/>
  <c r="E674" i="10"/>
  <c r="E703" i="10"/>
  <c r="E641" i="10"/>
  <c r="E704" i="10"/>
  <c r="E697" i="10"/>
  <c r="E684" i="10"/>
  <c r="E709" i="10"/>
  <c r="E633" i="10"/>
  <c r="E647" i="10"/>
  <c r="E634" i="10"/>
  <c r="E671" i="10"/>
  <c r="E682" i="10"/>
  <c r="E672" i="10"/>
  <c r="E642" i="10"/>
  <c r="E712" i="10"/>
  <c r="E715" i="10" l="1"/>
  <c r="F624" i="10"/>
  <c r="F710" i="10" l="1"/>
  <c r="F702" i="10"/>
  <c r="F694" i="10"/>
  <c r="F716" i="10"/>
  <c r="F707" i="10"/>
  <c r="F699" i="10"/>
  <c r="F712" i="10"/>
  <c r="F704" i="10"/>
  <c r="F696" i="10"/>
  <c r="F709" i="10"/>
  <c r="F701" i="10"/>
  <c r="F693" i="10"/>
  <c r="F706" i="10"/>
  <c r="F688" i="10"/>
  <c r="F680" i="10"/>
  <c r="F672" i="10"/>
  <c r="F703" i="10"/>
  <c r="F685" i="10"/>
  <c r="F677" i="10"/>
  <c r="F669" i="10"/>
  <c r="F700" i="10"/>
  <c r="F682" i="10"/>
  <c r="F674" i="10"/>
  <c r="F713" i="10"/>
  <c r="F697" i="10"/>
  <c r="F692" i="10"/>
  <c r="F691" i="10"/>
  <c r="F690" i="10"/>
  <c r="F687" i="10"/>
  <c r="F679" i="10"/>
  <c r="F671" i="10"/>
  <c r="F625" i="10"/>
  <c r="F698" i="10"/>
  <c r="F684" i="10"/>
  <c r="F676" i="10"/>
  <c r="F668" i="10"/>
  <c r="F628" i="10"/>
  <c r="F711" i="10"/>
  <c r="F695" i="10"/>
  <c r="F689" i="10"/>
  <c r="F681" i="10"/>
  <c r="F673" i="10"/>
  <c r="F644" i="10"/>
  <c r="F640" i="10"/>
  <c r="F641" i="10"/>
  <c r="F670" i="10"/>
  <c r="F647" i="10"/>
  <c r="F636" i="10"/>
  <c r="F627" i="10"/>
  <c r="F683" i="10"/>
  <c r="F643" i="10"/>
  <c r="F639" i="10"/>
  <c r="F629" i="10"/>
  <c r="F626" i="10"/>
  <c r="F678" i="10"/>
  <c r="F646" i="10"/>
  <c r="F633" i="10"/>
  <c r="F631" i="10"/>
  <c r="F705" i="10"/>
  <c r="F675" i="10"/>
  <c r="F642" i="10"/>
  <c r="F638" i="10"/>
  <c r="F635" i="10"/>
  <c r="F686" i="10"/>
  <c r="F645" i="10"/>
  <c r="F637" i="10"/>
  <c r="F634" i="10"/>
  <c r="F708" i="10"/>
  <c r="F632" i="10"/>
  <c r="F630" i="10"/>
  <c r="F715" i="10" l="1"/>
  <c r="G625" i="10"/>
  <c r="G716" i="10" l="1"/>
  <c r="G707" i="10"/>
  <c r="G699" i="10"/>
  <c r="G691" i="10"/>
  <c r="G712" i="10"/>
  <c r="G704" i="10"/>
  <c r="G696" i="10"/>
  <c r="G709" i="10"/>
  <c r="G701" i="10"/>
  <c r="G706" i="10"/>
  <c r="G698" i="10"/>
  <c r="G690" i="10"/>
  <c r="G703" i="10"/>
  <c r="G685" i="10"/>
  <c r="G677" i="10"/>
  <c r="G669" i="10"/>
  <c r="G700" i="10"/>
  <c r="G682" i="10"/>
  <c r="G674" i="10"/>
  <c r="G713" i="10"/>
  <c r="G697" i="10"/>
  <c r="G693" i="10"/>
  <c r="G692" i="10"/>
  <c r="G687" i="10"/>
  <c r="G679" i="10"/>
  <c r="G671" i="10"/>
  <c r="G710" i="10"/>
  <c r="G684" i="10"/>
  <c r="G676" i="10"/>
  <c r="G668" i="10"/>
  <c r="G628" i="10"/>
  <c r="H628" i="10" s="1"/>
  <c r="G711" i="10"/>
  <c r="G695" i="10"/>
  <c r="G694" i="10"/>
  <c r="G689" i="10"/>
  <c r="G681" i="10"/>
  <c r="G673" i="10"/>
  <c r="G708" i="10"/>
  <c r="G686" i="10"/>
  <c r="G678" i="10"/>
  <c r="G670" i="10"/>
  <c r="G647" i="10"/>
  <c r="G646" i="10"/>
  <c r="G645" i="10"/>
  <c r="G629" i="10"/>
  <c r="G626" i="10"/>
  <c r="G702" i="10"/>
  <c r="G688" i="10"/>
  <c r="G636" i="10"/>
  <c r="G627" i="10"/>
  <c r="G643" i="10"/>
  <c r="G639" i="10"/>
  <c r="G630" i="10"/>
  <c r="G633" i="10"/>
  <c r="G631" i="10"/>
  <c r="G705" i="10"/>
  <c r="G675" i="10"/>
  <c r="G642" i="10"/>
  <c r="G638" i="10"/>
  <c r="G635" i="10"/>
  <c r="G632" i="10"/>
  <c r="G672" i="10"/>
  <c r="G634" i="10"/>
  <c r="G683" i="10"/>
  <c r="G641" i="10"/>
  <c r="G637" i="10"/>
  <c r="G680" i="10"/>
  <c r="G644" i="10"/>
  <c r="G640" i="10"/>
  <c r="G715" i="10" l="1"/>
  <c r="H712" i="10"/>
  <c r="H704" i="10"/>
  <c r="H696" i="10"/>
  <c r="H709" i="10"/>
  <c r="H701" i="10"/>
  <c r="H693" i="10"/>
  <c r="H706" i="10"/>
  <c r="H698" i="10"/>
  <c r="H711" i="10"/>
  <c r="H703" i="10"/>
  <c r="H695" i="10"/>
  <c r="H700" i="10"/>
  <c r="H682" i="10"/>
  <c r="H674" i="10"/>
  <c r="H713" i="10"/>
  <c r="H697" i="10"/>
  <c r="H692" i="10"/>
  <c r="H687" i="10"/>
  <c r="H679" i="10"/>
  <c r="H671" i="10"/>
  <c r="H710" i="10"/>
  <c r="H691" i="10"/>
  <c r="H690" i="10"/>
  <c r="H684" i="10"/>
  <c r="H676" i="10"/>
  <c r="H668" i="10"/>
  <c r="H707" i="10"/>
  <c r="H694" i="10"/>
  <c r="H689" i="10"/>
  <c r="H681" i="10"/>
  <c r="H673" i="10"/>
  <c r="H708" i="10"/>
  <c r="H686" i="10"/>
  <c r="H678" i="10"/>
  <c r="H670" i="10"/>
  <c r="H647" i="10"/>
  <c r="H646" i="10"/>
  <c r="H645" i="10"/>
  <c r="H629" i="10"/>
  <c r="H705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5" i="10"/>
  <c r="H677" i="10"/>
  <c r="H672" i="10"/>
  <c r="H716" i="10"/>
  <c r="H699" i="10"/>
  <c r="H669" i="10"/>
  <c r="H680" i="10"/>
  <c r="H688" i="10"/>
  <c r="H702" i="10"/>
  <c r="H715" i="10" l="1"/>
  <c r="I629" i="10"/>
  <c r="I709" i="10" l="1"/>
  <c r="I701" i="10"/>
  <c r="I693" i="10"/>
  <c r="I706" i="10"/>
  <c r="I698" i="10"/>
  <c r="I711" i="10"/>
  <c r="I703" i="10"/>
  <c r="I695" i="10"/>
  <c r="I708" i="10"/>
  <c r="I700" i="10"/>
  <c r="I692" i="10"/>
  <c r="I713" i="10"/>
  <c r="I697" i="10"/>
  <c r="I687" i="10"/>
  <c r="I679" i="10"/>
  <c r="I671" i="10"/>
  <c r="I710" i="10"/>
  <c r="I691" i="10"/>
  <c r="I690" i="10"/>
  <c r="I684" i="10"/>
  <c r="I676" i="10"/>
  <c r="I668" i="10"/>
  <c r="I707" i="10"/>
  <c r="I694" i="10"/>
  <c r="I689" i="10"/>
  <c r="I681" i="10"/>
  <c r="I673" i="10"/>
  <c r="I704" i="10"/>
  <c r="I686" i="10"/>
  <c r="I678" i="10"/>
  <c r="I670" i="10"/>
  <c r="I647" i="10"/>
  <c r="I646" i="10"/>
  <c r="I645" i="10"/>
  <c r="I705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2" i="10"/>
  <c r="I688" i="10"/>
  <c r="I680" i="10"/>
  <c r="I672" i="10"/>
  <c r="I696" i="10"/>
  <c r="I682" i="10"/>
  <c r="I712" i="10"/>
  <c r="I699" i="10"/>
  <c r="I669" i="10"/>
  <c r="I674" i="10"/>
  <c r="I716" i="10"/>
  <c r="I677" i="10"/>
  <c r="I685" i="10"/>
  <c r="I715" i="10" l="1"/>
  <c r="J630" i="10"/>
  <c r="J706" i="10" l="1"/>
  <c r="J698" i="10"/>
  <c r="J690" i="10"/>
  <c r="J711" i="10"/>
  <c r="J703" i="10"/>
  <c r="J695" i="10"/>
  <c r="J708" i="10"/>
  <c r="J700" i="10"/>
  <c r="J713" i="10"/>
  <c r="J705" i="10"/>
  <c r="J697" i="10"/>
  <c r="J689" i="10"/>
  <c r="J710" i="10"/>
  <c r="J692" i="10"/>
  <c r="J691" i="10"/>
  <c r="J684" i="10"/>
  <c r="J676" i="10"/>
  <c r="J668" i="10"/>
  <c r="J707" i="10"/>
  <c r="J694" i="10"/>
  <c r="J693" i="10"/>
  <c r="J681" i="10"/>
  <c r="J673" i="10"/>
  <c r="J704" i="10"/>
  <c r="J686" i="10"/>
  <c r="J678" i="10"/>
  <c r="J670" i="10"/>
  <c r="J647" i="10"/>
  <c r="J646" i="10"/>
  <c r="J645" i="10"/>
  <c r="J70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2" i="10"/>
  <c r="J688" i="10"/>
  <c r="J680" i="10"/>
  <c r="J672" i="10"/>
  <c r="J716" i="10"/>
  <c r="J699" i="10"/>
  <c r="J685" i="10"/>
  <c r="J677" i="10"/>
  <c r="J669" i="10"/>
  <c r="J679" i="10"/>
  <c r="J712" i="10"/>
  <c r="J687" i="10"/>
  <c r="J709" i="10"/>
  <c r="J671" i="10"/>
  <c r="J674" i="10"/>
  <c r="J682" i="10"/>
  <c r="J696" i="10"/>
  <c r="J715" i="10" l="1"/>
  <c r="L647" i="10"/>
  <c r="K644" i="10"/>
  <c r="K711" i="10" l="1"/>
  <c r="K703" i="10"/>
  <c r="K695" i="10"/>
  <c r="K708" i="10"/>
  <c r="K700" i="10"/>
  <c r="K713" i="10"/>
  <c r="K705" i="10"/>
  <c r="K697" i="10"/>
  <c r="K710" i="10"/>
  <c r="K702" i="10"/>
  <c r="K694" i="10"/>
  <c r="K707" i="10"/>
  <c r="K693" i="10"/>
  <c r="K690" i="10"/>
  <c r="K681" i="10"/>
  <c r="K673" i="10"/>
  <c r="K704" i="10"/>
  <c r="K689" i="10"/>
  <c r="K686" i="10"/>
  <c r="K678" i="10"/>
  <c r="K670" i="10"/>
  <c r="K701" i="10"/>
  <c r="K683" i="10"/>
  <c r="K675" i="10"/>
  <c r="K698" i="10"/>
  <c r="K688" i="10"/>
  <c r="K680" i="10"/>
  <c r="K672" i="10"/>
  <c r="K716" i="10"/>
  <c r="K699" i="10"/>
  <c r="K685" i="10"/>
  <c r="K677" i="10"/>
  <c r="K669" i="10"/>
  <c r="K712" i="10"/>
  <c r="K696" i="10"/>
  <c r="K682" i="10"/>
  <c r="K674" i="10"/>
  <c r="K691" i="10"/>
  <c r="K676" i="10"/>
  <c r="K687" i="10"/>
  <c r="K706" i="10"/>
  <c r="K684" i="10"/>
  <c r="K692" i="10"/>
  <c r="K668" i="10"/>
  <c r="K709" i="10"/>
  <c r="K671" i="10"/>
  <c r="K679" i="10"/>
  <c r="L708" i="10"/>
  <c r="M708" i="10" s="1"/>
  <c r="Y774" i="10" s="1"/>
  <c r="L700" i="10"/>
  <c r="M700" i="10" s="1"/>
  <c r="Y766" i="10" s="1"/>
  <c r="L692" i="10"/>
  <c r="L713" i="10"/>
  <c r="M713" i="10" s="1"/>
  <c r="Y779" i="10" s="1"/>
  <c r="L705" i="10"/>
  <c r="L697" i="10"/>
  <c r="L710" i="10"/>
  <c r="L702" i="10"/>
  <c r="M702" i="10" s="1"/>
  <c r="Y768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704" i="10"/>
  <c r="L694" i="10"/>
  <c r="L689" i="10"/>
  <c r="M689" i="10" s="1"/>
  <c r="Y755" i="10" s="1"/>
  <c r="L686" i="10"/>
  <c r="M686" i="10" s="1"/>
  <c r="Y752" i="10" s="1"/>
  <c r="L678" i="10"/>
  <c r="M678" i="10" s="1"/>
  <c r="Y744" i="10" s="1"/>
  <c r="L670" i="10"/>
  <c r="M670" i="10" s="1"/>
  <c r="Y736" i="10" s="1"/>
  <c r="L701" i="10"/>
  <c r="M701" i="10" s="1"/>
  <c r="Y767" i="10" s="1"/>
  <c r="L683" i="10"/>
  <c r="M683" i="10" s="1"/>
  <c r="Y749" i="10" s="1"/>
  <c r="L675" i="10"/>
  <c r="L698" i="10"/>
  <c r="M698" i="10" s="1"/>
  <c r="Y764" i="10" s="1"/>
  <c r="L688" i="10"/>
  <c r="M688" i="10" s="1"/>
  <c r="Y754" i="10" s="1"/>
  <c r="L680" i="10"/>
  <c r="M680" i="10" s="1"/>
  <c r="Y746" i="10" s="1"/>
  <c r="L672" i="10"/>
  <c r="M672" i="10" s="1"/>
  <c r="Y738" i="10" s="1"/>
  <c r="L711" i="10"/>
  <c r="M711" i="10" s="1"/>
  <c r="Y777" i="10" s="1"/>
  <c r="L695" i="10"/>
  <c r="L685" i="10"/>
  <c r="M685" i="10" s="1"/>
  <c r="Y751" i="10" s="1"/>
  <c r="L677" i="10"/>
  <c r="L669" i="10"/>
  <c r="M669" i="10" s="1"/>
  <c r="Y735" i="10" s="1"/>
  <c r="L712" i="10"/>
  <c r="M712" i="10" s="1"/>
  <c r="Y778" i="10" s="1"/>
  <c r="L696" i="10"/>
  <c r="M696" i="10" s="1"/>
  <c r="Y762" i="10" s="1"/>
  <c r="L682" i="10"/>
  <c r="M682" i="10" s="1"/>
  <c r="Y748" i="10" s="1"/>
  <c r="L674" i="10"/>
  <c r="M674" i="10" s="1"/>
  <c r="Y740" i="10" s="1"/>
  <c r="L709" i="10"/>
  <c r="L687" i="10"/>
  <c r="L679" i="10"/>
  <c r="L671" i="10"/>
  <c r="M671" i="10" s="1"/>
  <c r="Y737" i="10" s="1"/>
  <c r="L673" i="10"/>
  <c r="L706" i="10"/>
  <c r="L684" i="10"/>
  <c r="M684" i="10" s="1"/>
  <c r="Y750" i="10" s="1"/>
  <c r="L703" i="10"/>
  <c r="M703" i="10" s="1"/>
  <c r="Y769" i="10" s="1"/>
  <c r="L690" i="10"/>
  <c r="M690" i="10" s="1"/>
  <c r="Y756" i="10" s="1"/>
  <c r="L681" i="10"/>
  <c r="M681" i="10" s="1"/>
  <c r="Y747" i="10" s="1"/>
  <c r="L693" i="10"/>
  <c r="L668" i="10"/>
  <c r="L676" i="10"/>
  <c r="M693" i="10" l="1"/>
  <c r="Y759" i="10" s="1"/>
  <c r="M704" i="10"/>
  <c r="Y770" i="10" s="1"/>
  <c r="M706" i="10"/>
  <c r="Y772" i="10" s="1"/>
  <c r="M709" i="10"/>
  <c r="Y775" i="10" s="1"/>
  <c r="M710" i="10"/>
  <c r="Y776" i="10" s="1"/>
  <c r="M679" i="10"/>
  <c r="Y745" i="10" s="1"/>
  <c r="M705" i="10"/>
  <c r="Y771" i="10" s="1"/>
  <c r="M695" i="10"/>
  <c r="Y761" i="10" s="1"/>
  <c r="M692" i="10"/>
  <c r="Y758" i="10" s="1"/>
  <c r="M676" i="10"/>
  <c r="Y742" i="10" s="1"/>
  <c r="M694" i="10"/>
  <c r="Y760" i="10" s="1"/>
  <c r="M673" i="10"/>
  <c r="Y739" i="10" s="1"/>
  <c r="L715" i="10"/>
  <c r="M668" i="10"/>
  <c r="M697" i="10"/>
  <c r="Y763" i="10" s="1"/>
  <c r="M677" i="10"/>
  <c r="Y743" i="10" s="1"/>
  <c r="M675" i="10"/>
  <c r="Y741" i="10" s="1"/>
  <c r="K715" i="10"/>
  <c r="M687" i="10"/>
  <c r="Y753" i="10" s="1"/>
  <c r="Y734" i="10" l="1"/>
  <c r="Y815" i="10" s="1"/>
  <c r="M715" i="10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S48" i="1" s="1"/>
  <c r="AS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N769" i="1" s="1"/>
  <c r="AK75" i="1"/>
  <c r="I154" i="9" s="1"/>
  <c r="AG75" i="1"/>
  <c r="E154" i="9" s="1"/>
  <c r="AE75" i="1"/>
  <c r="C154" i="9" s="1"/>
  <c r="AC75" i="1"/>
  <c r="N760" i="1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F8" i="6" s="1"/>
  <c r="E197" i="1"/>
  <c r="C470" i="1" s="1"/>
  <c r="E198" i="1"/>
  <c r="E199" i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W48" i="1"/>
  <c r="W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64" i="1"/>
  <c r="N777" i="1"/>
  <c r="N739" i="1"/>
  <c r="N745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75" i="1"/>
  <c r="N774" i="1"/>
  <c r="F816" i="1"/>
  <c r="D436" i="1"/>
  <c r="C34" i="5"/>
  <c r="C16" i="8"/>
  <c r="D366" i="9"/>
  <c r="G812" i="1"/>
  <c r="CE64" i="1"/>
  <c r="F612" i="1" s="1"/>
  <c r="D368" i="9"/>
  <c r="I812" i="1"/>
  <c r="C276" i="9"/>
  <c r="CE70" i="1"/>
  <c r="C458" i="1" s="1"/>
  <c r="CE76" i="1"/>
  <c r="CF7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BS48" i="1"/>
  <c r="BS62" i="1" s="1"/>
  <c r="E802" i="1" s="1"/>
  <c r="CD722" i="1"/>
  <c r="CD71" i="1"/>
  <c r="E373" i="9" s="1"/>
  <c r="BU48" i="1"/>
  <c r="BU62" i="1" s="1"/>
  <c r="BO48" i="1"/>
  <c r="BO62" i="1" s="1"/>
  <c r="C615" i="1"/>
  <c r="O816" i="1"/>
  <c r="E372" i="9"/>
  <c r="BB48" i="1"/>
  <c r="BB62" i="1" s="1"/>
  <c r="N48" i="1"/>
  <c r="N62" i="1" s="1"/>
  <c r="C575" i="1"/>
  <c r="F499" i="1"/>
  <c r="F517" i="1"/>
  <c r="H505" i="1"/>
  <c r="F505" i="1"/>
  <c r="H517" i="1"/>
  <c r="F501" i="1"/>
  <c r="F497" i="1"/>
  <c r="H497" i="1"/>
  <c r="H499" i="1"/>
  <c r="D435" i="1" l="1"/>
  <c r="D463" i="1"/>
  <c r="B10" i="4"/>
  <c r="E19" i="4"/>
  <c r="H58" i="9"/>
  <c r="G10" i="4"/>
  <c r="C469" i="1"/>
  <c r="N740" i="1"/>
  <c r="L816" i="1"/>
  <c r="H815" i="1"/>
  <c r="I377" i="9"/>
  <c r="C440" i="1"/>
  <c r="I816" i="1"/>
  <c r="N765" i="1"/>
  <c r="I815" i="1"/>
  <c r="C218" i="9"/>
  <c r="N758" i="1"/>
  <c r="F815" i="1"/>
  <c r="N737" i="1"/>
  <c r="C432" i="1"/>
  <c r="D32" i="6"/>
  <c r="F9" i="6"/>
  <c r="C473" i="1"/>
  <c r="F12" i="6"/>
  <c r="I612" i="1"/>
  <c r="R816" i="1"/>
  <c r="C816" i="1"/>
  <c r="C815" i="1"/>
  <c r="BI730" i="1"/>
  <c r="I362" i="9"/>
  <c r="R815" i="1"/>
  <c r="P815" i="1"/>
  <c r="D612" i="1"/>
  <c r="O52" i="1"/>
  <c r="O67" i="1" s="1"/>
  <c r="J746" i="1" s="1"/>
  <c r="U52" i="1"/>
  <c r="U67" i="1" s="1"/>
  <c r="AE52" i="1"/>
  <c r="AE67" i="1" s="1"/>
  <c r="C145" i="9" s="1"/>
  <c r="AD52" i="1"/>
  <c r="AD67" i="1" s="1"/>
  <c r="AH52" i="1"/>
  <c r="AH67" i="1" s="1"/>
  <c r="F145" i="9" s="1"/>
  <c r="C52" i="1"/>
  <c r="C67" i="1" s="1"/>
  <c r="J734" i="1" s="1"/>
  <c r="BU52" i="1"/>
  <c r="BU67" i="1" s="1"/>
  <c r="J804" i="1" s="1"/>
  <c r="BK52" i="1"/>
  <c r="BK67" i="1" s="1"/>
  <c r="G273" i="9" s="1"/>
  <c r="L52" i="1"/>
  <c r="L67" i="1" s="1"/>
  <c r="E49" i="9" s="1"/>
  <c r="AJ52" i="1"/>
  <c r="AJ67" i="1" s="1"/>
  <c r="BW52" i="1"/>
  <c r="BW67" i="1" s="1"/>
  <c r="J806" i="1" s="1"/>
  <c r="CA52" i="1"/>
  <c r="CA67" i="1" s="1"/>
  <c r="J810" i="1" s="1"/>
  <c r="X52" i="1"/>
  <c r="X67" i="1" s="1"/>
  <c r="W52" i="1"/>
  <c r="W67" i="1" s="1"/>
  <c r="W71" i="1" s="1"/>
  <c r="BI52" i="1"/>
  <c r="BI67" i="1" s="1"/>
  <c r="E273" i="9" s="1"/>
  <c r="BH52" i="1"/>
  <c r="BH67" i="1" s="1"/>
  <c r="J791" i="1" s="1"/>
  <c r="J52" i="1"/>
  <c r="J67" i="1" s="1"/>
  <c r="J741" i="1" s="1"/>
  <c r="AV52" i="1"/>
  <c r="AV67" i="1" s="1"/>
  <c r="AB52" i="1"/>
  <c r="AB67" i="1" s="1"/>
  <c r="J759" i="1" s="1"/>
  <c r="AL52" i="1"/>
  <c r="AL67" i="1" s="1"/>
  <c r="R52" i="1"/>
  <c r="R67" i="1" s="1"/>
  <c r="D81" i="9" s="1"/>
  <c r="AU52" i="1"/>
  <c r="AU67" i="1" s="1"/>
  <c r="E209" i="9" s="1"/>
  <c r="N52" i="1"/>
  <c r="N67" i="1" s="1"/>
  <c r="J745" i="1" s="1"/>
  <c r="P52" i="1"/>
  <c r="P67" i="1" s="1"/>
  <c r="I49" i="9" s="1"/>
  <c r="BB52" i="1"/>
  <c r="BB67" i="1" s="1"/>
  <c r="E241" i="9" s="1"/>
  <c r="E52" i="1"/>
  <c r="E67" i="1" s="1"/>
  <c r="J736" i="1" s="1"/>
  <c r="BG52" i="1"/>
  <c r="BG67" i="1" s="1"/>
  <c r="AN52" i="1"/>
  <c r="AN67" i="1" s="1"/>
  <c r="J771" i="1" s="1"/>
  <c r="BL52" i="1"/>
  <c r="BL67" i="1" s="1"/>
  <c r="J795" i="1" s="1"/>
  <c r="AP52" i="1"/>
  <c r="AP67" i="1" s="1"/>
  <c r="J773" i="1" s="1"/>
  <c r="BS52" i="1"/>
  <c r="BS67" i="1" s="1"/>
  <c r="J802" i="1" s="1"/>
  <c r="P816" i="1"/>
  <c r="AS52" i="1"/>
  <c r="AS67" i="1" s="1"/>
  <c r="AS71" i="1" s="1"/>
  <c r="C538" i="1" s="1"/>
  <c r="G538" i="1" s="1"/>
  <c r="Y52" i="1"/>
  <c r="Y67" i="1" s="1"/>
  <c r="AZ52" i="1"/>
  <c r="AZ67" i="1" s="1"/>
  <c r="Q52" i="1"/>
  <c r="Q67" i="1" s="1"/>
  <c r="J748" i="1" s="1"/>
  <c r="BP52" i="1"/>
  <c r="BP67" i="1" s="1"/>
  <c r="E305" i="9" s="1"/>
  <c r="AC52" i="1"/>
  <c r="AC67" i="1" s="1"/>
  <c r="H113" i="9" s="1"/>
  <c r="BX52" i="1"/>
  <c r="BX67" i="1" s="1"/>
  <c r="F337" i="9" s="1"/>
  <c r="CC52" i="1"/>
  <c r="CC67" i="1" s="1"/>
  <c r="J812" i="1" s="1"/>
  <c r="Z52" i="1"/>
  <c r="Z67" i="1" s="1"/>
  <c r="J757" i="1" s="1"/>
  <c r="V52" i="1"/>
  <c r="V67" i="1" s="1"/>
  <c r="J753" i="1" s="1"/>
  <c r="K52" i="1"/>
  <c r="K67" i="1" s="1"/>
  <c r="J742" i="1" s="1"/>
  <c r="AO52" i="1"/>
  <c r="AO67" i="1" s="1"/>
  <c r="F177" i="9" s="1"/>
  <c r="BC52" i="1"/>
  <c r="BC67" i="1" s="1"/>
  <c r="F241" i="9" s="1"/>
  <c r="I380" i="9"/>
  <c r="AQ52" i="1"/>
  <c r="AQ67" i="1" s="1"/>
  <c r="AF52" i="1"/>
  <c r="AF67" i="1" s="1"/>
  <c r="D145" i="9" s="1"/>
  <c r="BA52" i="1"/>
  <c r="BA67" i="1" s="1"/>
  <c r="D241" i="9" s="1"/>
  <c r="AR52" i="1"/>
  <c r="AR67" i="1" s="1"/>
  <c r="J775" i="1" s="1"/>
  <c r="BO52" i="1"/>
  <c r="BO67" i="1" s="1"/>
  <c r="I52" i="1"/>
  <c r="I67" i="1" s="1"/>
  <c r="J740" i="1" s="1"/>
  <c r="AG52" i="1"/>
  <c r="AG67" i="1" s="1"/>
  <c r="E145" i="9" s="1"/>
  <c r="BT52" i="1"/>
  <c r="BT67" i="1" s="1"/>
  <c r="J803" i="1" s="1"/>
  <c r="BJ52" i="1"/>
  <c r="BJ67" i="1" s="1"/>
  <c r="J793" i="1" s="1"/>
  <c r="AI52" i="1"/>
  <c r="AI67" i="1" s="1"/>
  <c r="J766" i="1" s="1"/>
  <c r="AT52" i="1"/>
  <c r="AT67" i="1" s="1"/>
  <c r="D209" i="9" s="1"/>
  <c r="S52" i="1"/>
  <c r="S67" i="1" s="1"/>
  <c r="J750" i="1" s="1"/>
  <c r="H52" i="1"/>
  <c r="H67" i="1" s="1"/>
  <c r="BZ52" i="1"/>
  <c r="BZ67" i="1" s="1"/>
  <c r="H337" i="9" s="1"/>
  <c r="N736" i="1"/>
  <c r="N762" i="1"/>
  <c r="N751" i="1"/>
  <c r="N771" i="1"/>
  <c r="N778" i="1"/>
  <c r="G90" i="9"/>
  <c r="H122" i="9"/>
  <c r="D186" i="9"/>
  <c r="N757" i="1"/>
  <c r="I90" i="9"/>
  <c r="N753" i="1"/>
  <c r="N768" i="1"/>
  <c r="N743" i="1"/>
  <c r="C186" i="9"/>
  <c r="I122" i="9"/>
  <c r="N747" i="1"/>
  <c r="N766" i="1"/>
  <c r="G122" i="9"/>
  <c r="N755" i="1"/>
  <c r="N734" i="1"/>
  <c r="K816" i="1"/>
  <c r="C434" i="1"/>
  <c r="I372" i="9"/>
  <c r="M816" i="1"/>
  <c r="G815" i="1"/>
  <c r="I366" i="9"/>
  <c r="G816" i="1"/>
  <c r="C430" i="1"/>
  <c r="AL48" i="1"/>
  <c r="AL62" i="1" s="1"/>
  <c r="E769" i="1" s="1"/>
  <c r="BR48" i="1"/>
  <c r="BR62" i="1" s="1"/>
  <c r="AO48" i="1"/>
  <c r="AO62" i="1" s="1"/>
  <c r="F172" i="9" s="1"/>
  <c r="BA48" i="1"/>
  <c r="BA62" i="1" s="1"/>
  <c r="D236" i="9" s="1"/>
  <c r="X48" i="1"/>
  <c r="X62" i="1" s="1"/>
  <c r="E755" i="1" s="1"/>
  <c r="AV48" i="1"/>
  <c r="AV62" i="1" s="1"/>
  <c r="CA48" i="1"/>
  <c r="CA62" i="1" s="1"/>
  <c r="E810" i="1" s="1"/>
  <c r="AA48" i="1"/>
  <c r="AA62" i="1" s="1"/>
  <c r="F108" i="9" s="1"/>
  <c r="BE48" i="1"/>
  <c r="BE62" i="1" s="1"/>
  <c r="E788" i="1" s="1"/>
  <c r="D815" i="1"/>
  <c r="H300" i="9"/>
  <c r="AF48" i="1"/>
  <c r="AF62" i="1" s="1"/>
  <c r="E763" i="1" s="1"/>
  <c r="BL48" i="1"/>
  <c r="BL62" i="1" s="1"/>
  <c r="E795" i="1" s="1"/>
  <c r="C48" i="1"/>
  <c r="C62" i="1" s="1"/>
  <c r="E734" i="1" s="1"/>
  <c r="CC48" i="1"/>
  <c r="CC62" i="1" s="1"/>
  <c r="E812" i="1" s="1"/>
  <c r="U48" i="1"/>
  <c r="U62" i="1" s="1"/>
  <c r="E752" i="1" s="1"/>
  <c r="L48" i="1"/>
  <c r="L62" i="1" s="1"/>
  <c r="E776" i="1"/>
  <c r="C204" i="9"/>
  <c r="E779" i="1"/>
  <c r="F204" i="9"/>
  <c r="AD48" i="1"/>
  <c r="AD62" i="1" s="1"/>
  <c r="I108" i="9" s="1"/>
  <c r="AN48" i="1"/>
  <c r="AN62" i="1" s="1"/>
  <c r="BJ48" i="1"/>
  <c r="BJ62" i="1" s="1"/>
  <c r="E793" i="1" s="1"/>
  <c r="BT48" i="1"/>
  <c r="BT62" i="1" s="1"/>
  <c r="BG48" i="1"/>
  <c r="BG62" i="1" s="1"/>
  <c r="I48" i="1"/>
  <c r="I62" i="1" s="1"/>
  <c r="BM48" i="1"/>
  <c r="BM62" i="1" s="1"/>
  <c r="AK48" i="1"/>
  <c r="AK62" i="1" s="1"/>
  <c r="AE48" i="1"/>
  <c r="AE62" i="1" s="1"/>
  <c r="D300" i="9"/>
  <c r="E798" i="1"/>
  <c r="C332" i="9"/>
  <c r="E804" i="1"/>
  <c r="BK48" i="1"/>
  <c r="BK62" i="1" s="1"/>
  <c r="P48" i="1"/>
  <c r="P62" i="1" s="1"/>
  <c r="G48" i="1"/>
  <c r="G62" i="1" s="1"/>
  <c r="G12" i="9" s="1"/>
  <c r="O48" i="1"/>
  <c r="O62" i="1" s="1"/>
  <c r="H44" i="9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E782" i="1" s="1"/>
  <c r="K48" i="1"/>
  <c r="K62" i="1" s="1"/>
  <c r="BX48" i="1"/>
  <c r="BX62" i="1" s="1"/>
  <c r="BN48" i="1"/>
  <c r="BN62" i="1" s="1"/>
  <c r="E797" i="1" s="1"/>
  <c r="BH48" i="1"/>
  <c r="BH62" i="1" s="1"/>
  <c r="AX48" i="1"/>
  <c r="AX62" i="1" s="1"/>
  <c r="E781" i="1" s="1"/>
  <c r="AR48" i="1"/>
  <c r="AR62" i="1" s="1"/>
  <c r="AH48" i="1"/>
  <c r="AH62" i="1" s="1"/>
  <c r="Z48" i="1"/>
  <c r="Z62" i="1" s="1"/>
  <c r="F48" i="1"/>
  <c r="F62" i="1" s="1"/>
  <c r="F12" i="9" s="1"/>
  <c r="D816" i="1"/>
  <c r="I363" i="9"/>
  <c r="T48" i="1"/>
  <c r="T62" i="1" s="1"/>
  <c r="H48" i="1"/>
  <c r="H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V48" i="1"/>
  <c r="BV62" i="1" s="1"/>
  <c r="D332" i="9" s="1"/>
  <c r="BP48" i="1"/>
  <c r="BP62" i="1" s="1"/>
  <c r="BF48" i="1"/>
  <c r="BF62" i="1" s="1"/>
  <c r="E789" i="1" s="1"/>
  <c r="AZ48" i="1"/>
  <c r="AZ62" i="1" s="1"/>
  <c r="AP48" i="1"/>
  <c r="AP62" i="1" s="1"/>
  <c r="G172" i="9" s="1"/>
  <c r="AJ48" i="1"/>
  <c r="AJ62" i="1" s="1"/>
  <c r="V48" i="1"/>
  <c r="V62" i="1" s="1"/>
  <c r="H76" i="9" s="1"/>
  <c r="J48" i="1"/>
  <c r="J62" i="1" s="1"/>
  <c r="R48" i="1"/>
  <c r="R62" i="1" s="1"/>
  <c r="AT48" i="1"/>
  <c r="AT62" i="1" s="1"/>
  <c r="BD48" i="1"/>
  <c r="BD62" i="1" s="1"/>
  <c r="BY48" i="1"/>
  <c r="BY62" i="1" s="1"/>
  <c r="G332" i="9" s="1"/>
  <c r="AI48" i="1"/>
  <c r="AI62" i="1" s="1"/>
  <c r="E766" i="1" s="1"/>
  <c r="BW48" i="1"/>
  <c r="BW62" i="1" s="1"/>
  <c r="E48" i="1"/>
  <c r="E62" i="1" s="1"/>
  <c r="E12" i="9" s="1"/>
  <c r="AU48" i="1"/>
  <c r="AU62" i="1" s="1"/>
  <c r="D48" i="1"/>
  <c r="AB48" i="1"/>
  <c r="AB62" i="1" s="1"/>
  <c r="C141" i="8"/>
  <c r="C14" i="5"/>
  <c r="D5" i="7"/>
  <c r="D368" i="1"/>
  <c r="C120" i="8" s="1"/>
  <c r="C448" i="1"/>
  <c r="B445" i="1"/>
  <c r="D330" i="1"/>
  <c r="C86" i="8" s="1"/>
  <c r="I381" i="9"/>
  <c r="CF77" i="1"/>
  <c r="G612" i="1"/>
  <c r="Q815" i="1"/>
  <c r="G28" i="4"/>
  <c r="C417" i="1"/>
  <c r="S815" i="1"/>
  <c r="J799" i="1"/>
  <c r="E761" i="1"/>
  <c r="I236" i="9"/>
  <c r="E805" i="1"/>
  <c r="G44" i="9"/>
  <c r="E745" i="1"/>
  <c r="E236" i="9"/>
  <c r="E785" i="1"/>
  <c r="E801" i="1"/>
  <c r="G300" i="9"/>
  <c r="B446" i="1"/>
  <c r="D242" i="1"/>
  <c r="C418" i="1"/>
  <c r="D438" i="1"/>
  <c r="F14" i="6"/>
  <c r="O815" i="1"/>
  <c r="T815" i="1"/>
  <c r="C471" i="1"/>
  <c r="F10" i="6"/>
  <c r="D26" i="9"/>
  <c r="N735" i="1"/>
  <c r="CE75" i="1"/>
  <c r="E75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AA71" i="1" l="1"/>
  <c r="C692" i="1" s="1"/>
  <c r="D369" i="9"/>
  <c r="C12" i="9"/>
  <c r="D339" i="1"/>
  <c r="C102" i="8" s="1"/>
  <c r="D373" i="1"/>
  <c r="C126" i="8" s="1"/>
  <c r="J778" i="1"/>
  <c r="E738" i="1"/>
  <c r="D140" i="9"/>
  <c r="G140" i="9"/>
  <c r="C172" i="9"/>
  <c r="H236" i="9"/>
  <c r="E784" i="1"/>
  <c r="E808" i="1"/>
  <c r="AV71" i="1"/>
  <c r="C713" i="1" s="1"/>
  <c r="C71" i="1"/>
  <c r="U71" i="1"/>
  <c r="C686" i="1" s="1"/>
  <c r="E753" i="1"/>
  <c r="J765" i="1"/>
  <c r="E113" i="9"/>
  <c r="D49" i="9"/>
  <c r="E177" i="9"/>
  <c r="J772" i="1"/>
  <c r="J763" i="1"/>
  <c r="J747" i="1"/>
  <c r="CE67" i="1"/>
  <c r="J816" i="1" s="1"/>
  <c r="AU71" i="1"/>
  <c r="E213" i="9" s="1"/>
  <c r="Y71" i="1"/>
  <c r="D117" i="9" s="1"/>
  <c r="I81" i="9"/>
  <c r="J760" i="1"/>
  <c r="I305" i="9"/>
  <c r="I177" i="9"/>
  <c r="F209" i="9"/>
  <c r="J809" i="1"/>
  <c r="I337" i="9"/>
  <c r="D273" i="9"/>
  <c r="J794" i="1"/>
  <c r="I17" i="9"/>
  <c r="AF71" i="1"/>
  <c r="D149" i="9" s="1"/>
  <c r="C81" i="9"/>
  <c r="CE52" i="1"/>
  <c r="G145" i="9"/>
  <c r="E81" i="9"/>
  <c r="J764" i="1"/>
  <c r="L71" i="1"/>
  <c r="C505" i="1" s="1"/>
  <c r="G505" i="1" s="1"/>
  <c r="BL71" i="1"/>
  <c r="H277" i="9" s="1"/>
  <c r="X71" i="1"/>
  <c r="C117" i="9" s="1"/>
  <c r="C49" i="9"/>
  <c r="J749" i="1"/>
  <c r="J784" i="1"/>
  <c r="J743" i="1"/>
  <c r="AH71" i="1"/>
  <c r="F149" i="9" s="1"/>
  <c r="J785" i="1"/>
  <c r="H273" i="9"/>
  <c r="BB71" i="1"/>
  <c r="C632" i="1" s="1"/>
  <c r="AT71" i="1"/>
  <c r="C711" i="1" s="1"/>
  <c r="BA71" i="1"/>
  <c r="C546" i="1" s="1"/>
  <c r="G546" i="1" s="1"/>
  <c r="J786" i="1"/>
  <c r="H49" i="9"/>
  <c r="J777" i="1"/>
  <c r="J792" i="1"/>
  <c r="BU71" i="1"/>
  <c r="C641" i="1" s="1"/>
  <c r="BJ71" i="1"/>
  <c r="C555" i="1" s="1"/>
  <c r="H81" i="9"/>
  <c r="J779" i="1"/>
  <c r="E71" i="1"/>
  <c r="C670" i="1" s="1"/>
  <c r="J754" i="1"/>
  <c r="BS71" i="1"/>
  <c r="E17" i="9"/>
  <c r="G177" i="9"/>
  <c r="C17" i="9"/>
  <c r="J798" i="1"/>
  <c r="D305" i="9"/>
  <c r="J762" i="1"/>
  <c r="G113" i="9"/>
  <c r="C337" i="9"/>
  <c r="BW71" i="1"/>
  <c r="E341" i="9" s="1"/>
  <c r="H71" i="1"/>
  <c r="C673" i="1" s="1"/>
  <c r="J807" i="1"/>
  <c r="J769" i="1"/>
  <c r="C177" i="9"/>
  <c r="J761" i="1"/>
  <c r="I113" i="9"/>
  <c r="J790" i="1"/>
  <c r="C273" i="9"/>
  <c r="F273" i="9"/>
  <c r="G49" i="9"/>
  <c r="H305" i="9"/>
  <c r="D113" i="9"/>
  <c r="J756" i="1"/>
  <c r="H145" i="9"/>
  <c r="J767" i="1"/>
  <c r="G81" i="9"/>
  <c r="J752" i="1"/>
  <c r="H17" i="9"/>
  <c r="J739" i="1"/>
  <c r="J774" i="1"/>
  <c r="H177" i="9"/>
  <c r="J783" i="1"/>
  <c r="C241" i="9"/>
  <c r="BO71" i="1"/>
  <c r="C560" i="1" s="1"/>
  <c r="E337" i="9"/>
  <c r="N71" i="1"/>
  <c r="C679" i="1" s="1"/>
  <c r="C209" i="9"/>
  <c r="J776" i="1"/>
  <c r="J755" i="1"/>
  <c r="C113" i="9"/>
  <c r="N815" i="1"/>
  <c r="M71" i="1"/>
  <c r="C678" i="1" s="1"/>
  <c r="E736" i="1"/>
  <c r="BY71" i="1"/>
  <c r="G341" i="9" s="1"/>
  <c r="E332" i="9"/>
  <c r="E773" i="1"/>
  <c r="CC71" i="1"/>
  <c r="C620" i="1" s="1"/>
  <c r="H204" i="9"/>
  <c r="G76" i="9"/>
  <c r="AQ71" i="1"/>
  <c r="H181" i="9" s="1"/>
  <c r="H172" i="9"/>
  <c r="G71" i="1"/>
  <c r="C672" i="1" s="1"/>
  <c r="AX71" i="1"/>
  <c r="C616" i="1" s="1"/>
  <c r="D204" i="9"/>
  <c r="D108" i="9"/>
  <c r="AI71" i="1"/>
  <c r="G149" i="9" s="1"/>
  <c r="E744" i="1"/>
  <c r="BV71" i="1"/>
  <c r="D341" i="9" s="1"/>
  <c r="AP71" i="1"/>
  <c r="C535" i="1" s="1"/>
  <c r="G535" i="1" s="1"/>
  <c r="AD71" i="1"/>
  <c r="I117" i="9" s="1"/>
  <c r="E778" i="1"/>
  <c r="AY71" i="1"/>
  <c r="C625" i="1" s="1"/>
  <c r="CA71" i="1"/>
  <c r="C572" i="1" s="1"/>
  <c r="I204" i="9"/>
  <c r="E756" i="1"/>
  <c r="D364" i="9"/>
  <c r="O71" i="1"/>
  <c r="C680" i="1" s="1"/>
  <c r="I332" i="9"/>
  <c r="H268" i="9"/>
  <c r="E44" i="9"/>
  <c r="E743" i="1"/>
  <c r="AL71" i="1"/>
  <c r="C703" i="1" s="1"/>
  <c r="E772" i="1"/>
  <c r="AO71" i="1"/>
  <c r="C108" i="9"/>
  <c r="BE71" i="1"/>
  <c r="C614" i="1" s="1"/>
  <c r="E746" i="1"/>
  <c r="E806" i="1"/>
  <c r="V71" i="1"/>
  <c r="H85" i="9" s="1"/>
  <c r="E777" i="1"/>
  <c r="BF71" i="1"/>
  <c r="I245" i="9" s="1"/>
  <c r="F268" i="9"/>
  <c r="CB71" i="1"/>
  <c r="C373" i="9" s="1"/>
  <c r="AC71" i="1"/>
  <c r="C694" i="1" s="1"/>
  <c r="BN71" i="1"/>
  <c r="C309" i="9" s="1"/>
  <c r="E759" i="1"/>
  <c r="AB71" i="1"/>
  <c r="G108" i="9"/>
  <c r="C44" i="9"/>
  <c r="J71" i="1"/>
  <c r="E741" i="1"/>
  <c r="Q71" i="1"/>
  <c r="E748" i="1"/>
  <c r="C76" i="9"/>
  <c r="E760" i="1"/>
  <c r="C300" i="9"/>
  <c r="E765" i="1"/>
  <c r="F76" i="9"/>
  <c r="E751" i="1"/>
  <c r="T71" i="1"/>
  <c r="E108" i="9"/>
  <c r="E757" i="1"/>
  <c r="Z71" i="1"/>
  <c r="E791" i="1"/>
  <c r="D268" i="9"/>
  <c r="BH71" i="1"/>
  <c r="F300" i="9"/>
  <c r="E800" i="1"/>
  <c r="BQ71" i="1"/>
  <c r="P71" i="1"/>
  <c r="E747" i="1"/>
  <c r="I44" i="9"/>
  <c r="C496" i="1"/>
  <c r="G496" i="1" s="1"/>
  <c r="C668" i="1"/>
  <c r="C21" i="9"/>
  <c r="E768" i="1"/>
  <c r="I140" i="9"/>
  <c r="AK71" i="1"/>
  <c r="C268" i="9"/>
  <c r="E790" i="1"/>
  <c r="BG71" i="1"/>
  <c r="E787" i="1"/>
  <c r="G236" i="9"/>
  <c r="BD71" i="1"/>
  <c r="E792" i="1"/>
  <c r="BI71" i="1"/>
  <c r="E268" i="9"/>
  <c r="E803" i="1"/>
  <c r="I300" i="9"/>
  <c r="BT71" i="1"/>
  <c r="E811" i="1"/>
  <c r="F140" i="9"/>
  <c r="D62" i="1"/>
  <c r="CE48" i="1"/>
  <c r="E750" i="1"/>
  <c r="E76" i="9"/>
  <c r="S71" i="1"/>
  <c r="AM71" i="1"/>
  <c r="D172" i="9"/>
  <c r="E770" i="1"/>
  <c r="H332" i="9"/>
  <c r="E809" i="1"/>
  <c r="BZ71" i="1"/>
  <c r="AR71" i="1"/>
  <c r="I172" i="9"/>
  <c r="E775" i="1"/>
  <c r="F332" i="9"/>
  <c r="BX71" i="1"/>
  <c r="E807" i="1"/>
  <c r="E140" i="9"/>
  <c r="E764" i="1"/>
  <c r="AG71" i="1"/>
  <c r="AZ71" i="1"/>
  <c r="C236" i="9"/>
  <c r="E783" i="1"/>
  <c r="G268" i="9"/>
  <c r="E794" i="1"/>
  <c r="BK71" i="1"/>
  <c r="I268" i="9"/>
  <c r="BM71" i="1"/>
  <c r="E796" i="1"/>
  <c r="D76" i="9"/>
  <c r="R71" i="1"/>
  <c r="E749" i="1"/>
  <c r="H140" i="9"/>
  <c r="E767" i="1"/>
  <c r="AJ71" i="1"/>
  <c r="E799" i="1"/>
  <c r="BP71" i="1"/>
  <c r="E300" i="9"/>
  <c r="F236" i="9"/>
  <c r="E786" i="1"/>
  <c r="BC71" i="1"/>
  <c r="E739" i="1"/>
  <c r="H12" i="9"/>
  <c r="F71" i="1"/>
  <c r="E737" i="1"/>
  <c r="E742" i="1"/>
  <c r="D44" i="9"/>
  <c r="K71" i="1"/>
  <c r="E780" i="1"/>
  <c r="AW71" i="1"/>
  <c r="E762" i="1"/>
  <c r="C140" i="9"/>
  <c r="AE71" i="1"/>
  <c r="I71" i="1"/>
  <c r="I12" i="9"/>
  <c r="E740" i="1"/>
  <c r="E172" i="9"/>
  <c r="E771" i="1"/>
  <c r="AN71" i="1"/>
  <c r="G85" i="9"/>
  <c r="C710" i="1"/>
  <c r="C213" i="9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520" i="1"/>
  <c r="G520" i="1" s="1"/>
  <c r="D391" i="1"/>
  <c r="F32" i="6"/>
  <c r="C478" i="1"/>
  <c r="C305" i="9"/>
  <c r="J797" i="1"/>
  <c r="C482" i="1"/>
  <c r="F498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C563" i="1"/>
  <c r="G309" i="9"/>
  <c r="C626" i="1"/>
  <c r="C539" i="1"/>
  <c r="G539" i="1" s="1"/>
  <c r="F516" i="1"/>
  <c r="J735" i="1"/>
  <c r="D17" i="9"/>
  <c r="J800" i="1"/>
  <c r="F305" i="9"/>
  <c r="C527" i="1"/>
  <c r="G527" i="1" s="1"/>
  <c r="F540" i="1"/>
  <c r="H540" i="1"/>
  <c r="F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687" i="1" l="1"/>
  <c r="E21" i="9"/>
  <c r="F117" i="9"/>
  <c r="C541" i="1"/>
  <c r="F213" i="9"/>
  <c r="C712" i="1"/>
  <c r="C540" i="1"/>
  <c r="G540" i="1" s="1"/>
  <c r="C181" i="9"/>
  <c r="C514" i="1"/>
  <c r="G514" i="1" s="1"/>
  <c r="C643" i="1"/>
  <c r="C642" i="1"/>
  <c r="C536" i="1"/>
  <c r="G536" i="1" s="1"/>
  <c r="D309" i="9"/>
  <c r="E53" i="9"/>
  <c r="C627" i="1"/>
  <c r="C630" i="1"/>
  <c r="C568" i="1"/>
  <c r="C433" i="1"/>
  <c r="H21" i="9"/>
  <c r="C677" i="1"/>
  <c r="I369" i="9"/>
  <c r="C341" i="9"/>
  <c r="C518" i="1"/>
  <c r="G518" i="1" s="1"/>
  <c r="D245" i="9"/>
  <c r="C699" i="1"/>
  <c r="D213" i="9"/>
  <c r="C690" i="1"/>
  <c r="J815" i="1"/>
  <c r="C689" i="1"/>
  <c r="C697" i="1"/>
  <c r="C547" i="1"/>
  <c r="C517" i="1"/>
  <c r="G517" i="1" s="1"/>
  <c r="C525" i="1"/>
  <c r="G525" i="1" s="1"/>
  <c r="C498" i="1"/>
  <c r="G498" i="1" s="1"/>
  <c r="C557" i="1"/>
  <c r="C566" i="1"/>
  <c r="C637" i="1"/>
  <c r="C501" i="1"/>
  <c r="G501" i="1" s="1"/>
  <c r="C617" i="1"/>
  <c r="E245" i="9"/>
  <c r="F277" i="9"/>
  <c r="C639" i="1"/>
  <c r="H309" i="9"/>
  <c r="C564" i="1"/>
  <c r="C507" i="1"/>
  <c r="G507" i="1" s="1"/>
  <c r="G53" i="9"/>
  <c r="C544" i="1"/>
  <c r="G544" i="1" s="1"/>
  <c r="C531" i="1"/>
  <c r="G531" i="1" s="1"/>
  <c r="F53" i="9"/>
  <c r="C506" i="1"/>
  <c r="G506" i="1" s="1"/>
  <c r="H117" i="9"/>
  <c r="C647" i="1"/>
  <c r="I213" i="9"/>
  <c r="C570" i="1"/>
  <c r="C707" i="1"/>
  <c r="C567" i="1"/>
  <c r="C708" i="1"/>
  <c r="C522" i="1"/>
  <c r="G522" i="1" s="1"/>
  <c r="C550" i="1"/>
  <c r="G550" i="1" s="1"/>
  <c r="D373" i="9"/>
  <c r="H245" i="9"/>
  <c r="C619" i="1"/>
  <c r="C528" i="1"/>
  <c r="G528" i="1" s="1"/>
  <c r="C695" i="1"/>
  <c r="C500" i="1"/>
  <c r="G500" i="1" s="1"/>
  <c r="C523" i="1"/>
  <c r="G523" i="1" s="1"/>
  <c r="C645" i="1"/>
  <c r="G21" i="9"/>
  <c r="C700" i="1"/>
  <c r="G181" i="9"/>
  <c r="H53" i="9"/>
  <c r="C515" i="1"/>
  <c r="G515" i="1" s="1"/>
  <c r="C559" i="1"/>
  <c r="C508" i="1"/>
  <c r="G508" i="1" s="1"/>
  <c r="C574" i="1"/>
  <c r="I341" i="9"/>
  <c r="H213" i="9"/>
  <c r="C543" i="1"/>
  <c r="C622" i="1"/>
  <c r="H498" i="1"/>
  <c r="H516" i="1"/>
  <c r="C629" i="1"/>
  <c r="F181" i="9"/>
  <c r="C534" i="1"/>
  <c r="G534" i="1" s="1"/>
  <c r="C706" i="1"/>
  <c r="C573" i="1"/>
  <c r="C551" i="1"/>
  <c r="C644" i="1"/>
  <c r="C569" i="1"/>
  <c r="F341" i="9"/>
  <c r="H501" i="1"/>
  <c r="H520" i="1"/>
  <c r="E181" i="9"/>
  <c r="C533" i="1"/>
  <c r="G533" i="1" s="1"/>
  <c r="C705" i="1"/>
  <c r="H149" i="9"/>
  <c r="C529" i="1"/>
  <c r="G529" i="1" s="1"/>
  <c r="C701" i="1"/>
  <c r="C511" i="1"/>
  <c r="C683" i="1"/>
  <c r="D85" i="9"/>
  <c r="C638" i="1"/>
  <c r="C558" i="1"/>
  <c r="I277" i="9"/>
  <c r="E85" i="9"/>
  <c r="C684" i="1"/>
  <c r="C512" i="1"/>
  <c r="G512" i="1" s="1"/>
  <c r="D71" i="1"/>
  <c r="D12" i="9"/>
  <c r="CE62" i="1"/>
  <c r="E735" i="1"/>
  <c r="E815" i="1" s="1"/>
  <c r="D615" i="1"/>
  <c r="C549" i="1"/>
  <c r="C624" i="1"/>
  <c r="G245" i="9"/>
  <c r="F85" i="9"/>
  <c r="C685" i="1"/>
  <c r="C513" i="1"/>
  <c r="G513" i="1" s="1"/>
  <c r="G213" i="9"/>
  <c r="C542" i="1"/>
  <c r="C631" i="1"/>
  <c r="C537" i="1"/>
  <c r="G537" i="1" s="1"/>
  <c r="C709" i="1"/>
  <c r="I181" i="9"/>
  <c r="C691" i="1"/>
  <c r="E117" i="9"/>
  <c r="C519" i="1"/>
  <c r="G519" i="1" s="1"/>
  <c r="C510" i="1"/>
  <c r="G510" i="1" s="1"/>
  <c r="C85" i="9"/>
  <c r="C682" i="1"/>
  <c r="C524" i="1"/>
  <c r="C696" i="1"/>
  <c r="C149" i="9"/>
  <c r="C633" i="1"/>
  <c r="F245" i="9"/>
  <c r="C548" i="1"/>
  <c r="C561" i="1"/>
  <c r="E309" i="9"/>
  <c r="C621" i="1"/>
  <c r="C635" i="1"/>
  <c r="G277" i="9"/>
  <c r="C556" i="1"/>
  <c r="C571" i="1"/>
  <c r="C646" i="1"/>
  <c r="H341" i="9"/>
  <c r="C640" i="1"/>
  <c r="C565" i="1"/>
  <c r="I309" i="9"/>
  <c r="C554" i="1"/>
  <c r="C634" i="1"/>
  <c r="E277" i="9"/>
  <c r="C530" i="1"/>
  <c r="G530" i="1" s="1"/>
  <c r="C702" i="1"/>
  <c r="I149" i="9"/>
  <c r="I53" i="9"/>
  <c r="C681" i="1"/>
  <c r="C509" i="1"/>
  <c r="G509" i="1" s="1"/>
  <c r="C553" i="1"/>
  <c r="D277" i="9"/>
  <c r="C636" i="1"/>
  <c r="C521" i="1"/>
  <c r="G521" i="1" s="1"/>
  <c r="C693" i="1"/>
  <c r="G117" i="9"/>
  <c r="C502" i="1"/>
  <c r="G502" i="1" s="1"/>
  <c r="I21" i="9"/>
  <c r="C674" i="1"/>
  <c r="C698" i="1"/>
  <c r="C526" i="1"/>
  <c r="G526" i="1" s="1"/>
  <c r="E149" i="9"/>
  <c r="D53" i="9"/>
  <c r="C676" i="1"/>
  <c r="C504" i="1"/>
  <c r="G504" i="1" s="1"/>
  <c r="F21" i="9"/>
  <c r="C499" i="1"/>
  <c r="G499" i="1" s="1"/>
  <c r="C671" i="1"/>
  <c r="C245" i="9"/>
  <c r="C628" i="1"/>
  <c r="C545" i="1"/>
  <c r="G545" i="1" s="1"/>
  <c r="C532" i="1"/>
  <c r="C704" i="1"/>
  <c r="D181" i="9"/>
  <c r="C618" i="1"/>
  <c r="C552" i="1"/>
  <c r="C277" i="9"/>
  <c r="F309" i="9"/>
  <c r="C623" i="1"/>
  <c r="C562" i="1"/>
  <c r="C53" i="9"/>
  <c r="C675" i="1"/>
  <c r="C503" i="1"/>
  <c r="G503" i="1" s="1"/>
  <c r="F522" i="1"/>
  <c r="F510" i="1"/>
  <c r="F513" i="1"/>
  <c r="H513" i="1"/>
  <c r="C142" i="8"/>
  <c r="D393" i="1"/>
  <c r="F538" i="1"/>
  <c r="H538" i="1"/>
  <c r="F496" i="1"/>
  <c r="H496" i="1" s="1"/>
  <c r="F534" i="1"/>
  <c r="H534" i="1"/>
  <c r="H502" i="1"/>
  <c r="F502" i="1"/>
  <c r="H504" i="1"/>
  <c r="F504" i="1"/>
  <c r="F530" i="1"/>
  <c r="F512" i="1"/>
  <c r="F526" i="1"/>
  <c r="F503" i="1"/>
  <c r="H508" i="1"/>
  <c r="F508" i="1"/>
  <c r="F514" i="1"/>
  <c r="H507" i="1"/>
  <c r="F507" i="1"/>
  <c r="F518" i="1"/>
  <c r="H546" i="1"/>
  <c r="F546" i="1"/>
  <c r="F506" i="1"/>
  <c r="H506" i="1"/>
  <c r="F500" i="1"/>
  <c r="F509" i="1"/>
  <c r="H514" i="1" l="1"/>
  <c r="H518" i="1"/>
  <c r="C648" i="1"/>
  <c r="M716" i="1" s="1"/>
  <c r="Y816" i="1" s="1"/>
  <c r="H503" i="1"/>
  <c r="H544" i="1"/>
  <c r="H500" i="1"/>
  <c r="H522" i="1"/>
  <c r="H550" i="1"/>
  <c r="H515" i="1"/>
  <c r="H510" i="1"/>
  <c r="H509" i="1"/>
  <c r="H530" i="1"/>
  <c r="G511" i="1"/>
  <c r="H511" i="1" s="1"/>
  <c r="H526" i="1"/>
  <c r="C497" i="1"/>
  <c r="G497" i="1" s="1"/>
  <c r="D21" i="9"/>
  <c r="C669" i="1"/>
  <c r="C715" i="1" s="1"/>
  <c r="H512" i="1"/>
  <c r="G532" i="1"/>
  <c r="H532" i="1"/>
  <c r="G524" i="1"/>
  <c r="H524" i="1" s="1"/>
  <c r="I364" i="9"/>
  <c r="C428" i="1"/>
  <c r="C441" i="1" s="1"/>
  <c r="E816" i="1"/>
  <c r="CE71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42" i="1"/>
  <c r="D716" i="1"/>
  <c r="D690" i="1"/>
  <c r="D707" i="1"/>
  <c r="D713" i="1"/>
  <c r="D647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32" i="1"/>
  <c r="D617" i="1"/>
  <c r="D697" i="1"/>
  <c r="D709" i="1"/>
  <c r="D702" i="1"/>
  <c r="D694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84" i="1"/>
  <c r="D674" i="1"/>
  <c r="D685" i="1"/>
  <c r="D636" i="1"/>
  <c r="D637" i="1"/>
  <c r="D698" i="1"/>
  <c r="D616" i="1"/>
  <c r="H545" i="1"/>
  <c r="F545" i="1"/>
  <c r="H525" i="1"/>
  <c r="F525" i="1"/>
  <c r="H529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E612" i="1" l="1"/>
  <c r="E623" i="1"/>
  <c r="E716" i="1" s="1"/>
  <c r="D715" i="1"/>
  <c r="C716" i="1"/>
  <c r="I373" i="9"/>
  <c r="E675" i="1" l="1"/>
  <c r="E706" i="1"/>
  <c r="E712" i="1"/>
  <c r="E625" i="1"/>
  <c r="E668" i="1"/>
  <c r="E628" i="1"/>
  <c r="E674" i="1"/>
  <c r="E710" i="1"/>
  <c r="E676" i="1"/>
  <c r="E639" i="1"/>
  <c r="E705" i="1"/>
  <c r="E700" i="1"/>
  <c r="E689" i="1"/>
  <c r="E687" i="1"/>
  <c r="E646" i="1"/>
  <c r="E690" i="1"/>
  <c r="E679" i="1"/>
  <c r="E686" i="1"/>
  <c r="E695" i="1"/>
  <c r="E634" i="1"/>
  <c r="E670" i="1"/>
  <c r="E691" i="1"/>
  <c r="E647" i="1"/>
  <c r="E694" i="1"/>
  <c r="E637" i="1"/>
  <c r="E699" i="1"/>
  <c r="E672" i="1"/>
  <c r="E644" i="1"/>
  <c r="E636" i="1"/>
  <c r="E680" i="1"/>
  <c r="E698" i="1"/>
  <c r="E688" i="1"/>
  <c r="E626" i="1"/>
  <c r="E697" i="1"/>
  <c r="E704" i="1"/>
  <c r="E638" i="1"/>
  <c r="E685" i="1"/>
  <c r="E682" i="1"/>
  <c r="E708" i="1"/>
  <c r="E629" i="1"/>
  <c r="E702" i="1"/>
  <c r="E669" i="1"/>
  <c r="E671" i="1"/>
  <c r="E641" i="1"/>
  <c r="E677" i="1"/>
  <c r="E709" i="1"/>
  <c r="E683" i="1"/>
  <c r="E713" i="1"/>
  <c r="E703" i="1"/>
  <c r="E632" i="1"/>
  <c r="E642" i="1"/>
  <c r="E673" i="1"/>
  <c r="E678" i="1"/>
  <c r="E635" i="1"/>
  <c r="E627" i="1"/>
  <c r="E711" i="1"/>
  <c r="E645" i="1"/>
  <c r="E681" i="1"/>
  <c r="E696" i="1"/>
  <c r="E692" i="1"/>
  <c r="E633" i="1"/>
  <c r="E693" i="1"/>
  <c r="E707" i="1"/>
  <c r="E624" i="1"/>
  <c r="F624" i="1" s="1"/>
  <c r="F706" i="1" s="1"/>
  <c r="E701" i="1"/>
  <c r="E631" i="1"/>
  <c r="E684" i="1"/>
  <c r="E640" i="1"/>
  <c r="E643" i="1"/>
  <c r="E630" i="1"/>
  <c r="F682" i="1" l="1"/>
  <c r="F639" i="1"/>
  <c r="F688" i="1"/>
  <c r="F701" i="1"/>
  <c r="F699" i="1"/>
  <c r="F672" i="1"/>
  <c r="F694" i="1"/>
  <c r="F705" i="1"/>
  <c r="F690" i="1"/>
  <c r="F683" i="1"/>
  <c r="F703" i="1"/>
  <c r="F681" i="1"/>
  <c r="F678" i="1"/>
  <c r="F698" i="1"/>
  <c r="F635" i="1"/>
  <c r="F707" i="1"/>
  <c r="F627" i="1"/>
  <c r="F712" i="1"/>
  <c r="F668" i="1"/>
  <c r="F626" i="1"/>
  <c r="F695" i="1"/>
  <c r="F645" i="1"/>
  <c r="F677" i="1"/>
  <c r="F700" i="1"/>
  <c r="F702" i="1"/>
  <c r="F629" i="1"/>
  <c r="F625" i="1"/>
  <c r="G625" i="1" s="1"/>
  <c r="G642" i="1" s="1"/>
  <c r="F647" i="1"/>
  <c r="F696" i="1"/>
  <c r="F685" i="1"/>
  <c r="F709" i="1"/>
  <c r="F693" i="1"/>
  <c r="F708" i="1"/>
  <c r="F675" i="1"/>
  <c r="F673" i="1"/>
  <c r="F631" i="1"/>
  <c r="F643" i="1"/>
  <c r="F710" i="1"/>
  <c r="F642" i="1"/>
  <c r="F671" i="1"/>
  <c r="F713" i="1"/>
  <c r="F670" i="1"/>
  <c r="F680" i="1"/>
  <c r="F646" i="1"/>
  <c r="F697" i="1"/>
  <c r="F679" i="1"/>
  <c r="F632" i="1"/>
  <c r="F692" i="1"/>
  <c r="F674" i="1"/>
  <c r="F704" i="1"/>
  <c r="E715" i="1"/>
  <c r="F636" i="1"/>
  <c r="F716" i="1"/>
  <c r="F634" i="1"/>
  <c r="F644" i="1"/>
  <c r="F638" i="1"/>
  <c r="F640" i="1"/>
  <c r="F689" i="1"/>
  <c r="F628" i="1"/>
  <c r="F687" i="1"/>
  <c r="F669" i="1"/>
  <c r="F637" i="1"/>
  <c r="F711" i="1"/>
  <c r="F691" i="1"/>
  <c r="F633" i="1"/>
  <c r="F686" i="1"/>
  <c r="F684" i="1"/>
  <c r="F630" i="1"/>
  <c r="F676" i="1"/>
  <c r="F641" i="1"/>
  <c r="G712" i="1"/>
  <c r="G683" i="1"/>
  <c r="G713" i="1"/>
  <c r="G676" i="1"/>
  <c r="G690" i="1"/>
  <c r="G634" i="1" l="1"/>
  <c r="G639" i="1"/>
  <c r="G641" i="1"/>
  <c r="G646" i="1"/>
  <c r="G693" i="1"/>
  <c r="G694" i="1"/>
  <c r="G704" i="1"/>
  <c r="G692" i="1"/>
  <c r="G689" i="1"/>
  <c r="G700" i="1"/>
  <c r="G688" i="1"/>
  <c r="G668" i="1"/>
  <c r="G691" i="1"/>
  <c r="G695" i="1"/>
  <c r="G681" i="1"/>
  <c r="G671" i="1"/>
  <c r="G705" i="1"/>
  <c r="G696" i="1"/>
  <c r="G628" i="1"/>
  <c r="H628" i="1" s="1"/>
  <c r="H672" i="1" s="1"/>
  <c r="G638" i="1"/>
  <c r="G697" i="1"/>
  <c r="G716" i="1"/>
  <c r="G678" i="1"/>
  <c r="G684" i="1"/>
  <c r="G626" i="1"/>
  <c r="G644" i="1"/>
  <c r="G701" i="1"/>
  <c r="G631" i="1"/>
  <c r="G670" i="1"/>
  <c r="G679" i="1"/>
  <c r="G711" i="1"/>
  <c r="G632" i="1"/>
  <c r="G640" i="1"/>
  <c r="G633" i="1"/>
  <c r="G637" i="1"/>
  <c r="G710" i="1"/>
  <c r="G627" i="1"/>
  <c r="G703" i="1"/>
  <c r="G698" i="1"/>
  <c r="G680" i="1"/>
  <c r="G636" i="1"/>
  <c r="G629" i="1"/>
  <c r="G686" i="1"/>
  <c r="G674" i="1"/>
  <c r="G699" i="1"/>
  <c r="G685" i="1"/>
  <c r="G647" i="1"/>
  <c r="G645" i="1"/>
  <c r="G672" i="1"/>
  <c r="G682" i="1"/>
  <c r="G687" i="1"/>
  <c r="G709" i="1"/>
  <c r="G707" i="1"/>
  <c r="G669" i="1"/>
  <c r="G708" i="1"/>
  <c r="G643" i="1"/>
  <c r="G635" i="1"/>
  <c r="G675" i="1"/>
  <c r="G706" i="1"/>
  <c r="G702" i="1"/>
  <c r="G677" i="1"/>
  <c r="G673" i="1"/>
  <c r="G630" i="1"/>
  <c r="F715" i="1"/>
  <c r="H682" i="1" l="1"/>
  <c r="G715" i="1"/>
  <c r="H685" i="1"/>
  <c r="H640" i="1"/>
  <c r="H630" i="1"/>
  <c r="H692" i="1"/>
  <c r="H643" i="1"/>
  <c r="H706" i="1"/>
  <c r="H707" i="1"/>
  <c r="H690" i="1"/>
  <c r="H703" i="1"/>
  <c r="H636" i="1"/>
  <c r="H686" i="1"/>
  <c r="H700" i="1"/>
  <c r="H673" i="1"/>
  <c r="H701" i="1"/>
  <c r="H678" i="1"/>
  <c r="H689" i="1"/>
  <c r="H704" i="1"/>
  <c r="H693" i="1"/>
  <c r="H698" i="1"/>
  <c r="H633" i="1"/>
  <c r="H668" i="1"/>
  <c r="H684" i="1"/>
  <c r="H695" i="1"/>
  <c r="H646" i="1"/>
  <c r="H708" i="1"/>
  <c r="H634" i="1"/>
  <c r="H675" i="1"/>
  <c r="H712" i="1"/>
  <c r="H679" i="1"/>
  <c r="H629" i="1"/>
  <c r="I629" i="1" s="1"/>
  <c r="H677" i="1"/>
  <c r="H696" i="1"/>
  <c r="H705" i="1"/>
  <c r="H645" i="1"/>
  <c r="H642" i="1"/>
  <c r="H637" i="1"/>
  <c r="H669" i="1"/>
  <c r="H716" i="1"/>
  <c r="H681" i="1"/>
  <c r="H638" i="1"/>
  <c r="H647" i="1"/>
  <c r="H680" i="1"/>
  <c r="H683" i="1"/>
  <c r="H632" i="1"/>
  <c r="H635" i="1"/>
  <c r="H670" i="1"/>
  <c r="H699" i="1"/>
  <c r="H676" i="1"/>
  <c r="H644" i="1"/>
  <c r="H641" i="1"/>
  <c r="H702" i="1"/>
  <c r="H710" i="1"/>
  <c r="H691" i="1"/>
  <c r="H631" i="1"/>
  <c r="H674" i="1"/>
  <c r="H687" i="1"/>
  <c r="H688" i="1"/>
  <c r="H639" i="1"/>
  <c r="H709" i="1"/>
  <c r="H671" i="1"/>
  <c r="H713" i="1"/>
  <c r="H711" i="1"/>
  <c r="H697" i="1"/>
  <c r="H694" i="1"/>
  <c r="H715" i="1" l="1"/>
  <c r="I646" i="1"/>
  <c r="I630" i="1"/>
  <c r="I711" i="1"/>
  <c r="I647" i="1"/>
  <c r="I642" i="1"/>
  <c r="I702" i="1"/>
  <c r="I641" i="1"/>
  <c r="I674" i="1"/>
  <c r="I669" i="1"/>
  <c r="I678" i="1"/>
  <c r="I713" i="1"/>
  <c r="I680" i="1"/>
  <c r="I696" i="1"/>
  <c r="I632" i="1"/>
  <c r="I701" i="1"/>
  <c r="I688" i="1"/>
  <c r="I699" i="1"/>
  <c r="I712" i="1"/>
  <c r="I677" i="1"/>
  <c r="I706" i="1"/>
  <c r="I682" i="1"/>
  <c r="I638" i="1"/>
  <c r="I690" i="1"/>
  <c r="I692" i="1"/>
  <c r="I709" i="1"/>
  <c r="I684" i="1"/>
  <c r="I708" i="1"/>
  <c r="I704" i="1"/>
  <c r="I683" i="1"/>
  <c r="I716" i="1"/>
  <c r="I707" i="1"/>
  <c r="I671" i="1"/>
  <c r="I687" i="1"/>
  <c r="I703" i="1"/>
  <c r="I631" i="1"/>
  <c r="I686" i="1"/>
  <c r="I675" i="1"/>
  <c r="I676" i="1"/>
  <c r="I670" i="1"/>
  <c r="I637" i="1"/>
  <c r="I645" i="1"/>
  <c r="I697" i="1"/>
  <c r="I636" i="1"/>
  <c r="I710" i="1"/>
  <c r="I668" i="1"/>
  <c r="I639" i="1"/>
  <c r="I685" i="1"/>
  <c r="I672" i="1"/>
  <c r="I689" i="1"/>
  <c r="I695" i="1"/>
  <c r="I679" i="1"/>
  <c r="I693" i="1"/>
  <c r="I644" i="1"/>
  <c r="I634" i="1"/>
  <c r="I673" i="1"/>
  <c r="I633" i="1"/>
  <c r="I635" i="1"/>
  <c r="I691" i="1"/>
  <c r="I681" i="1"/>
  <c r="I640" i="1"/>
  <c r="I694" i="1"/>
  <c r="I643" i="1"/>
  <c r="I700" i="1"/>
  <c r="I705" i="1"/>
  <c r="I698" i="1"/>
  <c r="I715" i="1" l="1"/>
  <c r="J630" i="1"/>
  <c r="J716" i="1" l="1"/>
  <c r="J703" i="1"/>
  <c r="J706" i="1"/>
  <c r="J638" i="1"/>
  <c r="J684" i="1"/>
  <c r="J672" i="1"/>
  <c r="J647" i="1"/>
  <c r="J670" i="1"/>
  <c r="J676" i="1"/>
  <c r="J700" i="1"/>
  <c r="J694" i="1"/>
  <c r="J704" i="1"/>
  <c r="J682" i="1"/>
  <c r="J632" i="1"/>
  <c r="J708" i="1"/>
  <c r="J698" i="1"/>
  <c r="J668" i="1"/>
  <c r="J710" i="1"/>
  <c r="J673" i="1"/>
  <c r="J688" i="1"/>
  <c r="J644" i="1"/>
  <c r="J705" i="1"/>
  <c r="J642" i="1"/>
  <c r="J697" i="1"/>
  <c r="J699" i="1"/>
  <c r="J674" i="1"/>
  <c r="J636" i="1"/>
  <c r="J633" i="1"/>
  <c r="J707" i="1"/>
  <c r="J685" i="1"/>
  <c r="J634" i="1"/>
  <c r="J701" i="1"/>
  <c r="J712" i="1"/>
  <c r="J645" i="1"/>
  <c r="J681" i="1"/>
  <c r="J637" i="1"/>
  <c r="J690" i="1"/>
  <c r="J680" i="1"/>
  <c r="J687" i="1"/>
  <c r="J692" i="1"/>
  <c r="J689" i="1"/>
  <c r="J635" i="1"/>
  <c r="J686" i="1"/>
  <c r="J683" i="1"/>
  <c r="J693" i="1"/>
  <c r="J702" i="1"/>
  <c r="J643" i="1"/>
  <c r="J646" i="1"/>
  <c r="J679" i="1"/>
  <c r="J695" i="1"/>
  <c r="J713" i="1"/>
  <c r="J711" i="1"/>
  <c r="J641" i="1"/>
  <c r="J696" i="1"/>
  <c r="J691" i="1"/>
  <c r="J678" i="1"/>
  <c r="J677" i="1"/>
  <c r="J671" i="1"/>
  <c r="J675" i="1"/>
  <c r="J639" i="1"/>
  <c r="J709" i="1"/>
  <c r="J640" i="1"/>
  <c r="J669" i="1"/>
  <c r="J631" i="1"/>
  <c r="J715" i="1" l="1"/>
  <c r="L647" i="1"/>
  <c r="L709" i="1" s="1"/>
  <c r="K644" i="1"/>
  <c r="K681" i="1" s="1"/>
  <c r="L711" i="1" l="1"/>
  <c r="L672" i="1"/>
  <c r="L690" i="1"/>
  <c r="L708" i="1"/>
  <c r="L684" i="1"/>
  <c r="L699" i="1"/>
  <c r="L675" i="1"/>
  <c r="L705" i="1"/>
  <c r="L698" i="1"/>
  <c r="L674" i="1"/>
  <c r="L703" i="1"/>
  <c r="L713" i="1"/>
  <c r="L677" i="1"/>
  <c r="L693" i="1"/>
  <c r="L679" i="1"/>
  <c r="K670" i="1"/>
  <c r="K708" i="1"/>
  <c r="K712" i="1"/>
  <c r="L686" i="1"/>
  <c r="L682" i="1"/>
  <c r="K689" i="1"/>
  <c r="K684" i="1"/>
  <c r="M684" i="1" s="1"/>
  <c r="Y750" i="1" s="1"/>
  <c r="K683" i="1"/>
  <c r="L712" i="1"/>
  <c r="L683" i="1"/>
  <c r="L678" i="1"/>
  <c r="L701" i="1"/>
  <c r="L669" i="1"/>
  <c r="L670" i="1"/>
  <c r="L676" i="1"/>
  <c r="L680" i="1"/>
  <c r="L697" i="1"/>
  <c r="L707" i="1"/>
  <c r="L668" i="1"/>
  <c r="L673" i="1"/>
  <c r="L681" i="1"/>
  <c r="M681" i="1" s="1"/>
  <c r="I55" i="9" s="1"/>
  <c r="L694" i="1"/>
  <c r="L687" i="1"/>
  <c r="L700" i="1"/>
  <c r="L695" i="1"/>
  <c r="L689" i="1"/>
  <c r="L706" i="1"/>
  <c r="L691" i="1"/>
  <c r="L671" i="1"/>
  <c r="L685" i="1"/>
  <c r="K677" i="1"/>
  <c r="K699" i="1"/>
  <c r="K691" i="1"/>
  <c r="K687" i="1"/>
  <c r="K701" i="1"/>
  <c r="K676" i="1"/>
  <c r="L688" i="1"/>
  <c r="K682" i="1"/>
  <c r="K685" i="1"/>
  <c r="K673" i="1"/>
  <c r="M673" i="1" s="1"/>
  <c r="K680" i="1"/>
  <c r="K694" i="1"/>
  <c r="M694" i="1" s="1"/>
  <c r="K709" i="1"/>
  <c r="M709" i="1" s="1"/>
  <c r="Y775" i="1" s="1"/>
  <c r="K671" i="1"/>
  <c r="K690" i="1"/>
  <c r="K711" i="1"/>
  <c r="M711" i="1" s="1"/>
  <c r="D215" i="9" s="1"/>
  <c r="K693" i="1"/>
  <c r="M693" i="1" s="1"/>
  <c r="G119" i="9" s="1"/>
  <c r="K668" i="1"/>
  <c r="K713" i="1"/>
  <c r="M713" i="1" s="1"/>
  <c r="Y779" i="1" s="1"/>
  <c r="K695" i="1"/>
  <c r="K686" i="1"/>
  <c r="K703" i="1"/>
  <c r="M703" i="1" s="1"/>
  <c r="K702" i="1"/>
  <c r="K678" i="1"/>
  <c r="K688" i="1"/>
  <c r="K672" i="1"/>
  <c r="L702" i="1"/>
  <c r="L716" i="1"/>
  <c r="L710" i="1"/>
  <c r="L696" i="1"/>
  <c r="L704" i="1"/>
  <c r="K675" i="1"/>
  <c r="K710" i="1"/>
  <c r="M710" i="1" s="1"/>
  <c r="Y776" i="1" s="1"/>
  <c r="K716" i="1"/>
  <c r="K704" i="1"/>
  <c r="K705" i="1"/>
  <c r="K692" i="1"/>
  <c r="K696" i="1"/>
  <c r="K669" i="1"/>
  <c r="M669" i="1" s="1"/>
  <c r="K674" i="1"/>
  <c r="K679" i="1"/>
  <c r="K697" i="1"/>
  <c r="K700" i="1"/>
  <c r="K706" i="1"/>
  <c r="K707" i="1"/>
  <c r="K698" i="1"/>
  <c r="M698" i="1" s="1"/>
  <c r="L692" i="1"/>
  <c r="M704" i="1" l="1"/>
  <c r="Y770" i="1" s="1"/>
  <c r="M690" i="1"/>
  <c r="D119" i="9" s="1"/>
  <c r="M675" i="1"/>
  <c r="Y741" i="1" s="1"/>
  <c r="M672" i="1"/>
  <c r="M699" i="1"/>
  <c r="F151" i="9" s="1"/>
  <c r="M674" i="1"/>
  <c r="I23" i="9" s="1"/>
  <c r="M708" i="1"/>
  <c r="H183" i="9" s="1"/>
  <c r="M705" i="1"/>
  <c r="E183" i="9" s="1"/>
  <c r="M707" i="1"/>
  <c r="G183" i="9" s="1"/>
  <c r="M677" i="1"/>
  <c r="E55" i="9" s="1"/>
  <c r="M683" i="1"/>
  <c r="D87" i="9" s="1"/>
  <c r="M679" i="1"/>
  <c r="G55" i="9" s="1"/>
  <c r="M680" i="1"/>
  <c r="Y746" i="1" s="1"/>
  <c r="M686" i="1"/>
  <c r="G87" i="9" s="1"/>
  <c r="M695" i="1"/>
  <c r="I119" i="9" s="1"/>
  <c r="M682" i="1"/>
  <c r="C87" i="9" s="1"/>
  <c r="M670" i="1"/>
  <c r="Y736" i="1" s="1"/>
  <c r="M689" i="1"/>
  <c r="C119" i="9" s="1"/>
  <c r="M697" i="1"/>
  <c r="D151" i="9" s="1"/>
  <c r="M671" i="1"/>
  <c r="F23" i="9" s="1"/>
  <c r="M691" i="1"/>
  <c r="Y757" i="1" s="1"/>
  <c r="M685" i="1"/>
  <c r="F87" i="9" s="1"/>
  <c r="M687" i="1"/>
  <c r="Y753" i="1" s="1"/>
  <c r="M668" i="1"/>
  <c r="Y734" i="1" s="1"/>
  <c r="M712" i="1"/>
  <c r="Y778" i="1" s="1"/>
  <c r="M678" i="1"/>
  <c r="Y744" i="1" s="1"/>
  <c r="E87" i="9"/>
  <c r="M676" i="1"/>
  <c r="D55" i="9" s="1"/>
  <c r="M706" i="1"/>
  <c r="Y772" i="1" s="1"/>
  <c r="M692" i="1"/>
  <c r="Y758" i="1" s="1"/>
  <c r="M700" i="1"/>
  <c r="G151" i="9" s="1"/>
  <c r="M701" i="1"/>
  <c r="M702" i="1"/>
  <c r="I151" i="9" s="1"/>
  <c r="C55" i="9"/>
  <c r="H119" i="9"/>
  <c r="Y760" i="1"/>
  <c r="Y748" i="1"/>
  <c r="D23" i="9"/>
  <c r="Y735" i="1"/>
  <c r="Y764" i="1"/>
  <c r="E151" i="9"/>
  <c r="M696" i="1"/>
  <c r="C151" i="9" s="1"/>
  <c r="Y756" i="1"/>
  <c r="I183" i="9"/>
  <c r="M688" i="1"/>
  <c r="K715" i="1"/>
  <c r="C215" i="9"/>
  <c r="F215" i="9"/>
  <c r="L715" i="1"/>
  <c r="Y759" i="1"/>
  <c r="C183" i="9"/>
  <c r="Y769" i="1"/>
  <c r="Y737" i="1"/>
  <c r="Y740" i="1"/>
  <c r="Y738" i="1"/>
  <c r="G23" i="9"/>
  <c r="H23" i="9"/>
  <c r="Y739" i="1"/>
  <c r="Y747" i="1"/>
  <c r="Y777" i="1"/>
  <c r="C23" i="9"/>
  <c r="Y771" i="1"/>
  <c r="Y763" i="1" l="1"/>
  <c r="Y773" i="1"/>
  <c r="D183" i="9"/>
  <c r="Y765" i="1"/>
  <c r="Y774" i="1"/>
  <c r="Y761" i="1"/>
  <c r="Y749" i="1"/>
  <c r="H87" i="9"/>
  <c r="Y743" i="1"/>
  <c r="Y745" i="1"/>
  <c r="E23" i="9"/>
  <c r="H55" i="9"/>
  <c r="Y751" i="1"/>
  <c r="Y752" i="1"/>
  <c r="F183" i="9"/>
  <c r="Y755" i="1"/>
  <c r="F55" i="9"/>
  <c r="E119" i="9"/>
  <c r="E215" i="9"/>
  <c r="Y762" i="1"/>
  <c r="Y742" i="1"/>
  <c r="Y768" i="1"/>
  <c r="M715" i="1"/>
  <c r="F119" i="9"/>
  <c r="Y766" i="1"/>
  <c r="H151" i="9"/>
  <c r="Y767" i="1"/>
  <c r="Y754" i="1"/>
  <c r="I87" i="9"/>
  <c r="Y8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Sevillano, Michelle (Tacoma)</author>
    <author>Catholic Health Initiatives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Can't have duplicate accts need to combine the amounts into 1 line</t>
        </r>
      </text>
    </comment>
    <comment ref="B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this is zero last year - see prior yrs notes if we ever have this account in the future as far as where to put these amounts.</t>
        </r>
      </text>
    </comment>
    <comment ref="C3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Move to 7490 as there is not an account on the purple sheet for 8610 for revenue</t>
        </r>
      </text>
    </comment>
    <comment ref="D3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moved to 7490</t>
        </r>
      </text>
    </comment>
    <comment ref="C5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D5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J5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K5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L5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M5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N5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U5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G8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this is moved to 6170 per kara's email dated 10/17/17. In line with revenue</t>
        </r>
      </text>
    </comment>
    <comment ref="B8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clinic zone 937 also added to this line from the FTE report</t>
        </r>
      </text>
    </comment>
    <comment ref="I11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moved to Dietary NOT Caferteria per Caroline's review</t>
        </r>
      </text>
    </comment>
    <comment ref="I13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New family practice residency</t>
        </r>
      </text>
    </comment>
    <comment ref="I135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remove per Sandy</t>
        </r>
      </text>
    </comment>
    <comment ref="G164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this is moved to 6170 per kara's email dated 10/17/17. In line with revenue</t>
        </r>
      </text>
    </comment>
    <comment ref="I21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New family practice residency</t>
        </r>
      </text>
    </comment>
  </commentList>
</comments>
</file>

<file path=xl/sharedStrings.xml><?xml version="1.0" encoding="utf-8"?>
<sst xmlns="http://schemas.openxmlformats.org/spreadsheetml/2006/main" count="5238" uniqueCount="1400">
  <si>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</si>
  <si>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</si>
  <si>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</si>
  <si>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</si>
  <si>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</si>
  <si>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</si>
  <si>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</si>
  <si>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</si>
  <si>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</si>
  <si>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</si>
  <si>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</si>
  <si>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</si>
  <si>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</si>
  <si>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</si>
  <si>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</si>
  <si>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</si>
  <si>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</si>
  <si>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</si>
  <si>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</si>
  <si>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</si>
  <si>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</si>
  <si>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</si>
  <si>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</si>
  <si>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</si>
  <si>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</si>
  <si>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</si>
  <si>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</si>
  <si>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</si>
  <si>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</si>
  <si>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</si>
  <si>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</si>
  <si>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</si>
  <si>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</si>
  <si>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</si>
  <si>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</si>
  <si>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</si>
  <si>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</si>
  <si>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</si>
  <si>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</si>
  <si>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</si>
  <si>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</si>
  <si>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</si>
  <si>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</si>
  <si>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</si>
  <si>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</si>
  <si>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</si>
  <si>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</si>
  <si>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</si>
  <si>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</si>
  <si>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</si>
  <si>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</si>
  <si>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</si>
  <si>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</si>
  <si>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</si>
  <si>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</si>
  <si>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</si>
  <si>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</si>
  <si>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</si>
  <si>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</si>
  <si>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</si>
  <si>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</si>
  <si>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</si>
  <si>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</si>
  <si>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</si>
  <si>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</si>
  <si>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</si>
  <si>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</si>
  <si>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</si>
  <si>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</si>
  <si>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</si>
  <si>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</si>
  <si>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</si>
  <si>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</si>
  <si>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</si>
  <si>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</si>
  <si>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</si>
  <si>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</si>
  <si>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</si>
  <si>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</si>
  <si>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</si>
  <si>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</si>
  <si>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</si>
  <si>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</si>
  <si>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</si>
  <si>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</si>
  <si>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</si>
  <si>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</si>
  <si>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</si>
  <si>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</si>
  <si>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</si>
  <si>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</si>
  <si>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</si>
  <si>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</si>
  <si>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</si>
  <si>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</si>
  <si>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</si>
  <si>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</si>
  <si>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</si>
  <si>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</si>
  <si>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</si>
  <si>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</si>
  <si>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</si>
  <si>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</si>
  <si>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</si>
  <si>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</si>
  <si>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</si>
  <si>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</si>
  <si>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</si>
  <si>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</si>
  <si>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</si>
  <si>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</si>
  <si>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</si>
  <si>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</si>
  <si>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</si>
  <si>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</si>
  <si>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</si>
  <si>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</si>
  <si>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</si>
  <si>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</si>
  <si>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</si>
  <si>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</si>
  <si>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</si>
  <si>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</si>
  <si>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</si>
  <si>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</si>
  <si>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</si>
  <si>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</si>
  <si>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</si>
  <si>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</si>
  <si>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</si>
  <si>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</si>
  <si>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</si>
  <si>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</si>
  <si>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</si>
  <si>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</si>
  <si>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</si>
  <si>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</si>
  <si>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</si>
  <si>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</si>
  <si>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</si>
  <si>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</si>
  <si>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</si>
  <si>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</si>
  <si>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</si>
  <si>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</si>
  <si>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</si>
  <si>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</si>
  <si>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</si>
  <si>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</si>
  <si>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</si>
  <si>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</si>
  <si>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</si>
  <si>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</si>
  <si>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</si>
  <si>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</si>
  <si>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</si>
  <si>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</si>
  <si>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</si>
  <si>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</si>
  <si>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</si>
  <si>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</si>
  <si>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</si>
  <si>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</si>
  <si>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</si>
  <si>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</si>
  <si>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</si>
  <si>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</si>
  <si>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</si>
  <si>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</si>
  <si>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</si>
  <si>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</si>
  <si>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</si>
  <si>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</si>
  <si>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</si>
  <si>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</si>
  <si>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</si>
  <si>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</si>
  <si>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</si>
  <si>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</si>
  <si>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</si>
  <si>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</si>
  <si>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</si>
  <si>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</si>
  <si>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</si>
  <si>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</si>
  <si>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</si>
  <si>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</si>
  <si>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</si>
  <si>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</si>
  <si>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</si>
  <si>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</si>
  <si>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</si>
  <si>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</si>
  <si>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</si>
  <si>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</si>
  <si>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</si>
  <si>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</si>
  <si>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</si>
  <si>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</si>
  <si>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</si>
  <si>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</si>
  <si>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</si>
  <si>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</si>
  <si>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</si>
  <si>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</si>
  <si>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</si>
  <si>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</si>
  <si>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</si>
  <si>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</si>
  <si>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</si>
  <si>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</si>
  <si>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</si>
  <si>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</si>
  <si>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</si>
  <si>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</si>
  <si>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</si>
  <si>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</si>
  <si>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</si>
  <si>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</si>
  <si>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</si>
  <si>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</si>
  <si>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</si>
  <si>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</si>
  <si>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</si>
  <si>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</si>
  <si>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</si>
  <si>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</si>
  <si>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</si>
  <si>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</si>
  <si>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</si>
  <si>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</si>
  <si>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</si>
  <si>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</si>
  <si>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</si>
  <si>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</si>
  <si>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</si>
  <si>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</si>
  <si>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</si>
  <si>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</si>
  <si>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</si>
  <si>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</si>
  <si>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</si>
  <si>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</si>
  <si>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</si>
  <si>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</si>
  <si>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</si>
  <si>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</si>
  <si>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</si>
  <si>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</si>
  <si>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</si>
  <si>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</si>
  <si>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</si>
  <si>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</si>
  <si>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</si>
  <si>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</si>
  <si>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</si>
  <si>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</si>
  <si>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</si>
  <si>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</si>
  <si>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</si>
  <si>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</si>
  <si>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</si>
  <si>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</si>
  <si>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</si>
  <si>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</si>
  <si>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</si>
  <si>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</si>
  <si>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</si>
  <si>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</si>
  <si>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</si>
  <si>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</si>
  <si>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</si>
  <si>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</si>
  <si>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</si>
  <si>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</si>
  <si>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</si>
  <si>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</si>
  <si>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</si>
  <si>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</si>
  <si>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</si>
  <si>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</si>
  <si>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</si>
  <si>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</si>
  <si>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</si>
  <si>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</si>
  <si>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</si>
  <si>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</si>
  <si>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</si>
  <si>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</si>
  <si>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</si>
  <si>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</si>
  <si>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</si>
  <si>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</si>
  <si>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</si>
  <si>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</si>
  <si>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</si>
  <si>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</si>
  <si>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</si>
  <si>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</si>
  <si>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</si>
  <si>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</si>
  <si>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</si>
  <si>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</si>
  <si>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</si>
  <si>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</si>
  <si>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</si>
  <si>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</si>
  <si>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</si>
  <si>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</si>
  <si>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</si>
  <si>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</si>
  <si>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</si>
  <si>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</si>
  <si>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</si>
  <si>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</si>
  <si>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</si>
  <si>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</si>
  <si>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</si>
  <si>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</si>
  <si>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</si>
  <si>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</si>
  <si>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</si>
  <si>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</si>
  <si>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</si>
  <si>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</si>
  <si>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</si>
  <si>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</si>
  <si>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</si>
  <si>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</si>
  <si>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</si>
  <si>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</si>
  <si>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</si>
  <si>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</si>
  <si>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</si>
  <si>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</si>
  <si>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</si>
  <si>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</si>
  <si>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</si>
  <si>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</si>
  <si>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</si>
  <si>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</si>
  <si>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</si>
  <si>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</si>
  <si>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</si>
  <si>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</si>
  <si>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</si>
  <si>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</si>
  <si>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</si>
  <si>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</si>
  <si>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</si>
  <si>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</si>
  <si>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</si>
  <si>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</si>
  <si>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</si>
  <si>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</si>
  <si>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</si>
  <si>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</si>
  <si>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</si>
  <si>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</si>
  <si>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</si>
  <si>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</si>
  <si>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</si>
  <si>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</si>
  <si>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</si>
  <si>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</si>
  <si>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</si>
  <si>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</si>
  <si>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</si>
  <si>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</si>
  <si>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</si>
  <si>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</si>
  <si>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</si>
  <si>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</si>
  <si>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</si>
  <si>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</si>
  <si>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</si>
  <si>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</si>
  <si>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</si>
  <si>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</si>
  <si>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</si>
  <si>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</si>
  <si>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</si>
  <si>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</si>
  <si>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</si>
  <si>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</si>
  <si>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</si>
  <si>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</si>
  <si>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</si>
  <si>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</si>
  <si>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</si>
  <si>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</si>
  <si>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</si>
  <si>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</si>
  <si>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</si>
  <si>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</si>
  <si>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</si>
  <si>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</si>
  <si>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</si>
  <si>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</si>
  <si>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</si>
  <si>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</si>
  <si>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</si>
  <si>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</si>
  <si>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</si>
  <si>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</si>
  <si>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</si>
  <si>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</si>
  <si>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</si>
  <si>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</si>
  <si>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</si>
  <si>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</si>
  <si>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</si>
  <si>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</si>
  <si>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</si>
  <si>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</si>
  <si>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</si>
  <si>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</si>
  <si>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</si>
  <si>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</si>
  <si>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</si>
  <si>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</si>
  <si>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</si>
  <si>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</si>
  <si>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</si>
  <si>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</si>
  <si>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</si>
  <si>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</si>
  <si>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</si>
  <si>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</si>
  <si>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</si>
  <si>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</si>
  <si>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</si>
  <si>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</si>
  <si>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</si>
  <si>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</si>
  <si>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</si>
  <si>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</si>
  <si>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</si>
  <si>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</si>
  <si>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</si>
  <si>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</si>
  <si>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</si>
  <si>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</si>
  <si>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</si>
  <si>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</si>
  <si>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</si>
  <si>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</si>
  <si>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</si>
  <si>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</si>
  <si>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</si>
  <si>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</si>
  <si>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</si>
  <si>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</si>
  <si>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</si>
  <si>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</si>
  <si>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</si>
  <si>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</si>
  <si>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</si>
  <si>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</si>
  <si>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</si>
  <si>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</si>
  <si>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</si>
  <si>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</si>
  <si>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</si>
  <si>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</si>
  <si>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</si>
  <si>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</si>
  <si>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</si>
  <si>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</si>
  <si>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</si>
  <si>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</si>
  <si>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</si>
  <si>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</si>
  <si>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</si>
  <si>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</si>
  <si>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</si>
  <si>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</si>
  <si>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</si>
  <si>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</si>
  <si>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</si>
  <si>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</si>
  <si>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</si>
  <si>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</si>
  <si>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</si>
  <si>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</si>
  <si>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</si>
  <si>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</si>
  <si>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</si>
  <si>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</si>
  <si>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</si>
  <si>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</si>
  <si>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</si>
  <si>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</si>
  <si>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</si>
  <si>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</si>
  <si>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</si>
  <si>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</si>
  <si>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</si>
  <si>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</si>
  <si>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</si>
  <si>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</si>
  <si>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</si>
  <si>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</si>
  <si>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</si>
  <si>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</si>
  <si>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</si>
  <si>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</si>
  <si>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</si>
  <si>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</si>
  <si>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</si>
  <si>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</si>
  <si>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</si>
  <si>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</si>
  <si>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</si>
  <si>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</si>
  <si>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</si>
  <si>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</si>
  <si>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</si>
  <si>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</si>
  <si>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</si>
  <si>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</si>
  <si>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</si>
  <si>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</si>
  <si>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</si>
  <si>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</si>
  <si>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</si>
  <si>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</si>
  <si>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</si>
  <si>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</si>
  <si>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</si>
  <si>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</si>
  <si>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</si>
  <si>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</si>
  <si>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</si>
  <si>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</si>
  <si>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</si>
  <si>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</si>
  <si>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</si>
  <si>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</si>
  <si>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</si>
  <si>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</si>
  <si>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</si>
  <si>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</si>
  <si>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</si>
  <si>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</si>
  <si>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</si>
  <si>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</si>
  <si>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</si>
  <si>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</si>
  <si>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</si>
  <si>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</si>
  <si>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</si>
  <si>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</si>
  <si>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</si>
  <si>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</si>
  <si>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</si>
  <si>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</si>
  <si>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</si>
  <si>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</si>
  <si>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</si>
  <si>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</si>
  <si>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</si>
  <si>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</si>
  <si>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</si>
  <si>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</si>
  <si>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</si>
  <si>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</si>
  <si>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</si>
  <si>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</si>
  <si>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</si>
  <si>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</si>
  <si>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</si>
  <si>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</si>
  <si>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</si>
  <si>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</si>
  <si>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</si>
  <si>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</si>
  <si>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</si>
  <si>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</si>
  <si>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</si>
  <si>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</si>
  <si>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</si>
  <si>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</si>
  <si>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</si>
  <si>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</si>
  <si>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</si>
  <si>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</si>
  <si>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</si>
  <si>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</si>
  <si>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</si>
  <si>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</si>
  <si>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</si>
  <si>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</si>
  <si>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</si>
  <si>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</si>
  <si>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</si>
  <si>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</si>
  <si>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</si>
  <si>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</si>
  <si>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</si>
  <si>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</si>
  <si>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</si>
  <si>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</si>
  <si>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</si>
  <si>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</si>
  <si>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</si>
  <si>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</si>
  <si>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</si>
  <si>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</si>
  <si>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</si>
  <si>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</si>
  <si>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</si>
  <si>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</si>
  <si>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</si>
  <si>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</si>
  <si>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</si>
  <si>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</si>
  <si>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</si>
  <si>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</si>
  <si>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</si>
  <si>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</si>
  <si>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</si>
  <si>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</si>
  <si>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</si>
  <si>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</si>
  <si>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</si>
  <si>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</si>
  <si>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</si>
  <si>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</si>
  <si>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</si>
  <si>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</si>
  <si>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</si>
  <si>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</si>
  <si>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</si>
  <si>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</si>
  <si>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</si>
  <si>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</si>
  <si>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</si>
  <si>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</si>
  <si>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</si>
  <si>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</si>
  <si>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</si>
  <si>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</si>
  <si>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</si>
  <si>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</si>
  <si>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</si>
  <si>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</si>
  <si>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</si>
  <si>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</si>
  <si>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</si>
  <si>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</si>
  <si>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</si>
  <si>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</si>
  <si>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</si>
  <si>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</si>
  <si>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</si>
  <si>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</si>
  <si>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</si>
  <si>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</si>
  <si>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</si>
  <si>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</si>
  <si>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</si>
  <si>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</si>
  <si>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</si>
  <si>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</si>
  <si>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</si>
  <si>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</si>
  <si>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</si>
  <si>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</si>
  <si>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</si>
  <si>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</si>
  <si>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</si>
  <si>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</si>
  <si>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</si>
  <si>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</si>
  <si>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</si>
  <si>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</si>
  <si>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</si>
  <si>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</si>
  <si>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</si>
  <si>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</si>
  <si>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</si>
  <si>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</si>
  <si>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</si>
  <si>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</si>
  <si>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</si>
  <si>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</si>
  <si>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</si>
  <si>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</si>
  <si>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</si>
  <si>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</si>
  <si>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</si>
  <si>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</si>
  <si>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</si>
  <si>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</si>
  <si>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</si>
  <si>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</si>
  <si>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</si>
  <si>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</si>
  <si>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</si>
  <si>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</si>
  <si>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</si>
  <si>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</si>
  <si>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</si>
  <si>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</si>
  <si>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</si>
  <si>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</si>
  <si>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</si>
  <si>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</si>
  <si>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</si>
  <si>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</si>
  <si>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</si>
  <si>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</si>
  <si>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</si>
  <si>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</si>
  <si>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</si>
  <si>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</si>
  <si>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</si>
  <si>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</si>
  <si>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</si>
  <si>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</si>
  <si>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</si>
  <si>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</si>
  <si>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</si>
  <si>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</si>
  <si>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</si>
  <si>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</si>
  <si>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</si>
  <si>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</si>
  <si>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</si>
  <si>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</si>
  <si>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</si>
  <si>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</si>
  <si>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</si>
  <si>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</si>
  <si>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</si>
  <si>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</si>
  <si>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</si>
  <si>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</si>
  <si>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</si>
  <si>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</si>
  <si>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</si>
  <si>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</si>
  <si>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</si>
  <si>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</si>
  <si>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</si>
  <si>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</si>
  <si>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</si>
  <si>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</si>
  <si>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</si>
  <si>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</si>
  <si>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</si>
  <si>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</si>
  <si>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</si>
  <si>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</si>
  <si>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</si>
  <si>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</si>
  <si>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</si>
  <si>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</si>
  <si>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</si>
  <si>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</si>
  <si>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</si>
  <si>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</si>
  <si>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</si>
  <si>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</si>
  <si>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</si>
  <si>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</si>
  <si>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</si>
  <si>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</si>
  <si>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</si>
  <si>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</si>
  <si>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</si>
  <si>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</si>
  <si>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</si>
  <si>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</si>
  <si>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</si>
  <si>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</si>
  <si>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</si>
  <si>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</si>
  <si>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</si>
  <si>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</si>
  <si>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</si>
  <si>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</si>
  <si>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</si>
  <si>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</si>
  <si>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</si>
  <si>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</si>
  <si>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</si>
  <si>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</si>
  <si>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</si>
  <si>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</si>
  <si>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</si>
  <si>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</si>
  <si>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</si>
  <si>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</si>
  <si>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</si>
  <si>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</si>
  <si>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</si>
  <si>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</si>
  <si>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</si>
  <si>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</si>
  <si>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</si>
  <si>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</si>
  <si>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</si>
  <si>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</si>
  <si>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</si>
  <si>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</si>
  <si>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</si>
  <si>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</si>
  <si>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</si>
  <si>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</si>
  <si>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</si>
  <si>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</si>
  <si>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</si>
  <si>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</si>
  <si>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</si>
  <si>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</si>
  <si>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</si>
  <si>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</si>
  <si>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</si>
  <si>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</si>
  <si>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</si>
  <si>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</si>
  <si>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</si>
  <si>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</si>
  <si>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</si>
  <si>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</si>
  <si>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</si>
  <si>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</si>
  <si>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</si>
  <si>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</si>
  <si>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</si>
  <si>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</si>
  <si>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</si>
  <si>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</si>
  <si>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</si>
  <si>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</si>
  <si>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</si>
  <si>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</si>
  <si>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</si>
  <si>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</si>
  <si>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</si>
  <si>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</si>
  <si>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</si>
  <si>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</si>
  <si>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</si>
  <si>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</si>
  <si>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</si>
  <si>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</si>
  <si>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</si>
  <si>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</si>
  <si>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</si>
  <si>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</si>
  <si>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</si>
  <si>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</si>
  <si>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</si>
  <si>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</si>
  <si>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</si>
  <si>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</si>
  <si>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</si>
  <si>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</si>
  <si>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</si>
  <si>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</si>
  <si>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</si>
  <si>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</si>
  <si>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</si>
  <si>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</si>
  <si>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</si>
  <si>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</si>
  <si>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</si>
  <si>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</si>
  <si>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</si>
  <si>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</si>
  <si>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</si>
  <si>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</si>
  <si>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</si>
  <si>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</si>
  <si>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</si>
  <si>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</si>
  <si>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</si>
  <si>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</si>
  <si>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</si>
  <si>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</si>
  <si>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</si>
  <si>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</si>
  <si>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</si>
  <si>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</si>
  <si>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</si>
  <si>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</si>
  <si>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</si>
  <si>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</si>
  <si>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</si>
  <si>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</si>
  <si>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</si>
  <si>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</si>
  <si>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</si>
  <si>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</si>
  <si>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</si>
  <si>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</si>
  <si>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</si>
  <si>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</si>
  <si>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</si>
  <si>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</si>
  <si>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</si>
  <si>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</si>
  <si>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</si>
  <si>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</si>
  <si>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</si>
  <si>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</si>
  <si>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</si>
  <si>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</si>
  <si>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</si>
  <si>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</si>
  <si>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</si>
  <si>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</si>
  <si>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</si>
  <si>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</si>
  <si>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</si>
  <si>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</si>
  <si>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</si>
  <si>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</si>
  <si>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</si>
  <si>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</si>
  <si>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</si>
  <si>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</si>
  <si>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</si>
  <si>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</si>
  <si>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</si>
  <si>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</si>
  <si>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</si>
  <si>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</si>
  <si>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</si>
  <si>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</si>
  <si>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</si>
  <si>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</si>
  <si>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</si>
  <si>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</si>
  <si>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</si>
  <si>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</si>
  <si>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</si>
  <si>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</si>
  <si>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</si>
  <si>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</si>
  <si>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</si>
  <si>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</si>
  <si>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</si>
  <si>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</si>
  <si>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</si>
  <si>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</si>
  <si>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</si>
  <si>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</si>
  <si>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</si>
  <si>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</si>
  <si>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</si>
  <si>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</si>
  <si>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</si>
  <si>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</si>
  <si>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</si>
  <si>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</si>
  <si>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</si>
  <si>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</si>
  <si>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</si>
  <si>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</si>
  <si>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</si>
  <si>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</si>
  <si>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</si>
  <si>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</si>
  <si>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</si>
  <si>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</si>
  <si>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</si>
  <si>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</si>
  <si>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</si>
  <si>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</si>
  <si>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</si>
  <si>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</si>
  <si>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</si>
  <si>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</si>
  <si>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</si>
  <si>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</si>
  <si>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</si>
  <si>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</si>
  <si>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</si>
  <si>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</si>
  <si>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</si>
  <si>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</si>
  <si>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</si>
  <si>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</si>
  <si>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</si>
  <si>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</si>
  <si>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</si>
  <si>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</si>
  <si>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</si>
  <si>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</si>
  <si>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</si>
  <si>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</si>
  <si>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</si>
  <si>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</si>
  <si>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</si>
  <si>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</si>
  <si>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</si>
  <si>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</si>
  <si>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</si>
  <si>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</si>
  <si>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</si>
  <si>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</si>
  <si>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</si>
  <si>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</si>
  <si>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</si>
  <si>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</si>
  <si>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</si>
  <si>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</si>
  <si>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</si>
  <si>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</si>
  <si>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</si>
  <si>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</si>
  <si>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</si>
  <si>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</si>
  <si>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</si>
  <si>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</si>
  <si>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</si>
  <si>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</si>
  <si>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</si>
  <si>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</si>
  <si>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</si>
  <si>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</si>
  <si>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</si>
  <si>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</si>
  <si>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</si>
  <si>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</si>
  <si>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</si>
  <si>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</si>
  <si>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</si>
  <si>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</si>
  <si>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</si>
  <si>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</si>
  <si>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</si>
  <si>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</si>
  <si>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</si>
  <si>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</si>
  <si>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</si>
  <si>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</si>
  <si>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</si>
  <si>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</si>
  <si>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</si>
  <si>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</si>
  <si>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</si>
  <si>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</si>
  <si>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</si>
  <si>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</si>
  <si>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</si>
  <si>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</si>
  <si>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</si>
  <si>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</si>
  <si>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</si>
  <si>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</si>
  <si>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</si>
  <si>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</si>
  <si>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</si>
  <si>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</si>
  <si>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</si>
  <si>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</si>
  <si>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</si>
  <si>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</si>
  <si>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</si>
  <si>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</si>
  <si>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</si>
  <si>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</si>
  <si>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</si>
  <si>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</si>
  <si>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</si>
  <si>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</si>
  <si>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</si>
  <si>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</si>
  <si>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</si>
  <si>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</si>
  <si>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</si>
  <si>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</si>
  <si>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</si>
  <si>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</si>
  <si>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</si>
  <si>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</si>
  <si>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</si>
  <si>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</si>
  <si>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</si>
  <si>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</si>
  <si>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</si>
  <si>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</si>
  <si>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</si>
  <si>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</si>
  <si>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</si>
  <si>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</si>
  <si>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</si>
  <si>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</si>
  <si>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</si>
  <si>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</si>
  <si>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</si>
  <si>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</si>
  <si>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</si>
  <si>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</si>
  <si>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</si>
  <si>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</si>
  <si>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</si>
  <si>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</si>
  <si>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</si>
  <si>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</si>
  <si>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</si>
  <si>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</si>
  <si>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</si>
  <si>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</si>
  <si>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</si>
  <si>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</si>
  <si>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</si>
  <si>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</si>
  <si>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</si>
  <si>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</si>
  <si>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</si>
  <si>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</si>
  <si>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</si>
  <si>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</si>
  <si>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</si>
  <si>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</si>
  <si>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</si>
  <si>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</si>
  <si>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</si>
  <si>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</si>
  <si>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</si>
  <si>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</si>
  <si>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</si>
  <si>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</si>
  <si>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</si>
  <si>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</si>
  <si>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</si>
  <si>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</si>
  <si>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</si>
  <si>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</si>
  <si>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</si>
  <si>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</si>
  <si>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</si>
  <si>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</si>
  <si>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</si>
  <si>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</si>
  <si>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</si>
  <si>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</si>
  <si>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</si>
  <si>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</si>
  <si>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</si>
  <si>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</si>
  <si>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</si>
  <si>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</si>
  <si>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</si>
  <si>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</si>
  <si>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</si>
  <si>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</si>
  <si>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</si>
  <si>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</si>
  <si>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</si>
  <si>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</si>
  <si>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</si>
  <si>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</si>
  <si>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</si>
  <si>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</si>
  <si>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</si>
  <si>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</si>
  <si>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</si>
  <si>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</si>
  <si>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</si>
  <si>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</si>
  <si>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</si>
  <si>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</si>
  <si>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</si>
  <si>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</si>
  <si>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</si>
  <si>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</si>
  <si>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</si>
  <si>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</si>
  <si>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</si>
  <si>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</si>
  <si>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</si>
  <si>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</si>
  <si>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</si>
  <si>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</si>
  <si>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</si>
  <si>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</si>
  <si>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</si>
  <si>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</si>
  <si>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</si>
  <si>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</si>
  <si>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</si>
  <si>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</si>
  <si>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</si>
  <si>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</si>
  <si>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</si>
  <si>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</si>
  <si>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</si>
  <si>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</si>
  <si>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</si>
  <si>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</si>
  <si>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</si>
  <si>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</si>
  <si>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</si>
  <si>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</si>
  <si>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</si>
  <si>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</si>
  <si>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</si>
  <si>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</si>
  <si>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</si>
  <si>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</si>
  <si>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</si>
  <si>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</si>
  <si>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</si>
  <si>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</si>
  <si>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</si>
  <si>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</si>
  <si>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</si>
  <si>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</si>
  <si>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</si>
  <si>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</si>
  <si>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</si>
  <si>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</si>
  <si>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</si>
  <si>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</si>
  <si>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</si>
  <si>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</si>
  <si>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</si>
  <si>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</si>
  <si>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</si>
  <si>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</si>
  <si>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</si>
  <si>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</si>
  <si>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</si>
  <si>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</si>
  <si>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</si>
  <si>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</si>
  <si>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</si>
  <si>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</si>
  <si>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</si>
  <si>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</si>
  <si>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</si>
  <si>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</si>
  <si>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</si>
  <si>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</si>
  <si>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</si>
  <si>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</si>
  <si>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</si>
  <si>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</si>
  <si>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</si>
  <si>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</si>
  <si>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</si>
  <si>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</si>
  <si>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</si>
  <si>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</si>
  <si>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</si>
  <si>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</si>
  <si>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</si>
  <si>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</si>
  <si>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</si>
  <si>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</si>
  <si>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</si>
  <si>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</si>
  <si>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</si>
  <si>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</si>
  <si>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</si>
  <si>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</si>
  <si>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</si>
  <si>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</si>
  <si>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</si>
  <si>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</si>
  <si>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</si>
  <si>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Ketul Patel</t>
  </si>
  <si>
    <t>Mike Fitzgerald</t>
  </si>
  <si>
    <t>Roy Brooks</t>
  </si>
  <si>
    <t>253-588-1711</t>
  </si>
  <si>
    <t>253-588-3001</t>
  </si>
  <si>
    <t>142</t>
  </si>
  <si>
    <t>Harrison Medical Center</t>
  </si>
  <si>
    <t>2520 Cherry Avenue</t>
  </si>
  <si>
    <t>Bremerton, WA 98310</t>
  </si>
  <si>
    <t>Kitsap</t>
  </si>
  <si>
    <t>Expense &amp; UOM are in line with increase in revenue.</t>
  </si>
  <si>
    <t>Increase to UOM due to reporting change from Visits to Billable Tests. Outreach Lab - new reporting for FY19</t>
  </si>
  <si>
    <t>Meals decreased 287K primarily in Bremerton Location. Expense calculates based on depreciation. Higher depreciation was recorded for FY19.</t>
  </si>
  <si>
    <t>UOM based on sq footage.  Decrease due to movement of 10K sq feet to Hosp Admin 8610 for Family Medical Residency. Expense is in line.</t>
  </si>
  <si>
    <t>St Michael Medical Center</t>
  </si>
  <si>
    <t>Sum of YTD</t>
  </si>
  <si>
    <t>Column Labels</t>
  </si>
  <si>
    <t>Row Labels</t>
  </si>
  <si>
    <t>Inpatient Service Gross Rev</t>
  </si>
  <si>
    <t>Outpatient care services revenue</t>
  </si>
  <si>
    <t>Contractual Allowance</t>
  </si>
  <si>
    <t>Charity Care Allowance</t>
  </si>
  <si>
    <t>Provision for Doutful Account</t>
  </si>
  <si>
    <t>Contract Labor</t>
  </si>
  <si>
    <t>Benefits</t>
  </si>
  <si>
    <t>Medical Professional Fees</t>
  </si>
  <si>
    <t>Supplies Expenses</t>
  </si>
  <si>
    <t>Utilities expense</t>
  </si>
  <si>
    <t>Depreciation and amortization</t>
  </si>
  <si>
    <t>Nonoperating gains (losses) (Investment Inc)</t>
  </si>
  <si>
    <t>Purchase Services - Others</t>
  </si>
  <si>
    <t>Rentals and leases</t>
  </si>
  <si>
    <t>Grand Total</t>
  </si>
  <si>
    <t>Net Income</t>
  </si>
  <si>
    <t>DOH Acct</t>
  </si>
  <si>
    <t>Sum of Inpatient services gross revenue</t>
  </si>
  <si>
    <t>Sum of Total Outpatient Rev</t>
  </si>
  <si>
    <t>leave blank</t>
  </si>
  <si>
    <t>Sum of Salaries and wages</t>
  </si>
  <si>
    <t>Sum of Medical professional fees</t>
  </si>
  <si>
    <t>Sum of Employee benefits</t>
  </si>
  <si>
    <t>Sum of Supplies expense</t>
  </si>
  <si>
    <t>Sum of Utilities expense</t>
  </si>
  <si>
    <t>Sum of Depreciation and amortization</t>
  </si>
  <si>
    <t>Col 3+4</t>
  </si>
  <si>
    <t>Sum of Gross patient services revenue</t>
  </si>
  <si>
    <t>Sum of Rentals and leases</t>
  </si>
  <si>
    <t>"leave blank open column"</t>
  </si>
  <si>
    <t>Sum of Interest expense</t>
  </si>
  <si>
    <t>Sum of Insurance expense</t>
  </si>
  <si>
    <t>Sum of Total Other Exp</t>
  </si>
  <si>
    <t>Sum of Nonoperating gains (losses)</t>
  </si>
  <si>
    <t>Sum of Income Statement</t>
  </si>
  <si>
    <t>Sum of Total nonpatient revenues (Recoveries)</t>
  </si>
  <si>
    <t>Sum of Total Purchased Service (Other)</t>
  </si>
  <si>
    <t>Sum of Other expenses(same as 19)</t>
  </si>
  <si>
    <t>Sum of Total operating revenue (same as 7)</t>
  </si>
  <si>
    <t>Sum of Total operating expenses</t>
  </si>
  <si>
    <t>Not used moved to end</t>
  </si>
  <si>
    <t>Total Salary &amp; Wage includes Contract</t>
  </si>
  <si>
    <t>Col 8 + 24</t>
  </si>
  <si>
    <t>Raw Data</t>
  </si>
  <si>
    <t>use col total at end #24</t>
  </si>
  <si>
    <t>Hospital Admin</t>
  </si>
  <si>
    <t>IVT</t>
  </si>
  <si>
    <t>Entered into DOH category as noted</t>
  </si>
  <si>
    <t>Enter into 7490 - add this cell to current formula</t>
  </si>
  <si>
    <t>Enter in 7490-add this cell to current formula</t>
  </si>
  <si>
    <t>Manually Enter - Data Tab Cell CD70</t>
  </si>
  <si>
    <t xml:space="preserve">Enter into 8790-other admin-add this cell to current formula </t>
  </si>
  <si>
    <t>Manually Enter - Data Tab B48</t>
  </si>
  <si>
    <t>Enter into 7490-add this cell to current formula</t>
  </si>
  <si>
    <t>Enter into 8790-other admin</t>
  </si>
  <si>
    <t>Manually Enter - Data Tab Cell B52</t>
  </si>
  <si>
    <t>Manually Enter - Data Tab Cell CD69</t>
  </si>
  <si>
    <t>Sum of Nurse Total</t>
  </si>
  <si>
    <t>Sum of FTE Total</t>
  </si>
  <si>
    <t>Electro- diagnosis</t>
  </si>
  <si>
    <t>Radiology -  Diagnostic</t>
  </si>
  <si>
    <t>Radiology -  Therapeutic</t>
  </si>
  <si>
    <t>Free-Standing Clinics</t>
  </si>
  <si>
    <t>Research/Education Costs</t>
  </si>
  <si>
    <t>Utilization Management</t>
  </si>
  <si>
    <t>Note: Will have accts</t>
  </si>
  <si>
    <t>that are non nursing but have FTE's</t>
  </si>
  <si>
    <t>just ignore and record whatever</t>
  </si>
  <si>
    <t>accts are available on the data tab</t>
  </si>
  <si>
    <t>Square Foot</t>
  </si>
  <si>
    <t xml:space="preserve">% </t>
  </si>
  <si>
    <t>Alternative Birth Ctr</t>
  </si>
  <si>
    <t>Physical Rehab</t>
  </si>
  <si>
    <t xml:space="preserve">Nursery </t>
  </si>
  <si>
    <t>Hospice Inpatient</t>
  </si>
  <si>
    <t>Labor &amp; Delivery</t>
  </si>
  <si>
    <t xml:space="preserve">Anesthesiology </t>
  </si>
  <si>
    <t xml:space="preserve">Laboratory </t>
  </si>
  <si>
    <t>Magnetic Res Imaging</t>
  </si>
  <si>
    <t xml:space="preserve">Pharmacy </t>
  </si>
  <si>
    <t xml:space="preserve">Dialysis </t>
  </si>
  <si>
    <t xml:space="preserve">Ambulance </t>
  </si>
  <si>
    <t xml:space="preserve">Clinics </t>
  </si>
  <si>
    <t>Electro- myogray</t>
  </si>
  <si>
    <t xml:space="preserve">Lithotripsy </t>
  </si>
  <si>
    <t>Organ Transplants</t>
  </si>
  <si>
    <t>Outpatient Chem. Dep.</t>
  </si>
  <si>
    <t xml:space="preserve">Dietary </t>
  </si>
  <si>
    <t xml:space="preserve">Cafeteria </t>
  </si>
  <si>
    <t xml:space="preserve">Purchasing </t>
  </si>
  <si>
    <t xml:space="preserve">Plant </t>
  </si>
  <si>
    <t xml:space="preserve">Housekeeping </t>
  </si>
  <si>
    <t xml:space="preserve">Communication </t>
  </si>
  <si>
    <t xml:space="preserve">Accounting </t>
  </si>
  <si>
    <t xml:space="preserve">Admitting </t>
  </si>
  <si>
    <t>Other Fiscal Svcs</t>
  </si>
  <si>
    <t>Employee Health</t>
  </si>
  <si>
    <t xml:space="preserve">Personnel </t>
  </si>
  <si>
    <t>Row 59 Col BE (sq feet)</t>
  </si>
  <si>
    <t>ALSO ROW 76 FOR EA DOH#</t>
  </si>
  <si>
    <t>.</t>
  </si>
  <si>
    <t>ZERO OUT PURPLE AU'S AND RECALC FOR HOUSEKEEPING ONLY!</t>
  </si>
  <si>
    <t>ZERO OUT PURPLE DOH# ON WORKBOOK</t>
  </si>
  <si>
    <t>Used to Calc Housekeeping Hrs Only!!</t>
  </si>
  <si>
    <t xml:space="preserve">TO RECALC HOUSKEEPING SINCE THESE AU'S </t>
  </si>
  <si>
    <t>HAVE SQ FT BUT NO HOUSEKEEPING. THIS</t>
  </si>
  <si>
    <t>Name/leave blank</t>
  </si>
  <si>
    <t>Enter in CD69 - include with other exp othrwise purple sheet will not tie. Listed at expense not non op on inc stmt</t>
  </si>
  <si>
    <t>FY20 EKG AU 4905107 rolled into Respiratory Therapy AU 4950107 DOH#7180</t>
  </si>
  <si>
    <t>MRI AU 4815107 Expense and Stat are in line w/revenue</t>
  </si>
  <si>
    <t>FY20 New PED Speech Therapy Silv AU 4351107. Expense increased.</t>
  </si>
  <si>
    <t>FY20 Mapping change from DOH 8330 to 8320 for Stat - Rev &amp; Exp were already aligned correctly</t>
  </si>
  <si>
    <t>Dr. Uli Chi</t>
  </si>
  <si>
    <t>Ties to source doc? Off by 5 fte's but used carolines email#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</si>
</sst>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2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parajita"/>
      <family val="2"/>
    </font>
    <font>
      <b/>
      <sz val="12"/>
      <name val="Courier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9FF99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  <xf numFmtId="43" fontId="1" fillId="0" borderId="0" applyFont="0" applyFill="0" applyBorder="0" applyAlignment="0" applyProtection="0"/>
  </cellStyleXfs>
  <cellXfs count="34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0" fillId="0" borderId="0" xfId="0" applyAlignment="1">
      <alignment horizontal="left"/>
    </xf>
    <xf numFmtId="43" fontId="0" fillId="0" borderId="0" xfId="0" applyNumberFormat="1"/>
    <xf numFmtId="37" fontId="0" fillId="8" borderId="0" xfId="0" applyFill="1" applyAlignment="1">
      <alignment horizontal="left"/>
    </xf>
    <xf numFmtId="1" fontId="15" fillId="0" borderId="0" xfId="1" applyNumberFormat="1" applyFont="1" applyBorder="1" applyAlignment="1">
      <alignment horizontal="center"/>
    </xf>
    <xf numFmtId="37" fontId="16" fillId="9" borderId="33" xfId="0" applyFont="1" applyFill="1" applyBorder="1" applyAlignment="1">
      <alignment wrapText="1"/>
    </xf>
    <xf numFmtId="0" fontId="17" fillId="10" borderId="12" xfId="0" applyNumberFormat="1" applyFont="1" applyFill="1" applyBorder="1" applyAlignment="1">
      <alignment wrapText="1"/>
    </xf>
    <xf numFmtId="37" fontId="17" fillId="0" borderId="12" xfId="0" applyFont="1" applyBorder="1" applyAlignment="1">
      <alignment wrapText="1"/>
    </xf>
    <xf numFmtId="37" fontId="16" fillId="9" borderId="33" xfId="0" applyFont="1" applyFill="1" applyBorder="1"/>
    <xf numFmtId="37" fontId="0" fillId="0" borderId="0" xfId="0" applyBorder="1"/>
    <xf numFmtId="1" fontId="17" fillId="0" borderId="0" xfId="1" applyNumberFormat="1" applyFont="1" applyBorder="1" applyAlignment="1">
      <alignment horizontal="center"/>
    </xf>
    <xf numFmtId="37" fontId="16" fillId="11" borderId="33" xfId="0" applyFont="1" applyFill="1" applyBorder="1" applyAlignment="1">
      <alignment wrapText="1"/>
    </xf>
    <xf numFmtId="37" fontId="16" fillId="11" borderId="33" xfId="0" applyFont="1" applyFill="1" applyBorder="1"/>
    <xf numFmtId="49" fontId="1" fillId="0" borderId="0" xfId="0" applyNumberFormat="1" applyFont="1" applyAlignment="1">
      <alignment horizontal="left"/>
    </xf>
    <xf numFmtId="37" fontId="1" fillId="0" borderId="0" xfId="0" applyFont="1" applyAlignment="1">
      <alignment horizontal="left"/>
    </xf>
    <xf numFmtId="43" fontId="1" fillId="0" borderId="0" xfId="0" applyNumberFormat="1" applyFont="1"/>
    <xf numFmtId="37" fontId="1" fillId="0" borderId="0" xfId="0" applyFont="1"/>
    <xf numFmtId="37" fontId="1" fillId="8" borderId="0" xfId="0" applyFont="1" applyFill="1" applyAlignment="1">
      <alignment horizontal="left"/>
    </xf>
    <xf numFmtId="37" fontId="1" fillId="12" borderId="0" xfId="0" applyFont="1" applyFill="1"/>
    <xf numFmtId="43" fontId="1" fillId="12" borderId="0" xfId="0" applyNumberFormat="1" applyFont="1" applyFill="1"/>
    <xf numFmtId="43" fontId="17" fillId="13" borderId="8" xfId="1" applyFont="1" applyFill="1" applyBorder="1"/>
    <xf numFmtId="0" fontId="1" fillId="12" borderId="0" xfId="1" applyNumberFormat="1" applyFont="1" applyFill="1" applyBorder="1" applyAlignment="1">
      <alignment horizontal="center" wrapText="1"/>
    </xf>
    <xf numFmtId="43" fontId="1" fillId="14" borderId="0" xfId="1" applyFont="1" applyFill="1" applyBorder="1" applyAlignment="1">
      <alignment horizontal="center" wrapText="1"/>
    </xf>
    <xf numFmtId="43" fontId="1" fillId="14" borderId="0" xfId="0" applyNumberFormat="1" applyFont="1" applyFill="1"/>
    <xf numFmtId="0" fontId="1" fillId="0" borderId="0" xfId="1" applyNumberFormat="1" applyFont="1" applyFill="1" applyBorder="1" applyAlignment="1">
      <alignment horizontal="center" wrapText="1"/>
    </xf>
    <xf numFmtId="43" fontId="1" fillId="12" borderId="0" xfId="1" applyFont="1" applyFill="1" applyBorder="1" applyAlignment="1">
      <alignment wrapText="1"/>
    </xf>
    <xf numFmtId="37" fontId="0" fillId="0" borderId="0" xfId="0" applyAlignment="1">
      <alignment horizontal="center"/>
    </xf>
    <xf numFmtId="0" fontId="1" fillId="0" borderId="34" xfId="0" applyNumberFormat="1" applyFont="1" applyBorder="1"/>
    <xf numFmtId="43" fontId="1" fillId="0" borderId="34" xfId="1" applyFont="1" applyBorder="1"/>
    <xf numFmtId="0" fontId="17" fillId="0" borderId="35" xfId="0" applyNumberFormat="1" applyFont="1" applyBorder="1" applyAlignment="1">
      <alignment wrapText="1"/>
    </xf>
    <xf numFmtId="37" fontId="17" fillId="0" borderId="35" xfId="0" applyFont="1" applyBorder="1" applyAlignment="1">
      <alignment wrapText="1"/>
    </xf>
    <xf numFmtId="0" fontId="17" fillId="0" borderId="36" xfId="0" applyNumberFormat="1" applyFont="1" applyBorder="1" applyAlignment="1">
      <alignment wrapText="1"/>
    </xf>
    <xf numFmtId="37" fontId="17" fillId="0" borderId="36" xfId="0" applyFont="1" applyBorder="1" applyAlignment="1">
      <alignment wrapText="1"/>
    </xf>
    <xf numFmtId="0" fontId="1" fillId="0" borderId="36" xfId="0" applyNumberFormat="1" applyFont="1" applyBorder="1"/>
    <xf numFmtId="37" fontId="1" fillId="0" borderId="36" xfId="0" applyFont="1" applyBorder="1"/>
    <xf numFmtId="43" fontId="1" fillId="0" borderId="37" xfId="0" applyNumberFormat="1" applyFont="1" applyBorder="1"/>
    <xf numFmtId="43" fontId="1" fillId="0" borderId="38" xfId="0" applyNumberFormat="1" applyFont="1" applyBorder="1"/>
    <xf numFmtId="43" fontId="1" fillId="0" borderId="39" xfId="0" applyNumberFormat="1" applyFont="1" applyBorder="1"/>
    <xf numFmtId="43" fontId="1" fillId="0" borderId="40" xfId="0" applyNumberFormat="1" applyFont="1" applyBorder="1"/>
    <xf numFmtId="37" fontId="1" fillId="15" borderId="36" xfId="0" applyFont="1" applyFill="1" applyBorder="1"/>
    <xf numFmtId="2" fontId="1" fillId="15" borderId="39" xfId="0" applyNumberFormat="1" applyFont="1" applyFill="1" applyBorder="1"/>
    <xf numFmtId="2" fontId="1" fillId="15" borderId="40" xfId="0" applyNumberFormat="1" applyFont="1" applyFill="1" applyBorder="1"/>
    <xf numFmtId="43" fontId="1" fillId="8" borderId="39" xfId="0" applyNumberFormat="1" applyFont="1" applyFill="1" applyBorder="1"/>
    <xf numFmtId="43" fontId="1" fillId="0" borderId="42" xfId="0" applyNumberFormat="1" applyFont="1" applyBorder="1"/>
    <xf numFmtId="37" fontId="17" fillId="16" borderId="43" xfId="0" applyFont="1" applyFill="1" applyBorder="1"/>
    <xf numFmtId="39" fontId="17" fillId="16" borderId="43" xfId="0" applyNumberFormat="1" applyFont="1" applyFill="1" applyBorder="1"/>
    <xf numFmtId="37" fontId="20" fillId="8" borderId="0" xfId="0" applyFont="1" applyFill="1"/>
    <xf numFmtId="43" fontId="20" fillId="8" borderId="0" xfId="1" applyFont="1" applyFill="1" applyBorder="1"/>
    <xf numFmtId="165" fontId="0" fillId="8" borderId="0" xfId="7" applyNumberFormat="1" applyFont="1" applyFill="1"/>
    <xf numFmtId="10" fontId="0" fillId="0" borderId="0" xfId="3" applyNumberFormat="1" applyFont="1"/>
    <xf numFmtId="37" fontId="5" fillId="14" borderId="0" xfId="0" applyFont="1" applyFill="1"/>
    <xf numFmtId="165" fontId="0" fillId="17" borderId="0" xfId="7" applyNumberFormat="1" applyFont="1" applyFill="1"/>
    <xf numFmtId="0" fontId="1" fillId="18" borderId="36" xfId="0" applyNumberFormat="1" applyFont="1" applyFill="1" applyBorder="1"/>
    <xf numFmtId="37" fontId="5" fillId="18" borderId="0" xfId="0" applyFont="1" applyFill="1"/>
    <xf numFmtId="165" fontId="0" fillId="19" borderId="0" xfId="7" applyNumberFormat="1" applyFont="1" applyFill="1"/>
    <xf numFmtId="0" fontId="1" fillId="0" borderId="35" xfId="0" applyNumberFormat="1" applyFont="1" applyBorder="1"/>
    <xf numFmtId="37" fontId="0" fillId="0" borderId="12" xfId="0" applyBorder="1"/>
    <xf numFmtId="165" fontId="0" fillId="8" borderId="12" xfId="7" applyNumberFormat="1" applyFont="1" applyFill="1" applyBorder="1"/>
    <xf numFmtId="10" fontId="0" fillId="0" borderId="12" xfId="3" applyNumberFormat="1" applyFont="1" applyBorder="1"/>
    <xf numFmtId="37" fontId="5" fillId="0" borderId="0" xfId="0" applyFont="1" applyFill="1" applyBorder="1"/>
    <xf numFmtId="37" fontId="21" fillId="0" borderId="0" xfId="0" applyFont="1" applyFill="1"/>
    <xf numFmtId="9" fontId="0" fillId="0" borderId="0" xfId="3" applyFont="1"/>
    <xf numFmtId="37" fontId="17" fillId="16" borderId="3" xfId="0" applyFont="1" applyFill="1" applyBorder="1"/>
    <xf numFmtId="37" fontId="21" fillId="12" borderId="0" xfId="0" applyFont="1" applyFill="1"/>
    <xf numFmtId="37" fontId="1" fillId="0" borderId="36" xfId="0" applyFont="1" applyFill="1" applyBorder="1"/>
    <xf numFmtId="2" fontId="1" fillId="0" borderId="39" xfId="0" applyNumberFormat="1" applyFont="1" applyFill="1" applyBorder="1"/>
    <xf numFmtId="2" fontId="1" fillId="0" borderId="40" xfId="0" applyNumberFormat="1" applyFont="1" applyFill="1" applyBorder="1"/>
    <xf numFmtId="43" fontId="1" fillId="0" borderId="39" xfId="0" applyNumberFormat="1" applyFont="1" applyFill="1" applyBorder="1"/>
    <xf numFmtId="43" fontId="1" fillId="0" borderId="41" xfId="0" applyNumberFormat="1" applyFont="1" applyFill="1" applyBorder="1"/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Comma 3" xfId="7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 2" xfId="6" xr:uid="{00000000-0005-0000-0000-000005000000}"/>
    <cellStyle name="Normal 6" xfId="5" xr:uid="{00000000-0005-0000-0000-000006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59" transitionEvaluation="1" transitionEntry="1" codeName="Sheet1">
    <pageSetUpPr autoPageBreaks="0" fitToPage="1"/>
  </sheetPr>
  <dimension ref="A1:CF817"/>
  <sheetViews>
    <sheetView showGridLines="0" tabSelected="1" topLeftCell="A41" zoomScale="75" zoomScaleNormal="75" workbookViewId="0">
      <pane xSplit="1" ySplit="18" topLeftCell="B59" activePane="bottomRight" state="frozen"/>
      <selection activeCell="A41" sqref="A41"/>
      <selection pane="topRight" activeCell="B41" sqref="B41"/>
      <selection pane="bottomLeft" activeCell="A59" sqref="A59"/>
      <selection pane="bottomRight" activeCell="B59" sqref="B59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28" t="s">
        <v>1232</v>
      </c>
      <c r="B1" s="229"/>
      <c r="C1" s="229"/>
      <c r="D1" s="229"/>
      <c r="E1" s="229"/>
      <c r="F1" s="229"/>
    </row>
    <row r="2" spans="1:6" ht="12.75" customHeight="1" x14ac:dyDescent="0.2">
      <c r="A2" s="229" t="s">
        <v>1233</v>
      </c>
      <c r="B2" s="229"/>
      <c r="C2" s="230"/>
      <c r="D2" s="229"/>
      <c r="E2" s="229"/>
      <c r="F2" s="229"/>
    </row>
    <row r="3" spans="1:6" ht="12.75" customHeight="1" x14ac:dyDescent="0.2">
      <c r="A3" s="197"/>
      <c r="C3" s="231"/>
    </row>
    <row r="4" spans="1:6" ht="12.75" customHeight="1" x14ac:dyDescent="0.2">
      <c r="C4" s="231"/>
    </row>
    <row r="5" spans="1:6" ht="12.75" customHeight="1" x14ac:dyDescent="0.2">
      <c r="A5" s="197" t="s">
        <v>1258</v>
      </c>
      <c r="C5" s="231"/>
    </row>
    <row r="6" spans="1:6" ht="12.75" customHeight="1" x14ac:dyDescent="0.2">
      <c r="A6" s="197" t="s">
        <v>0</v>
      </c>
      <c r="C6" s="231"/>
    </row>
    <row r="7" spans="1:6" ht="12.75" customHeight="1" x14ac:dyDescent="0.2">
      <c r="A7" s="197" t="s">
        <v>1</v>
      </c>
      <c r="C7" s="231"/>
    </row>
    <row r="8" spans="1:6" ht="12.75" customHeight="1" x14ac:dyDescent="0.2">
      <c r="C8" s="231"/>
    </row>
    <row r="9" spans="1:6" ht="12.75" customHeight="1" x14ac:dyDescent="0.2">
      <c r="C9" s="231"/>
    </row>
    <row r="10" spans="1:6" ht="12.75" customHeight="1" x14ac:dyDescent="0.2">
      <c r="A10" s="196" t="s">
        <v>1228</v>
      </c>
      <c r="C10" s="231"/>
    </row>
    <row r="11" spans="1:6" ht="12.75" customHeight="1" x14ac:dyDescent="0.2">
      <c r="A11" s="196" t="s">
        <v>1231</v>
      </c>
      <c r="C11" s="231"/>
    </row>
    <row r="12" spans="1:6" ht="12.75" customHeight="1" x14ac:dyDescent="0.2">
      <c r="C12" s="231"/>
    </row>
    <row r="13" spans="1:6" ht="12.75" customHeight="1" x14ac:dyDescent="0.2">
      <c r="C13" s="231"/>
    </row>
    <row r="14" spans="1:6" ht="12.75" customHeight="1" x14ac:dyDescent="0.2">
      <c r="A14" s="197" t="s">
        <v>2</v>
      </c>
      <c r="C14" s="231"/>
    </row>
    <row r="15" spans="1:6" ht="12.75" customHeight="1" x14ac:dyDescent="0.2">
      <c r="A15" s="197"/>
      <c r="C15" s="231"/>
    </row>
    <row r="16" spans="1:6" ht="12.75" customHeight="1" x14ac:dyDescent="0.2">
      <c r="A16" s="180" t="s">
        <v>1260</v>
      </c>
      <c r="C16" s="231"/>
      <c r="F16" s="277" t="s">
        <v>1259</v>
      </c>
    </row>
    <row r="17" spans="1:6" ht="12.75" customHeight="1" x14ac:dyDescent="0.2">
      <c r="A17" s="180" t="s">
        <v>1230</v>
      </c>
      <c r="C17" s="277" t="s">
        <v>1259</v>
      </c>
    </row>
    <row r="18" spans="1:6" ht="12.75" customHeight="1" x14ac:dyDescent="0.2">
      <c r="A18" s="223"/>
      <c r="C18" s="231"/>
    </row>
    <row r="19" spans="1:6" ht="12.75" customHeight="1" x14ac:dyDescent="0.2">
      <c r="C19" s="231"/>
    </row>
    <row r="20" spans="1:6" ht="12.75" customHeight="1" x14ac:dyDescent="0.2">
      <c r="A20" s="267" t="s">
        <v>1234</v>
      </c>
      <c r="B20" s="267"/>
      <c r="C20" s="278"/>
      <c r="D20" s="267"/>
      <c r="E20" s="267"/>
      <c r="F20" s="267"/>
    </row>
    <row r="21" spans="1:6" ht="22.5" customHeight="1" x14ac:dyDescent="0.2">
      <c r="A21" s="197"/>
      <c r="C21" s="231"/>
    </row>
    <row r="22" spans="1:6" ht="12.6" customHeight="1" x14ac:dyDescent="0.2">
      <c r="A22" s="232" t="s">
        <v>1254</v>
      </c>
      <c r="B22" s="233"/>
      <c r="C22" s="234"/>
      <c r="D22" s="232"/>
      <c r="E22" s="232"/>
    </row>
    <row r="23" spans="1:6" ht="12.6" customHeight="1" x14ac:dyDescent="0.2">
      <c r="B23" s="197"/>
      <c r="C23" s="231"/>
    </row>
    <row r="24" spans="1:6" ht="12.6" customHeight="1" x14ac:dyDescent="0.2">
      <c r="A24" s="235" t="s">
        <v>3</v>
      </c>
      <c r="C24" s="231"/>
    </row>
    <row r="25" spans="1:6" ht="12.6" customHeight="1" x14ac:dyDescent="0.2">
      <c r="A25" s="196" t="s">
        <v>1235</v>
      </c>
      <c r="C25" s="231"/>
    </row>
    <row r="26" spans="1:6" ht="12.6" customHeight="1" x14ac:dyDescent="0.2">
      <c r="A26" s="197" t="s">
        <v>4</v>
      </c>
      <c r="C26" s="231"/>
    </row>
    <row r="27" spans="1:6" ht="12.6" customHeight="1" x14ac:dyDescent="0.2">
      <c r="A27" s="196" t="s">
        <v>1236</v>
      </c>
      <c r="C27" s="231"/>
    </row>
    <row r="28" spans="1:6" ht="12.6" customHeight="1" x14ac:dyDescent="0.2">
      <c r="A28" s="197" t="s">
        <v>5</v>
      </c>
      <c r="C28" s="231"/>
    </row>
    <row r="29" spans="1:6" ht="12.6" customHeight="1" x14ac:dyDescent="0.2">
      <c r="A29" s="196"/>
      <c r="C29" s="231"/>
    </row>
    <row r="30" spans="1:6" ht="12.6" customHeight="1" x14ac:dyDescent="0.2">
      <c r="A30" s="180" t="s">
        <v>6</v>
      </c>
      <c r="C30" s="231"/>
    </row>
    <row r="31" spans="1:6" ht="12.6" customHeight="1" x14ac:dyDescent="0.2">
      <c r="A31" s="197" t="s">
        <v>7</v>
      </c>
      <c r="C31" s="231"/>
    </row>
    <row r="32" spans="1:6" ht="12.6" customHeight="1" x14ac:dyDescent="0.2">
      <c r="A32" s="197" t="s">
        <v>8</v>
      </c>
      <c r="C32" s="231"/>
    </row>
    <row r="33" spans="1:83" ht="12.6" customHeight="1" x14ac:dyDescent="0.2">
      <c r="A33" s="196" t="s">
        <v>1237</v>
      </c>
      <c r="C33" s="231"/>
    </row>
    <row r="34" spans="1:83" ht="12.6" customHeight="1" x14ac:dyDescent="0.2">
      <c r="A34" s="197" t="s">
        <v>9</v>
      </c>
      <c r="C34" s="231"/>
    </row>
    <row r="35" spans="1:83" ht="12.6" customHeight="1" x14ac:dyDescent="0.2">
      <c r="A35" s="197"/>
      <c r="C35" s="231"/>
    </row>
    <row r="36" spans="1:83" ht="12.6" customHeight="1" x14ac:dyDescent="0.2">
      <c r="A36" s="196" t="s">
        <v>1238</v>
      </c>
      <c r="C36" s="231"/>
    </row>
    <row r="37" spans="1:83" ht="12.6" customHeight="1" x14ac:dyDescent="0.2">
      <c r="A37" s="197" t="s">
        <v>1229</v>
      </c>
      <c r="C37" s="231"/>
    </row>
    <row r="38" spans="1:83" ht="12" customHeight="1" x14ac:dyDescent="0.2">
      <c r="A38" s="196"/>
      <c r="C38" s="231"/>
    </row>
    <row r="39" spans="1:83" ht="12.6" customHeight="1" x14ac:dyDescent="0.2">
      <c r="A39" s="197"/>
      <c r="C39" s="231"/>
    </row>
    <row r="40" spans="1:83" ht="12" customHeight="1" x14ac:dyDescent="0.2">
      <c r="A40" s="197"/>
      <c r="C40" s="231"/>
    </row>
    <row r="41" spans="1:83" ht="12" customHeight="1" x14ac:dyDescent="0.2">
      <c r="A41" s="197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2">
      <c r="A42" s="197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2">
      <c r="A43" s="197"/>
      <c r="C43" s="231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v>47694270</v>
      </c>
      <c r="C47" s="184">
        <f>IF(ISERR(VLOOKUP(VALUE(C$44),'HR DATA'!$A$4:$AA$54,9,0)="TRUE"),0,VLOOKUP(VALUE(C$44),'HR DATA'!$A$4:$AA$54,9,0))</f>
        <v>1357591.0599999998</v>
      </c>
      <c r="D47" s="184">
        <f>IF(ISERR(VLOOKUP(VALUE(D$44),'HR DATA'!$A$4:$AA$54,9,0)="TRUE"),0,VLOOKUP(VALUE(D$44),'HR DATA'!$A$4:$AA$54,9,0))</f>
        <v>0</v>
      </c>
      <c r="E47" s="184">
        <f>IF(ISERR(VLOOKUP(VALUE(E$44),'HR DATA'!$A$4:$AA$54,9,0)="TRUE"),0,VLOOKUP(VALUE(E$44),'HR DATA'!$A$4:$AA$54,9,0))</f>
        <v>9064291.3400000017</v>
      </c>
      <c r="F47" s="184">
        <f>IF(ISERR(VLOOKUP(VALUE(F$44),'HR DATA'!$A$4:$AA$54,9,0)="TRUE"),0,VLOOKUP(VALUE(F$44),'HR DATA'!$A$4:$AA$54,9,0))</f>
        <v>0</v>
      </c>
      <c r="G47" s="184">
        <f>IF(ISERR(VLOOKUP(VALUE(G$44),'HR DATA'!$A$4:$AA$54,9,0)="TRUE"),0,VLOOKUP(VALUE(G$44),'HR DATA'!$A$4:$AA$54,9,0))</f>
        <v>0</v>
      </c>
      <c r="H47" s="184">
        <f>IF(ISERR(VLOOKUP(VALUE(H$44),'HR DATA'!$A$4:$AA$54,9,0)="TRUE"),0,VLOOKUP(VALUE(H$44),'HR DATA'!$A$4:$AA$54,9,0))</f>
        <v>0</v>
      </c>
      <c r="I47" s="184">
        <f>IF(ISERR(VLOOKUP(VALUE(I$44),'HR DATA'!$A$4:$AA$54,9,0)="TRUE"),0,VLOOKUP(VALUE(I$44),'HR DATA'!$A$4:$AA$54,9,0))</f>
        <v>0</v>
      </c>
      <c r="J47" s="184">
        <f>IF(ISERR(VLOOKUP(VALUE(J$44),'HR DATA'!$A$4:$AA$54,9,0)="TRUE"),0,VLOOKUP(VALUE(J$44),'HR DATA'!$A$4:$AA$54,9,0))</f>
        <v>0</v>
      </c>
      <c r="K47" s="184">
        <f>IF(ISERR(VLOOKUP(VALUE(K$44),'HR DATA'!$A$4:$AA$54,9,0)="TRUE"),0,VLOOKUP(VALUE(K$44),'HR DATA'!$A$4:$AA$54,9,0))</f>
        <v>0</v>
      </c>
      <c r="L47" s="184">
        <f>IF(ISERR(VLOOKUP(VALUE(L$44),'HR DATA'!$A$4:$AA$54,9,0)="TRUE"),0,VLOOKUP(VALUE(L$44),'HR DATA'!$A$4:$AA$54,9,0))</f>
        <v>0</v>
      </c>
      <c r="M47" s="184">
        <f>IF(ISERR(VLOOKUP(VALUE(M$44),'HR DATA'!$A$4:$AA$54,9,0)="TRUE"),0,VLOOKUP(VALUE(M$44),'HR DATA'!$A$4:$AA$54,9,0))</f>
        <v>0</v>
      </c>
      <c r="N47" s="184">
        <f>IF(ISERR(VLOOKUP(VALUE(N$44),'HR DATA'!$A$4:$AA$54,9,0)="TRUE"),0,VLOOKUP(VALUE(N$44),'HR DATA'!$A$4:$AA$54,9,0))</f>
        <v>0</v>
      </c>
      <c r="O47" s="184">
        <f>IF(ISERR(VLOOKUP(VALUE(O$44),'HR DATA'!$A$4:$AA$54,9,0)="TRUE"),0,VLOOKUP(VALUE(O$44),'HR DATA'!$A$4:$AA$54,9,0))</f>
        <v>1735072.8900000001</v>
      </c>
      <c r="P47" s="184">
        <f>IF(ISERR(VLOOKUP(VALUE(P$44),'HR DATA'!$A$4:$AA$54,9,0)="TRUE"),0,VLOOKUP(VALUE(P$44),'HR DATA'!$A$4:$AA$54,9,0))</f>
        <v>1935984.9600000004</v>
      </c>
      <c r="Q47" s="184">
        <f>IF(ISERR(VLOOKUP(VALUE(Q$44),'HR DATA'!$A$4:$AA$54,9,0)="TRUE"),0,VLOOKUP(VALUE(Q$44),'HR DATA'!$A$4:$AA$54,9,0))</f>
        <v>1166101.1200000003</v>
      </c>
      <c r="R47" s="184">
        <f>IF(ISERR(VLOOKUP(VALUE(R$44),'HR DATA'!$A$4:$AA$54,9,0)="TRUE"),0,VLOOKUP(VALUE(R$44),'HR DATA'!$A$4:$AA$54,9,0))</f>
        <v>71174.679999999993</v>
      </c>
      <c r="S47" s="184">
        <f>IF(ISERR(VLOOKUP(VALUE(S$44),'HR DATA'!$A$4:$AA$54,9,0)="TRUE"),0,VLOOKUP(VALUE(S$44),'HR DATA'!$A$4:$AA$54,9,0))</f>
        <v>451179.23</v>
      </c>
      <c r="T47" s="184">
        <f>IF(ISERR(VLOOKUP(VALUE(T$44),'HR DATA'!$A$4:$AA$54,9,0)="TRUE"),0,VLOOKUP(VALUE(T$44),'HR DATA'!$A$4:$AA$54,9,0))</f>
        <v>0</v>
      </c>
      <c r="U47" s="184">
        <f>IF(ISERR(VLOOKUP(VALUE(U$44),'HR DATA'!$A$4:$AA$54,9,0)="TRUE"),0,VLOOKUP(VALUE(U$44),'HR DATA'!$A$4:$AA$54,9,0))</f>
        <v>1254349.9100000001</v>
      </c>
      <c r="V47" s="184">
        <f>IF(ISERR(VLOOKUP(VALUE(V$44),'HR DATA'!$A$4:$AA$54,9,0)="TRUE"),0,VLOOKUP(VALUE(V$44),'HR DATA'!$A$4:$AA$54,9,0))</f>
        <v>111001.63</v>
      </c>
      <c r="W47" s="184">
        <f>IF(ISERR(VLOOKUP(VALUE(W$44),'HR DATA'!$A$4:$AA$54,9,0)="TRUE"),0,VLOOKUP(VALUE(W$44),'HR DATA'!$A$4:$AA$54,9,0))</f>
        <v>92171.76999999999</v>
      </c>
      <c r="X47" s="184">
        <f>IF(ISERR(VLOOKUP(VALUE(X$44),'HR DATA'!$A$4:$AA$54,9,0)="TRUE"),0,VLOOKUP(VALUE(X$44),'HR DATA'!$A$4:$AA$54,9,0))</f>
        <v>0</v>
      </c>
      <c r="Y47" s="184">
        <f>IF(ISERR(VLOOKUP(VALUE(Y$44),'HR DATA'!$A$4:$AA$54,9,0)="TRUE"),0,VLOOKUP(VALUE(Y$44),'HR DATA'!$A$4:$AA$54,9,0))</f>
        <v>3420904.01</v>
      </c>
      <c r="Z47" s="184">
        <f>IF(ISERR(VLOOKUP(VALUE(Z$44),'HR DATA'!$A$4:$AA$54,9,0)="TRUE"),0,VLOOKUP(VALUE(Z$44),'HR DATA'!$A$4:$AA$54,9,0))</f>
        <v>508297.63</v>
      </c>
      <c r="AA47" s="184">
        <f>IF(ISERR(VLOOKUP(VALUE(AA$44),'HR DATA'!$A$4:$AA$54,9,0)="TRUE"),0,VLOOKUP(VALUE(AA$44),'HR DATA'!$A$4:$AA$54,9,0))</f>
        <v>86748.38</v>
      </c>
      <c r="AB47" s="184">
        <f>IF(ISERR(VLOOKUP(VALUE(AB$44),'HR DATA'!$A$4:$AA$54,9,0)="TRUE"),0,VLOOKUP(VALUE(AB$44),'HR DATA'!$A$4:$AA$54,9,0))</f>
        <v>1191533.79</v>
      </c>
      <c r="AC47" s="184">
        <f>IF(ISERR(VLOOKUP(VALUE(AC$44),'HR DATA'!$A$4:$AA$54,9,0)="TRUE"),0,VLOOKUP(VALUE(AC$44),'HR DATA'!$A$4:$AA$54,9,0))</f>
        <v>1148777.8799999999</v>
      </c>
      <c r="AD47" s="184">
        <f>IF(ISERR(VLOOKUP(VALUE(AD$44),'HR DATA'!$A$4:$AA$54,9,0)="TRUE"),0,VLOOKUP(VALUE(AD$44),'HR DATA'!$A$4:$AA$54,9,0))</f>
        <v>0</v>
      </c>
      <c r="AE47" s="184">
        <f>IF(ISERR(VLOOKUP(VALUE(AE$44),'HR DATA'!$A$4:$AA$54,9,0)="TRUE"),0,VLOOKUP(VALUE(AE$44),'HR DATA'!$A$4:$AA$54,9,0))</f>
        <v>615075.56000000006</v>
      </c>
      <c r="AF47" s="184">
        <f>IF(ISERR(VLOOKUP(VALUE(AF$44),'HR DATA'!$A$4:$AA$54,9,0)="TRUE"),0,VLOOKUP(VALUE(AF$44),'HR DATA'!$A$4:$AA$54,9,0))</f>
        <v>0</v>
      </c>
      <c r="AG47" s="184">
        <f>IF(ISERR(VLOOKUP(VALUE(AG$44),'HR DATA'!$A$4:$AA$54,9,0)="TRUE"),0,VLOOKUP(VALUE(AG$44),'HR DATA'!$A$4:$AA$54,9,0))</f>
        <v>2212636.19</v>
      </c>
      <c r="AH47" s="184">
        <f>IF(ISERR(VLOOKUP(VALUE(AH$44),'HR DATA'!$A$4:$AA$54,9,0)="TRUE"),0,VLOOKUP(VALUE(AH$44),'HR DATA'!$A$4:$AA$54,9,0))</f>
        <v>0</v>
      </c>
      <c r="AI47" s="184">
        <f>IF(ISERR(VLOOKUP(VALUE(AI$44),'HR DATA'!$A$4:$AA$54,9,0)="TRUE"),0,VLOOKUP(VALUE(AI$44),'HR DATA'!$A$4:$AA$54,9,0))</f>
        <v>0</v>
      </c>
      <c r="AJ47" s="184">
        <f>IF(ISERR(VLOOKUP(VALUE(AJ$44),'HR DATA'!$A$4:$AA$54,9,0)="TRUE"),0,VLOOKUP(VALUE(AJ$44),'HR DATA'!$A$4:$AA$54,9,0))</f>
        <v>11481772.949999999</v>
      </c>
      <c r="AK47" s="184">
        <f>IF(ISERR(VLOOKUP(VALUE(AK$44),'HR DATA'!$A$4:$AA$54,9,0)="TRUE"),0,VLOOKUP(VALUE(AK$44),'HR DATA'!$A$4:$AA$54,9,0))</f>
        <v>226008.37</v>
      </c>
      <c r="AL47" s="184">
        <f>IF(ISERR(VLOOKUP(VALUE(AL$44),'HR DATA'!$A$4:$AA$54,9,0)="TRUE"),0,VLOOKUP(VALUE(AL$44),'HR DATA'!$A$4:$AA$54,9,0))</f>
        <v>111203.86</v>
      </c>
      <c r="AM47" s="184">
        <f>IF(ISERR(VLOOKUP(VALUE(AM$44),'HR DATA'!$A$4:$AA$54,9,0)="TRUE"),0,VLOOKUP(VALUE(AM$44),'HR DATA'!$A$4:$AA$54,9,0))</f>
        <v>0</v>
      </c>
      <c r="AN47" s="184">
        <f>IF(ISERR(VLOOKUP(VALUE(AN$44),'HR DATA'!$A$4:$AA$54,9,0)="TRUE"),0,VLOOKUP(VALUE(AN$44),'HR DATA'!$A$4:$AA$54,9,0))</f>
        <v>0</v>
      </c>
      <c r="AO47" s="184">
        <f>IF(ISERR(VLOOKUP(VALUE(AO$44),'HR DATA'!$A$4:$AA$54,9,0)="TRUE"),0,VLOOKUP(VALUE(AO$44),'HR DATA'!$A$4:$AA$54,9,0))</f>
        <v>0</v>
      </c>
      <c r="AP47" s="184">
        <f>IF(ISERR(VLOOKUP(VALUE(AP$44),'HR DATA'!$A$4:$AA$54,9,0)="TRUE"),0,VLOOKUP(VALUE(AP$44),'HR DATA'!$A$4:$AA$54,9,0))</f>
        <v>2007858.1800000002</v>
      </c>
      <c r="AQ47" s="184">
        <f>IF(ISERR(VLOOKUP(VALUE(AQ$44),'HR DATA'!$A$4:$AA$54,9,0)="TRUE"),0,VLOOKUP(VALUE(AQ$44),'HR DATA'!$A$4:$AA$54,9,0))</f>
        <v>0</v>
      </c>
      <c r="AR47" s="184">
        <f>IF(ISERR(VLOOKUP(VALUE(AR$44),'HR DATA'!$A$4:$AA$54,9,0)="TRUE"),0,VLOOKUP(VALUE(AR$44),'HR DATA'!$A$4:$AA$54,9,0))</f>
        <v>0</v>
      </c>
      <c r="AS47" s="184">
        <f>IF(ISERR(VLOOKUP(VALUE(AS$44),'HR DATA'!$A$4:$AA$54,9,0)="TRUE"),0,VLOOKUP(VALUE(AS$44),'HR DATA'!$A$4:$AA$54,9,0))</f>
        <v>0</v>
      </c>
      <c r="AT47" s="184">
        <f>IF(ISERR(VLOOKUP(VALUE(AT$44),'HR DATA'!$A$4:$AA$54,9,0)="TRUE"),0,VLOOKUP(VALUE(AT$44),'HR DATA'!$A$4:$AA$54,9,0))</f>
        <v>0</v>
      </c>
      <c r="AU47" s="184">
        <f>IF(ISERR(VLOOKUP(VALUE(AU$44),'HR DATA'!$A$4:$AA$54,9,0)="TRUE"),0,VLOOKUP(VALUE(AU$44),'HR DATA'!$A$4:$AA$54,9,0))</f>
        <v>0</v>
      </c>
      <c r="AV47" s="184">
        <f>IF(ISERR(VLOOKUP(VALUE(AV$44),'HR DATA'!$A$4:$AA$54,9,0)="TRUE"),0,VLOOKUP(VALUE(AV$44),'HR DATA'!$A$4:$AA$54,9,0))</f>
        <v>560378.71</v>
      </c>
      <c r="AW47" s="184">
        <f>IF(ISERR(VLOOKUP(VALUE(AW$44),'HR DATA'!$A$4:$AA$54,9,0)="TRUE"),0,VLOOKUP(VALUE(AW$44),'HR DATA'!$A$4:$AA$54,9,0))</f>
        <v>0</v>
      </c>
      <c r="AX47" s="184">
        <f>IF(ISERR(VLOOKUP(VALUE(AX$44),'HR DATA'!$A$4:$AA$54,9,0)="TRUE"),0,VLOOKUP(VALUE(AX$44),'HR DATA'!$A$4:$AA$54,9,0))</f>
        <v>0</v>
      </c>
      <c r="AY47" s="184">
        <f>IF(ISERR(VLOOKUP(VALUE(AY$44),'HR DATA'!$A$4:$AA$54,9,0)="TRUE"),0,VLOOKUP(VALUE(AY$44),'HR DATA'!$A$4:$AA$54,9,0))</f>
        <v>1322351.3700000001</v>
      </c>
      <c r="AZ47" s="184">
        <f>IF(ISERR(VLOOKUP(VALUE(AZ$44),'HR DATA'!$A$4:$AA$54,9,0)="TRUE"),0,VLOOKUP(VALUE(AZ$44),'HR DATA'!$A$4:$AA$54,9,0))</f>
        <v>0</v>
      </c>
      <c r="BA47" s="184">
        <f>IF(ISERR(VLOOKUP(VALUE(BA$44),'HR DATA'!$A$4:$AA$54,9,0)="TRUE"),0,VLOOKUP(VALUE(BA$44),'HR DATA'!$A$4:$AA$54,9,0))</f>
        <v>47029.5</v>
      </c>
      <c r="BB47" s="184">
        <f>IF(ISERR(VLOOKUP(VALUE(BB$44),'HR DATA'!$A$4:$AA$54,9,0)="TRUE"),0,VLOOKUP(VALUE(BB$44),'HR DATA'!$A$4:$AA$54,9,0))</f>
        <v>0</v>
      </c>
      <c r="BC47" s="184">
        <f>IF(ISERR(VLOOKUP(VALUE(BC$44),'HR DATA'!$A$4:$AA$54,9,0)="TRUE"),0,VLOOKUP(VALUE(BC$44),'HR DATA'!$A$4:$AA$54,9,0))</f>
        <v>291711.71000000002</v>
      </c>
      <c r="BD47" s="184">
        <f>IF(ISERR(VLOOKUP(VALUE(BD$44),'HR DATA'!$A$4:$AA$54,9,0)="TRUE"),0,VLOOKUP(VALUE(BD$44),'HR DATA'!$A$4:$AA$54,9,0))</f>
        <v>0</v>
      </c>
      <c r="BE47" s="184">
        <f>IF(ISERR(VLOOKUP(VALUE(BE$44),'HR DATA'!$A$4:$AA$54,9,0)="TRUE"),0,VLOOKUP(VALUE(BE$44),'HR DATA'!$A$4:$AA$54,9,0))</f>
        <v>384047.8600000001</v>
      </c>
      <c r="BF47" s="184">
        <f>IF(ISERR(VLOOKUP(VALUE(BF$44),'HR DATA'!$A$4:$AA$54,9,0)="TRUE"),0,VLOOKUP(VALUE(BF$44),'HR DATA'!$A$4:$AA$54,9,0))</f>
        <v>1311123.3500000001</v>
      </c>
      <c r="BG47" s="184">
        <f>IF(ISERR(VLOOKUP(VALUE(BG$44),'HR DATA'!$A$4:$AA$54,9,0)="TRUE"),0,VLOOKUP(VALUE(BG$44),'HR DATA'!$A$4:$AA$54,9,0))</f>
        <v>0</v>
      </c>
      <c r="BH47" s="184">
        <f>IF(ISERR(VLOOKUP(VALUE(BH$44),'HR DATA'!$A$4:$AA$54,9,0)="TRUE"),0,VLOOKUP(VALUE(BH$44),'HR DATA'!$A$4:$AA$54,9,0))</f>
        <v>0</v>
      </c>
      <c r="BI47" s="184">
        <f>IF(ISERR(VLOOKUP(VALUE(BI$44),'HR DATA'!$A$4:$AA$54,9,0)="TRUE"),0,VLOOKUP(VALUE(BI$44),'HR DATA'!$A$4:$AA$54,9,0))</f>
        <v>50</v>
      </c>
      <c r="BJ47" s="184">
        <f>IF(ISERR(VLOOKUP(VALUE(BJ$44),'HR DATA'!$A$4:$AA$54,9,0)="TRUE"),0,VLOOKUP(VALUE(BJ$44),'HR DATA'!$A$4:$AA$54,9,0))</f>
        <v>0</v>
      </c>
      <c r="BK47" s="184">
        <f>IF(ISERR(VLOOKUP(VALUE(BK$44),'HR DATA'!$A$4:$AA$54,9,0)="TRUE"),0,VLOOKUP(VALUE(BK$44),'HR DATA'!$A$4:$AA$54,9,0))</f>
        <v>0</v>
      </c>
      <c r="BL47" s="184">
        <f>IF(ISERR(VLOOKUP(VALUE(BL$44),'HR DATA'!$A$4:$AA$54,9,0)="TRUE"),0,VLOOKUP(VALUE(BL$44),'HR DATA'!$A$4:$AA$54,9,0))</f>
        <v>0</v>
      </c>
      <c r="BM47" s="184">
        <f>IF(ISERR(VLOOKUP(VALUE(BM$44),'HR DATA'!$A$4:$AA$54,9,0)="TRUE"),0,VLOOKUP(VALUE(BM$44),'HR DATA'!$A$4:$AA$54,9,0))</f>
        <v>0</v>
      </c>
      <c r="BN47" s="184">
        <f>IF(ISERR(VLOOKUP(VALUE(BN$44),'HR DATA'!$A$4:$AA$54,9,0)="TRUE"),0,VLOOKUP(VALUE(BN$44),'HR DATA'!$A$4:$AA$54,9,0))</f>
        <v>1635441.2499999998</v>
      </c>
      <c r="BO47" s="184">
        <f>IF(ISERR(VLOOKUP(VALUE(BO$44),'HR DATA'!$A$4:$AA$54,9,0)="TRUE"),0,VLOOKUP(VALUE(BO$44),'HR DATA'!$A$4:$AA$54,9,0))</f>
        <v>0</v>
      </c>
      <c r="BP47" s="184">
        <f>IF(ISERR(VLOOKUP(VALUE(BP$44),'HR DATA'!$A$4:$AA$54,9,0)="TRUE"),0,VLOOKUP(VALUE(BP$44),'HR DATA'!$A$4:$AA$54,9,0))</f>
        <v>0</v>
      </c>
      <c r="BQ47" s="184">
        <f>IF(ISERR(VLOOKUP(VALUE(BQ$44),'HR DATA'!$A$4:$AA$54,9,0)="TRUE"),0,VLOOKUP(VALUE(BQ$44),'HR DATA'!$A$4:$AA$54,9,0))</f>
        <v>0</v>
      </c>
      <c r="BR47" s="184">
        <f>IF(ISERR(VLOOKUP(VALUE(BR$44),'HR DATA'!$A$4:$AA$54,9,0)="TRUE"),0,VLOOKUP(VALUE(BR$44),'HR DATA'!$A$4:$AA$54,9,0))</f>
        <v>1670.2299999967217</v>
      </c>
      <c r="BS47" s="184">
        <f>IF(ISERR(VLOOKUP(VALUE(BS$44),'HR DATA'!$A$4:$AA$54,9,0)="TRUE"),0,VLOOKUP(VALUE(BS$44),'HR DATA'!$A$4:$AA$54,9,0))</f>
        <v>0</v>
      </c>
      <c r="BT47" s="184">
        <f>IF(ISERR(VLOOKUP(VALUE(BT$44),'HR DATA'!$A$4:$AA$54,9,0)="TRUE"),0,VLOOKUP(VALUE(BT$44),'HR DATA'!$A$4:$AA$54,9,0))</f>
        <v>0</v>
      </c>
      <c r="BU47" s="184">
        <f>IF(ISERR(VLOOKUP(VALUE(BU$44),'HR DATA'!$A$4:$AA$54,9,0)="TRUE"),0,VLOOKUP(VALUE(BU$44),'HR DATA'!$A$4:$AA$54,9,0))</f>
        <v>0</v>
      </c>
      <c r="BV47" s="184">
        <f>IF(ISERR(VLOOKUP(VALUE(BV$44),'HR DATA'!$A$4:$AA$54,9,0)="TRUE"),0,VLOOKUP(VALUE(BV$44),'HR DATA'!$A$4:$AA$54,9,0))</f>
        <v>0</v>
      </c>
      <c r="BW47" s="184">
        <f>IF(ISERR(VLOOKUP(VALUE(BW$44),'HR DATA'!$A$4:$AA$54,9,0)="TRUE"),0,VLOOKUP(VALUE(BW$44),'HR DATA'!$A$4:$AA$54,9,0))</f>
        <v>213.62</v>
      </c>
      <c r="BX47" s="184">
        <f>IF(ISERR(VLOOKUP(VALUE(BX$44),'HR DATA'!$A$4:$AA$54,9,0)="TRUE"),0,VLOOKUP(VALUE(BX$44),'HR DATA'!$A$4:$AA$54,9,0))</f>
        <v>0</v>
      </c>
      <c r="BY47" s="184">
        <f>IF(ISERR(VLOOKUP(VALUE(BY$44),'HR DATA'!$A$4:$AA$54,9,0)="TRUE"),0,VLOOKUP(VALUE(BY$44),'HR DATA'!$A$4:$AA$54,9,0))</f>
        <v>983396.27999999991</v>
      </c>
      <c r="BZ47" s="184">
        <f>IF(ISERR(VLOOKUP(VALUE(BZ$44),'HR DATA'!$A$4:$AA$54,9,0)="TRUE"),0,VLOOKUP(VALUE(BZ$44),'HR DATA'!$A$4:$AA$54,9,0))</f>
        <v>639648.14000000013</v>
      </c>
      <c r="CA47" s="184">
        <f>IF(ISERR(VLOOKUP(VALUE(CA$44),'HR DATA'!$A$4:$AA$54,9,0)="TRUE"),0,VLOOKUP(VALUE(CA$44),'HR DATA'!$A$4:$AA$54,9,0))</f>
        <v>267472.57</v>
      </c>
      <c r="CB47" s="184">
        <f>IF(ISERR(VLOOKUP(VALUE(CB$44),'HR DATA'!$A$4:$AA$54,9,0)="TRUE"),0,VLOOKUP(VALUE(CB$44),'HR DATA'!$A$4:$AA$54,9,0))</f>
        <v>0</v>
      </c>
      <c r="CC47" s="184">
        <f>IF(ISERR(VLOOKUP(VALUE(CC$44),'HR DATA'!$A$4:$AA$54,9,0)="TRUE"),0,VLOOKUP(VALUE(CC$44),'HR DATA'!$A$4:$AA$54,9,0))</f>
        <v>0</v>
      </c>
      <c r="CD47" s="193"/>
      <c r="CE47" s="193">
        <f>SUM(C47:CC47)</f>
        <v>47694269.979999989</v>
      </c>
    </row>
    <row r="48" spans="1:83" ht="12.6" customHeight="1" x14ac:dyDescent="0.2">
      <c r="A48" s="175" t="s">
        <v>205</v>
      </c>
      <c r="B48" s="183">
        <v>0</v>
      </c>
      <c r="C48" s="240">
        <f>ROUND(((B48/CE61)*C61),0)</f>
        <v>0</v>
      </c>
      <c r="D48" s="240">
        <f>ROUND(((B48/CE61)*D61),0)</f>
        <v>0</v>
      </c>
      <c r="E48" s="193">
        <f>ROUND(((B48/CE61)*E61),0)</f>
        <v>0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0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0</v>
      </c>
      <c r="Q48" s="193">
        <f>ROUND(((B48/CE61)*Q61),0)</f>
        <v>0</v>
      </c>
      <c r="R48" s="193">
        <f>ROUND(((B48/CE61)*R61),0)</f>
        <v>0</v>
      </c>
      <c r="S48" s="193">
        <f>ROUND(((B48/CE61)*S61),0)</f>
        <v>0</v>
      </c>
      <c r="T48" s="193">
        <f>ROUND(((B48/CE61)*T61),0)</f>
        <v>0</v>
      </c>
      <c r="U48" s="193">
        <f>ROUND(((B48/CE61)*U61),0)</f>
        <v>0</v>
      </c>
      <c r="V48" s="193">
        <f>ROUND(((B48/CE61)*V61),0)</f>
        <v>0</v>
      </c>
      <c r="W48" s="193">
        <f>ROUND(((B48/CE61)*W61),0)</f>
        <v>0</v>
      </c>
      <c r="X48" s="193">
        <f>ROUND(((B48/CE61)*X61),0)</f>
        <v>0</v>
      </c>
      <c r="Y48" s="193">
        <f>ROUND(((B48/CE61)*Y61),0)</f>
        <v>0</v>
      </c>
      <c r="Z48" s="193">
        <f>ROUND(((B48/CE61)*Z61),0)</f>
        <v>0</v>
      </c>
      <c r="AA48" s="193">
        <f>ROUND(((B48/CE61)*AA61),0)</f>
        <v>0</v>
      </c>
      <c r="AB48" s="193">
        <f>ROUND(((B48/CE61)*AB61),0)</f>
        <v>0</v>
      </c>
      <c r="AC48" s="193">
        <f>ROUND(((B48/CE61)*AC61),0)</f>
        <v>0</v>
      </c>
      <c r="AD48" s="193">
        <f>ROUND(((B48/CE61)*AD61),0)</f>
        <v>0</v>
      </c>
      <c r="AE48" s="193">
        <f>ROUND(((B48/CE61)*AE61),0)</f>
        <v>0</v>
      </c>
      <c r="AF48" s="193">
        <f>ROUND(((B48/CE61)*AF61),0)</f>
        <v>0</v>
      </c>
      <c r="AG48" s="193">
        <f>ROUND(((B48/CE61)*AG61),0)</f>
        <v>0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0</v>
      </c>
      <c r="AK48" s="193">
        <f>ROUND(((B48/CE61)*AK61),0)</f>
        <v>0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0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0</v>
      </c>
      <c r="AZ48" s="193">
        <f>ROUND(((B48/CE61)*AZ61),0)</f>
        <v>0</v>
      </c>
      <c r="BA48" s="193">
        <f>ROUND(((B48/CE61)*BA61),0)</f>
        <v>0</v>
      </c>
      <c r="BB48" s="193">
        <f>ROUND(((B48/CE61)*BB61),0)</f>
        <v>0</v>
      </c>
      <c r="BC48" s="193">
        <f>ROUND(((B48/CE61)*BC61),0)</f>
        <v>0</v>
      </c>
      <c r="BD48" s="193">
        <f>ROUND(((B48/CE61)*BD61),0)</f>
        <v>0</v>
      </c>
      <c r="BE48" s="193">
        <f>ROUND(((B48/CE61)*BE61),0)</f>
        <v>0</v>
      </c>
      <c r="BF48" s="193">
        <f>ROUND(((B48/CE61)*BF61),0)</f>
        <v>0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0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0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0</v>
      </c>
      <c r="CC48" s="193">
        <f>ROUND(((B48/CE61)*CC61),0)</f>
        <v>0</v>
      </c>
      <c r="CD48" s="193"/>
      <c r="CE48" s="193">
        <f>SUM(C48:CD48)</f>
        <v>0</v>
      </c>
    </row>
    <row r="49" spans="1:84" ht="12.6" customHeight="1" x14ac:dyDescent="0.2">
      <c r="A49" s="175" t="s">
        <v>206</v>
      </c>
      <c r="B49" s="193">
        <f>B47+B48</f>
        <v>47694270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 x14ac:dyDescent="0.2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 x14ac:dyDescent="0.2">
      <c r="A51" s="171" t="s">
        <v>207</v>
      </c>
      <c r="B51" s="184">
        <v>13832813</v>
      </c>
      <c r="C51" s="184">
        <f>IF(ISERR(VLOOKUP(VALUE(C$44),'HR DATA'!$A$4:$AA$54,15,0)="TRUE"),0,VLOOKUP(VALUE(C$44),'HR DATA'!$A$4:$AA$54,15,0))</f>
        <v>157157.37</v>
      </c>
      <c r="D51" s="184">
        <f>IF(ISERR(VLOOKUP(VALUE(D$44),'HR DATA'!$A$4:$AA$54,15,0)="TRUE"),0,VLOOKUP(VALUE(D$44),'HR DATA'!$A$4:$AA$54,15,0))</f>
        <v>0</v>
      </c>
      <c r="E51" s="184">
        <f>IF(ISERR(VLOOKUP(VALUE(E$44),'HR DATA'!$A$4:$AA$54,15,0)="TRUE"),0,VLOOKUP(VALUE(E$44),'HR DATA'!$A$4:$AA$54,15,0))</f>
        <v>246334.22</v>
      </c>
      <c r="F51" s="184">
        <f>IF(ISERR(VLOOKUP(VALUE(F$44),'HR DATA'!$A$4:$AA$54,15,0)="TRUE"),0,VLOOKUP(VALUE(F$44),'HR DATA'!$A$4:$AA$54,15,0))</f>
        <v>0</v>
      </c>
      <c r="G51" s="184">
        <f>IF(ISERR(VLOOKUP(VALUE(G$44),'HR DATA'!$A$4:$AA$54,15,0)="TRUE"),0,VLOOKUP(VALUE(G$44),'HR DATA'!$A$4:$AA$54,15,0))</f>
        <v>0</v>
      </c>
      <c r="H51" s="184">
        <f>IF(ISERR(VLOOKUP(VALUE(H$44),'HR DATA'!$A$4:$AA$54,15,0)="TRUE"),0,VLOOKUP(VALUE(H$44),'HR DATA'!$A$4:$AA$54,15,0))</f>
        <v>0</v>
      </c>
      <c r="I51" s="184">
        <f>IF(ISERR(VLOOKUP(VALUE(I$44),'HR DATA'!$A$4:$AA$54,15,0)="TRUE"),0,VLOOKUP(VALUE(I$44),'HR DATA'!$A$4:$AA$54,15,0))</f>
        <v>0</v>
      </c>
      <c r="J51" s="184">
        <f>IF(ISERR(VLOOKUP(VALUE(J$44),'HR DATA'!$A$4:$AA$54,15,0)="TRUE"),0,VLOOKUP(VALUE(J$44),'HR DATA'!$A$4:$AA$54,15,0))</f>
        <v>0</v>
      </c>
      <c r="K51" s="184">
        <f>IF(ISERR(VLOOKUP(VALUE(K$44),'HR DATA'!$A$4:$AA$54,15,0)="TRUE"),0,VLOOKUP(VALUE(K$44),'HR DATA'!$A$4:$AA$54,15,0))</f>
        <v>0</v>
      </c>
      <c r="L51" s="184">
        <f>IF(ISERR(VLOOKUP(VALUE(L$44),'HR DATA'!$A$4:$AA$54,15,0)="TRUE"),0,VLOOKUP(VALUE(L$44),'HR DATA'!$A$4:$AA$54,15,0))</f>
        <v>0</v>
      </c>
      <c r="M51" s="184">
        <f>IF(ISERR(VLOOKUP(VALUE(M$44),'HR DATA'!$A$4:$AA$54,15,0)="TRUE"),0,VLOOKUP(VALUE(M$44),'HR DATA'!$A$4:$AA$54,15,0))</f>
        <v>0</v>
      </c>
      <c r="N51" s="184">
        <f>IF(ISERR(VLOOKUP(VALUE(N$44),'HR DATA'!$A$4:$AA$54,15,0)="TRUE"),0,VLOOKUP(VALUE(N$44),'HR DATA'!$A$4:$AA$54,15,0))</f>
        <v>0</v>
      </c>
      <c r="O51" s="184">
        <f>IF(ISERR(VLOOKUP(VALUE(O$44),'HR DATA'!$A$4:$AA$54,15,0)="TRUE"),0,VLOOKUP(VALUE(O$44),'HR DATA'!$A$4:$AA$54,15,0))</f>
        <v>237414.8</v>
      </c>
      <c r="P51" s="184">
        <f>IF(ISERR(VLOOKUP(VALUE(P$44),'HR DATA'!$A$4:$AA$54,15,0)="TRUE"),0,VLOOKUP(VALUE(P$44),'HR DATA'!$A$4:$AA$54,15,0))</f>
        <v>3422544.4</v>
      </c>
      <c r="Q51" s="184">
        <f>IF(ISERR(VLOOKUP(VALUE(Q$44),'HR DATA'!$A$4:$AA$54,15,0)="TRUE"),0,VLOOKUP(VALUE(Q$44),'HR DATA'!$A$4:$AA$54,15,0))</f>
        <v>9408.7899999999991</v>
      </c>
      <c r="R51" s="184">
        <f>IF(ISERR(VLOOKUP(VALUE(R$44),'HR DATA'!$A$4:$AA$54,15,0)="TRUE"),0,VLOOKUP(VALUE(R$44),'HR DATA'!$A$4:$AA$54,15,0))</f>
        <v>0</v>
      </c>
      <c r="S51" s="184">
        <f>IF(ISERR(VLOOKUP(VALUE(S$44),'HR DATA'!$A$4:$AA$54,15,0)="TRUE"),0,VLOOKUP(VALUE(S$44),'HR DATA'!$A$4:$AA$54,15,0))</f>
        <v>105239.15000000001</v>
      </c>
      <c r="T51" s="184">
        <f>IF(ISERR(VLOOKUP(VALUE(T$44),'HR DATA'!$A$4:$AA$54,15,0)="TRUE"),0,VLOOKUP(VALUE(T$44),'HR DATA'!$A$4:$AA$54,15,0))</f>
        <v>0</v>
      </c>
      <c r="U51" s="184">
        <f>IF(ISERR(VLOOKUP(VALUE(U$44),'HR DATA'!$A$4:$AA$54,15,0)="TRUE"),0,VLOOKUP(VALUE(U$44),'HR DATA'!$A$4:$AA$54,15,0))</f>
        <v>73026.210000000006</v>
      </c>
      <c r="V51" s="184">
        <f>IF(ISERR(VLOOKUP(VALUE(V$44),'HR DATA'!$A$4:$AA$54,15,0)="TRUE"),0,VLOOKUP(VALUE(V$44),'HR DATA'!$A$4:$AA$54,15,0))</f>
        <v>164379.12000000002</v>
      </c>
      <c r="W51" s="184">
        <f>IF(ISERR(VLOOKUP(VALUE(W$44),'HR DATA'!$A$4:$AA$54,15,0)="TRUE"),0,VLOOKUP(VALUE(W$44),'HR DATA'!$A$4:$AA$54,15,0))</f>
        <v>7428.5700000000006</v>
      </c>
      <c r="X51" s="184">
        <f>IF(ISERR(VLOOKUP(VALUE(X$44),'HR DATA'!$A$4:$AA$54,15,0)="TRUE"),0,VLOOKUP(VALUE(X$44),'HR DATA'!$A$4:$AA$54,15,0))</f>
        <v>0</v>
      </c>
      <c r="Y51" s="184">
        <f>IF(ISERR(VLOOKUP(VALUE(Y$44),'HR DATA'!$A$4:$AA$54,15,0)="TRUE"),0,VLOOKUP(VALUE(Y$44),'HR DATA'!$A$4:$AA$54,15,0))</f>
        <v>1750169.0900000003</v>
      </c>
      <c r="Z51" s="184">
        <f>IF(ISERR(VLOOKUP(VALUE(Z$44),'HR DATA'!$A$4:$AA$54,15,0)="TRUE"),0,VLOOKUP(VALUE(Z$44),'HR DATA'!$A$4:$AA$54,15,0))</f>
        <v>138924.56999999998</v>
      </c>
      <c r="AA51" s="184">
        <f>IF(ISERR(VLOOKUP(VALUE(AA$44),'HR DATA'!$A$4:$AA$54,15,0)="TRUE"),0,VLOOKUP(VALUE(AA$44),'HR DATA'!$A$4:$AA$54,15,0))</f>
        <v>134761.16</v>
      </c>
      <c r="AB51" s="184">
        <f>IF(ISERR(VLOOKUP(VALUE(AB$44),'HR DATA'!$A$4:$AA$54,15,0)="TRUE"),0,VLOOKUP(VALUE(AB$44),'HR DATA'!$A$4:$AA$54,15,0))</f>
        <v>293593.46999999997</v>
      </c>
      <c r="AC51" s="184">
        <f>IF(ISERR(VLOOKUP(VALUE(AC$44),'HR DATA'!$A$4:$AA$54,15,0)="TRUE"),0,VLOOKUP(VALUE(AC$44),'HR DATA'!$A$4:$AA$54,15,0))</f>
        <v>157193.4</v>
      </c>
      <c r="AD51" s="184">
        <f>IF(ISERR(VLOOKUP(VALUE(AD$44),'HR DATA'!$A$4:$AA$54,15,0)="TRUE"),0,VLOOKUP(VALUE(AD$44),'HR DATA'!$A$4:$AA$54,15,0))</f>
        <v>0</v>
      </c>
      <c r="AE51" s="184">
        <f>IF(ISERR(VLOOKUP(VALUE(AE$44),'HR DATA'!$A$4:$AA$54,15,0)="TRUE"),0,VLOOKUP(VALUE(AE$44),'HR DATA'!$A$4:$AA$54,15,0))</f>
        <v>10345.73</v>
      </c>
      <c r="AF51" s="184">
        <f>IF(ISERR(VLOOKUP(VALUE(AF$44),'HR DATA'!$A$4:$AA$54,15,0)="TRUE"),0,VLOOKUP(VALUE(AF$44),'HR DATA'!$A$4:$AA$54,15,0))</f>
        <v>0</v>
      </c>
      <c r="AG51" s="184">
        <f>IF(ISERR(VLOOKUP(VALUE(AG$44),'HR DATA'!$A$4:$AA$54,15,0)="TRUE"),0,VLOOKUP(VALUE(AG$44),'HR DATA'!$A$4:$AA$54,15,0))</f>
        <v>145340.87</v>
      </c>
      <c r="AH51" s="184">
        <f>IF(ISERR(VLOOKUP(VALUE(AH$44),'HR DATA'!$A$4:$AA$54,15,0)="TRUE"),0,VLOOKUP(VALUE(AH$44),'HR DATA'!$A$4:$AA$54,15,0))</f>
        <v>0</v>
      </c>
      <c r="AI51" s="184">
        <f>IF(ISERR(VLOOKUP(VALUE(AI$44),'HR DATA'!$A$4:$AA$54,15,0)="TRUE"),0,VLOOKUP(VALUE(AI$44),'HR DATA'!$A$4:$AA$54,15,0))</f>
        <v>0</v>
      </c>
      <c r="AJ51" s="184">
        <f>IF(ISERR(VLOOKUP(VALUE(AJ$44),'HR DATA'!$A$4:$AA$54,15,0)="TRUE"),0,VLOOKUP(VALUE(AJ$44),'HR DATA'!$A$4:$AA$54,15,0))</f>
        <v>4877720.97</v>
      </c>
      <c r="AK51" s="184">
        <f>IF(ISERR(VLOOKUP(VALUE(AK$44),'HR DATA'!$A$4:$AA$54,15,0)="TRUE"),0,VLOOKUP(VALUE(AK$44),'HR DATA'!$A$4:$AA$54,15,0))</f>
        <v>0</v>
      </c>
      <c r="AL51" s="184">
        <f>IF(ISERR(VLOOKUP(VALUE(AL$44),'HR DATA'!$A$4:$AA$54,15,0)="TRUE"),0,VLOOKUP(VALUE(AL$44),'HR DATA'!$A$4:$AA$54,15,0))</f>
        <v>0</v>
      </c>
      <c r="AM51" s="184">
        <f>IF(ISERR(VLOOKUP(VALUE(AM$44),'HR DATA'!$A$4:$AA$54,15,0)="TRUE"),0,VLOOKUP(VALUE(AM$44),'HR DATA'!$A$4:$AA$54,15,0))</f>
        <v>0</v>
      </c>
      <c r="AN51" s="184">
        <f>IF(ISERR(VLOOKUP(VALUE(AN$44),'HR DATA'!$A$4:$AA$54,15,0)="TRUE"),0,VLOOKUP(VALUE(AN$44),'HR DATA'!$A$4:$AA$54,15,0))</f>
        <v>0</v>
      </c>
      <c r="AO51" s="184">
        <f>IF(ISERR(VLOOKUP(VALUE(AO$44),'HR DATA'!$A$4:$AA$54,15,0)="TRUE"),0,VLOOKUP(VALUE(AO$44),'HR DATA'!$A$4:$AA$54,15,0))</f>
        <v>0</v>
      </c>
      <c r="AP51" s="184">
        <f>IF(ISERR(VLOOKUP(VALUE(AP$44),'HR DATA'!$A$4:$AA$54,15,0)="TRUE"),0,VLOOKUP(VALUE(AP$44),'HR DATA'!$A$4:$AA$54,15,0))</f>
        <v>672958.4800000001</v>
      </c>
      <c r="AQ51" s="184">
        <f>IF(ISERR(VLOOKUP(VALUE(AQ$44),'HR DATA'!$A$4:$AA$54,15,0)="TRUE"),0,VLOOKUP(VALUE(AQ$44),'HR DATA'!$A$4:$AA$54,15,0))</f>
        <v>0</v>
      </c>
      <c r="AR51" s="184">
        <f>IF(ISERR(VLOOKUP(VALUE(AR$44),'HR DATA'!$A$4:$AA$54,15,0)="TRUE"),0,VLOOKUP(VALUE(AR$44),'HR DATA'!$A$4:$AA$54,15,0))</f>
        <v>0</v>
      </c>
      <c r="AS51" s="184">
        <f>IF(ISERR(VLOOKUP(VALUE(AS$44),'HR DATA'!$A$4:$AA$54,15,0)="TRUE"),0,VLOOKUP(VALUE(AS$44),'HR DATA'!$A$4:$AA$54,15,0))</f>
        <v>0</v>
      </c>
      <c r="AT51" s="184">
        <f>IF(ISERR(VLOOKUP(VALUE(AT$44),'HR DATA'!$A$4:$AA$54,15,0)="TRUE"),0,VLOOKUP(VALUE(AT$44),'HR DATA'!$A$4:$AA$54,15,0))</f>
        <v>0</v>
      </c>
      <c r="AU51" s="184">
        <f>IF(ISERR(VLOOKUP(VALUE(AU$44),'HR DATA'!$A$4:$AA$54,15,0)="TRUE"),0,VLOOKUP(VALUE(AU$44),'HR DATA'!$A$4:$AA$54,15,0))</f>
        <v>0</v>
      </c>
      <c r="AV51" s="184">
        <f>IF(ISERR(VLOOKUP(VALUE(AV$44),'HR DATA'!$A$4:$AA$54,15,0)="TRUE"),0,VLOOKUP(VALUE(AV$44),'HR DATA'!$A$4:$AA$54,15,0))</f>
        <v>0</v>
      </c>
      <c r="AW51" s="184">
        <f>IF(ISERR(VLOOKUP(VALUE(AW$44),'HR DATA'!$A$4:$AA$54,15,0)="TRUE"),0,VLOOKUP(VALUE(AW$44),'HR DATA'!$A$4:$AA$54,15,0))</f>
        <v>0</v>
      </c>
      <c r="AX51" s="184">
        <f>IF(ISERR(VLOOKUP(VALUE(AX$44),'HR DATA'!$A$4:$AA$54,15,0)="TRUE"),0,VLOOKUP(VALUE(AX$44),'HR DATA'!$A$4:$AA$54,15,0))</f>
        <v>0</v>
      </c>
      <c r="AY51" s="184">
        <f>IF(ISERR(VLOOKUP(VALUE(AY$44),'HR DATA'!$A$4:$AA$54,15,0)="TRUE"),0,VLOOKUP(VALUE(AY$44),'HR DATA'!$A$4:$AA$54,15,0))</f>
        <v>187842.06</v>
      </c>
      <c r="AZ51" s="184">
        <f>IF(ISERR(VLOOKUP(VALUE(AZ$44),'HR DATA'!$A$4:$AA$54,15,0)="TRUE"),0,VLOOKUP(VALUE(AZ$44),'HR DATA'!$A$4:$AA$54,15,0))</f>
        <v>0</v>
      </c>
      <c r="BA51" s="184">
        <f>IF(ISERR(VLOOKUP(VALUE(BA$44),'HR DATA'!$A$4:$AA$54,15,0)="TRUE"),0,VLOOKUP(VALUE(BA$44),'HR DATA'!$A$4:$AA$54,15,0))</f>
        <v>0</v>
      </c>
      <c r="BB51" s="184">
        <f>IF(ISERR(VLOOKUP(VALUE(BB$44),'HR DATA'!$A$4:$AA$54,15,0)="TRUE"),0,VLOOKUP(VALUE(BB$44),'HR DATA'!$A$4:$AA$54,15,0))</f>
        <v>0</v>
      </c>
      <c r="BC51" s="184">
        <f>IF(ISERR(VLOOKUP(VALUE(BC$44),'HR DATA'!$A$4:$AA$54,15,0)="TRUE"),0,VLOOKUP(VALUE(BC$44),'HR DATA'!$A$4:$AA$54,15,0))</f>
        <v>6602.56</v>
      </c>
      <c r="BD51" s="184">
        <f>IF(ISERR(VLOOKUP(VALUE(BD$44),'HR DATA'!$A$4:$AA$54,15,0)="TRUE"),0,VLOOKUP(VALUE(BD$44),'HR DATA'!$A$4:$AA$54,15,0))</f>
        <v>0</v>
      </c>
      <c r="BE51" s="184">
        <f>IF(ISERR(VLOOKUP(VALUE(BE$44),'HR DATA'!$A$4:$AA$54,15,0)="TRUE"),0,VLOOKUP(VALUE(BE$44),'HR DATA'!$A$4:$AA$54,15,0))</f>
        <v>511232.85999999987</v>
      </c>
      <c r="BF51" s="184">
        <f>IF(ISERR(VLOOKUP(VALUE(BF$44),'HR DATA'!$A$4:$AA$54,15,0)="TRUE"),0,VLOOKUP(VALUE(BF$44),'HR DATA'!$A$4:$AA$54,15,0))</f>
        <v>2710.1299999999997</v>
      </c>
      <c r="BG51" s="184">
        <f>IF(ISERR(VLOOKUP(VALUE(BG$44),'HR DATA'!$A$4:$AA$54,15,0)="TRUE"),0,VLOOKUP(VALUE(BG$44),'HR DATA'!$A$4:$AA$54,15,0))</f>
        <v>81471.680000000008</v>
      </c>
      <c r="BH51" s="184">
        <f>IF(ISERR(VLOOKUP(VALUE(BH$44),'HR DATA'!$A$4:$AA$54,15,0)="TRUE"),0,VLOOKUP(VALUE(BH$44),'HR DATA'!$A$4:$AA$54,15,0))</f>
        <v>0</v>
      </c>
      <c r="BI51" s="184">
        <f>IF(ISERR(VLOOKUP(VALUE(BI$44),'HR DATA'!$A$4:$AA$54,15,0)="TRUE"),0,VLOOKUP(VALUE(BI$44),'HR DATA'!$A$4:$AA$54,15,0))</f>
        <v>0</v>
      </c>
      <c r="BJ51" s="184">
        <f>IF(ISERR(VLOOKUP(VALUE(BJ$44),'HR DATA'!$A$4:$AA$54,15,0)="TRUE"),0,VLOOKUP(VALUE(BJ$44),'HR DATA'!$A$4:$AA$54,15,0))</f>
        <v>0</v>
      </c>
      <c r="BK51" s="184">
        <f>IF(ISERR(VLOOKUP(VALUE(BK$44),'HR DATA'!$A$4:$AA$54,15,0)="TRUE"),0,VLOOKUP(VALUE(BK$44),'HR DATA'!$A$4:$AA$54,15,0))</f>
        <v>3945.12</v>
      </c>
      <c r="BL51" s="184">
        <f>IF(ISERR(VLOOKUP(VALUE(BL$44),'HR DATA'!$A$4:$AA$54,15,0)="TRUE"),0,VLOOKUP(VALUE(BL$44),'HR DATA'!$A$4:$AA$54,15,0))</f>
        <v>939.11</v>
      </c>
      <c r="BM51" s="184">
        <f>IF(ISERR(VLOOKUP(VALUE(BM$44),'HR DATA'!$A$4:$AA$54,15,0)="TRUE"),0,VLOOKUP(VALUE(BM$44),'HR DATA'!$A$4:$AA$54,15,0))</f>
        <v>0</v>
      </c>
      <c r="BN51" s="184">
        <f>IF(ISERR(VLOOKUP(VALUE(BN$44),'HR DATA'!$A$4:$AA$54,15,0)="TRUE"),0,VLOOKUP(VALUE(BN$44),'HR DATA'!$A$4:$AA$54,15,0))</f>
        <v>131812.84</v>
      </c>
      <c r="BO51" s="184">
        <f>IF(ISERR(VLOOKUP(VALUE(BO$44),'HR DATA'!$A$4:$AA$54,15,0)="TRUE"),0,VLOOKUP(VALUE(BO$44),'HR DATA'!$A$4:$AA$54,15,0))</f>
        <v>0</v>
      </c>
      <c r="BP51" s="184">
        <f>IF(ISERR(VLOOKUP(VALUE(BP$44),'HR DATA'!$A$4:$AA$54,15,0)="TRUE"),0,VLOOKUP(VALUE(BP$44),'HR DATA'!$A$4:$AA$54,15,0))</f>
        <v>0</v>
      </c>
      <c r="BQ51" s="184">
        <f>IF(ISERR(VLOOKUP(VALUE(BQ$44),'HR DATA'!$A$4:$AA$54,15,0)="TRUE"),0,VLOOKUP(VALUE(BQ$44),'HR DATA'!$A$4:$AA$54,15,0))</f>
        <v>0</v>
      </c>
      <c r="BR51" s="184">
        <f>IF(ISERR(VLOOKUP(VALUE(BR$44),'HR DATA'!$A$4:$AA$54,15,0)="TRUE"),0,VLOOKUP(VALUE(BR$44),'HR DATA'!$A$4:$AA$54,15,0))</f>
        <v>0</v>
      </c>
      <c r="BS51" s="184">
        <f>IF(ISERR(VLOOKUP(VALUE(BS$44),'HR DATA'!$A$4:$AA$54,15,0)="TRUE"),0,VLOOKUP(VALUE(BS$44),'HR DATA'!$A$4:$AA$54,15,0))</f>
        <v>0</v>
      </c>
      <c r="BT51" s="184">
        <f>IF(ISERR(VLOOKUP(VALUE(BT$44),'HR DATA'!$A$4:$AA$54,15,0)="TRUE"),0,VLOOKUP(VALUE(BT$44),'HR DATA'!$A$4:$AA$54,15,0))</f>
        <v>0</v>
      </c>
      <c r="BU51" s="184">
        <f>IF(ISERR(VLOOKUP(VALUE(BU$44),'HR DATA'!$A$4:$AA$54,15,0)="TRUE"),0,VLOOKUP(VALUE(BU$44),'HR DATA'!$A$4:$AA$54,15,0))</f>
        <v>0</v>
      </c>
      <c r="BV51" s="184">
        <f>IF(ISERR(VLOOKUP(VALUE(BV$44),'HR DATA'!$A$4:$AA$54,15,0)="TRUE"),0,VLOOKUP(VALUE(BV$44),'HR DATA'!$A$4:$AA$54,15,0))</f>
        <v>40371.429999999993</v>
      </c>
      <c r="BW51" s="184">
        <f>IF(ISERR(VLOOKUP(VALUE(BW$44),'HR DATA'!$A$4:$AA$54,15,0)="TRUE"),0,VLOOKUP(VALUE(BW$44),'HR DATA'!$A$4:$AA$54,15,0))</f>
        <v>0</v>
      </c>
      <c r="BX51" s="184">
        <f>IF(ISERR(VLOOKUP(VALUE(BX$44),'HR DATA'!$A$4:$AA$54,15,0)="TRUE"),0,VLOOKUP(VALUE(BX$44),'HR DATA'!$A$4:$AA$54,15,0))</f>
        <v>0</v>
      </c>
      <c r="BY51" s="184">
        <f>IF(ISERR(VLOOKUP(VALUE(BY$44),'HR DATA'!$A$4:$AA$54,15,0)="TRUE"),0,VLOOKUP(VALUE(BY$44),'HR DATA'!$A$4:$AA$54,15,0))</f>
        <v>157150.69</v>
      </c>
      <c r="BZ51" s="184">
        <f>IF(ISERR(VLOOKUP(VALUE(BZ$44),'HR DATA'!$A$4:$AA$54,15,0)="TRUE"),0,VLOOKUP(VALUE(BZ$44),'HR DATA'!$A$4:$AA$54,15,0))</f>
        <v>9157.15</v>
      </c>
      <c r="CA51" s="184">
        <f>IF(ISERR(VLOOKUP(VALUE(CA$44),'HR DATA'!$A$4:$AA$54,15,0)="TRUE"),0,VLOOKUP(VALUE(CA$44),'HR DATA'!$A$4:$AA$54,15,0))</f>
        <v>3955.16</v>
      </c>
      <c r="CB51" s="184">
        <f>IF(ISERR(VLOOKUP(VALUE(CB$44),'HR DATA'!$A$4:$AA$54,15,0)="TRUE"),0,VLOOKUP(VALUE(CB$44),'HR DATA'!$A$4:$AA$54,15,0))</f>
        <v>0</v>
      </c>
      <c r="CC51" s="184">
        <f>IF(ISERR(VLOOKUP(VALUE(CC$44),'HR DATA'!$A$4:$AA$54,15,0)="TRUE"),0,VLOOKUP(VALUE(CC$44),'HR DATA'!$A$4:$AA$54,15,0))+2</f>
        <v>91683.48</v>
      </c>
      <c r="CD51" s="193"/>
      <c r="CE51" s="193">
        <f>SUM(C51:CD51)</f>
        <v>13832814.640000001</v>
      </c>
    </row>
    <row r="52" spans="1:84" ht="12.6" customHeight="1" x14ac:dyDescent="0.2">
      <c r="A52" s="171" t="s">
        <v>208</v>
      </c>
      <c r="B52" s="184">
        <v>24357064.879999999</v>
      </c>
      <c r="C52" s="193">
        <f>ROUND((B52/(CE76+CF76)*C76),0)</f>
        <v>371296</v>
      </c>
      <c r="D52" s="193">
        <f>ROUND((B52/(CE76+CF76)*D76),0)</f>
        <v>0</v>
      </c>
      <c r="E52" s="193">
        <f>ROUND((B52/(CE76+CF76)*E76),0)</f>
        <v>3809582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676814</v>
      </c>
      <c r="P52" s="193">
        <f>ROUND((B52/(CE76+CF76)*P76),0)</f>
        <v>2480427</v>
      </c>
      <c r="Q52" s="193">
        <f>ROUND((B52/(CE76+CF76)*Q76),0)</f>
        <v>363997</v>
      </c>
      <c r="R52" s="193">
        <f>ROUND((B52/(CE76+CF76)*R76),0)</f>
        <v>4894</v>
      </c>
      <c r="S52" s="193">
        <f>ROUND((B52/(CE76+CF76)*S76),0)</f>
        <v>355221</v>
      </c>
      <c r="T52" s="193">
        <f>ROUND((B52/(CE76+CF76)*T76),0)</f>
        <v>0</v>
      </c>
      <c r="U52" s="193">
        <f>ROUND((B52/(CE76+CF76)*U76),0)</f>
        <v>564286</v>
      </c>
      <c r="V52" s="193">
        <f>ROUND((B52/(CE76+CF76)*V76),0)</f>
        <v>0</v>
      </c>
      <c r="W52" s="193">
        <f>ROUND((B52/(CE76+CF76)*W76),0)</f>
        <v>92486</v>
      </c>
      <c r="X52" s="193">
        <f>ROUND((B52/(CE76+CF76)*X76),0)</f>
        <v>0</v>
      </c>
      <c r="Y52" s="193">
        <f>ROUND((B52/(CE76+CF76)*Y76),0)</f>
        <v>973513</v>
      </c>
      <c r="Z52" s="193">
        <f>ROUND((B52/(CE76+CF76)*Z76),0)</f>
        <v>496735</v>
      </c>
      <c r="AA52" s="193">
        <f>ROUND((B52/(CE76+CF76)*AA76),0)</f>
        <v>0</v>
      </c>
      <c r="AB52" s="193">
        <f>ROUND((B52/(CE76+CF76)*AB76),0)</f>
        <v>234254</v>
      </c>
      <c r="AC52" s="193">
        <f>ROUND((B52/(CE76+CF76)*AC76),0)</f>
        <v>321045</v>
      </c>
      <c r="AD52" s="193">
        <f>ROUND((B52/(CE76+CF76)*AD76),0)</f>
        <v>34176</v>
      </c>
      <c r="AE52" s="193">
        <f>ROUND((B52/(CE76+CF76)*AE76),0)</f>
        <v>921911</v>
      </c>
      <c r="AF52" s="193">
        <f>ROUND((B52/(CE76+CF76)*AF76),0)</f>
        <v>0</v>
      </c>
      <c r="AG52" s="193">
        <f>ROUND((B52/(CE76+CF76)*AG76),0)</f>
        <v>1202915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197504</v>
      </c>
      <c r="AL52" s="193">
        <f>ROUND((B52/(CE76+CF76)*AL76),0)</f>
        <v>64977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2678057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133709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808075</v>
      </c>
      <c r="AZ52" s="193">
        <f>ROUND((B52/(CE76+CF76)*AZ76),0)</f>
        <v>0</v>
      </c>
      <c r="BA52" s="193">
        <f>ROUND((B52/(CE76+CF76)*BA76),0)</f>
        <v>156873</v>
      </c>
      <c r="BB52" s="193">
        <f>ROUND((B52/(CE76+CF76)*BB76),0)</f>
        <v>48268</v>
      </c>
      <c r="BC52" s="193">
        <f>ROUND((B52/(CE76+CF76)*BC76),0)</f>
        <v>0</v>
      </c>
      <c r="BD52" s="193">
        <f>ROUND((B52/(CE76+CF76)*BD76),0)</f>
        <v>2219929</v>
      </c>
      <c r="BE52" s="193">
        <f>ROUND((B52/(CE76+CF76)*BE76),0)</f>
        <v>3432337</v>
      </c>
      <c r="BF52" s="193">
        <f>ROUND((B52/(CE76+CF76)*BF76),0)</f>
        <v>457876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0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455766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0</v>
      </c>
      <c r="BS52" s="193">
        <f>ROUND((B52/(CE76+CF76)*BS76),0)</f>
        <v>179361</v>
      </c>
      <c r="BT52" s="193">
        <f>ROUND((B52/(CE76+CF76)*BT76),0)</f>
        <v>0</v>
      </c>
      <c r="BU52" s="193">
        <f>ROUND((B52/(CE76+CF76)*BU76),0)</f>
        <v>113414</v>
      </c>
      <c r="BV52" s="193">
        <f>ROUND((B52/(CE76+CF76)*BV76),0)</f>
        <v>317922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111262</v>
      </c>
      <c r="BZ52" s="193">
        <f>ROUND((B52/(CE76+CF76)*BZ76),0)</f>
        <v>0</v>
      </c>
      <c r="CA52" s="193">
        <f>ROUND((B52/(CE76+CF76)*CA76),0)</f>
        <v>78183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24357065</v>
      </c>
    </row>
    <row r="53" spans="1:84" ht="12.6" customHeight="1" x14ac:dyDescent="0.2">
      <c r="A53" s="175" t="s">
        <v>206</v>
      </c>
      <c r="B53" s="193">
        <f>B51+B52</f>
        <v>38189877.879999995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2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 x14ac:dyDescent="0.2">
      <c r="A59" s="171" t="s">
        <v>233</v>
      </c>
      <c r="B59" s="175"/>
      <c r="C59" s="184">
        <v>5067</v>
      </c>
      <c r="D59" s="184">
        <v>0</v>
      </c>
      <c r="E59" s="184">
        <f>56881</f>
        <v>56881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2689</v>
      </c>
      <c r="P59" s="185">
        <f>908840</f>
        <v>908840</v>
      </c>
      <c r="Q59" s="185">
        <v>30625</v>
      </c>
      <c r="R59" s="185">
        <v>500310</v>
      </c>
      <c r="S59" s="243"/>
      <c r="T59" s="243"/>
      <c r="U59" s="220">
        <v>1068434</v>
      </c>
      <c r="V59" s="185">
        <v>6698</v>
      </c>
      <c r="W59" s="185">
        <v>2893</v>
      </c>
      <c r="X59" s="185">
        <v>0</v>
      </c>
      <c r="Y59" s="185">
        <v>130982</v>
      </c>
      <c r="Z59" s="185">
        <v>15185</v>
      </c>
      <c r="AA59" s="185">
        <v>2947</v>
      </c>
      <c r="AB59" s="243"/>
      <c r="AC59" s="185">
        <f>93632-1118</f>
        <v>92514</v>
      </c>
      <c r="AD59" s="185">
        <v>0</v>
      </c>
      <c r="AE59" s="185">
        <f>87729-19072</f>
        <v>68657</v>
      </c>
      <c r="AF59" s="185">
        <v>0</v>
      </c>
      <c r="AG59" s="185">
        <v>67619</v>
      </c>
      <c r="AH59" s="185">
        <v>0</v>
      </c>
      <c r="AI59" s="185">
        <v>0</v>
      </c>
      <c r="AJ59" s="185">
        <f>485951.09+1118+19072</f>
        <v>506141.09</v>
      </c>
      <c r="AK59" s="185">
        <v>30310</v>
      </c>
      <c r="AL59" s="185">
        <v>6389</v>
      </c>
      <c r="AM59" s="185">
        <v>0</v>
      </c>
      <c r="AN59" s="185">
        <v>0</v>
      </c>
      <c r="AO59" s="185">
        <v>0</v>
      </c>
      <c r="AP59" s="185">
        <v>514343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3"/>
      <c r="AW59" s="243"/>
      <c r="AX59" s="243"/>
      <c r="AY59" s="185">
        <f>200502</f>
        <v>200502</v>
      </c>
      <c r="AZ59" s="185">
        <f>428430</f>
        <v>428430</v>
      </c>
      <c r="BA59" s="243"/>
      <c r="BB59" s="243"/>
      <c r="BC59" s="243"/>
      <c r="BD59" s="243"/>
      <c r="BE59" s="185">
        <v>577281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3"/>
    </row>
    <row r="60" spans="1:84" ht="12.6" customHeight="1" x14ac:dyDescent="0.2">
      <c r="A60" s="245" t="s">
        <v>234</v>
      </c>
      <c r="B60" s="175"/>
      <c r="C60" s="184">
        <f>IF(ISERR(VLOOKUP(VALUE(C$44),'HR DATA'!$A$68:$AB$103,4,0)="TRUE"),0,VLOOKUP(VALUE(C$44),'HR DATA'!$A$68:$AB$103,4,0))</f>
        <v>52.859554597701141</v>
      </c>
      <c r="D60" s="184">
        <f>IF(ISERR(VLOOKUP(VALUE(D$44),'HR DATA'!$A$68:$AB$103,4,0)="TRUE"),0,VLOOKUP(VALUE(D$44),'HR DATA'!$A$68:$AB$103,4,0))</f>
        <v>0</v>
      </c>
      <c r="E60" s="184">
        <f>IF(ISERR(VLOOKUP(VALUE(E$44),'HR DATA'!$A$68:$AB$103,4,0)="TRUE"),0,VLOOKUP(VALUE(E$44),'HR DATA'!$A$68:$AB$103,4,0))</f>
        <v>391.56507183908042</v>
      </c>
      <c r="F60" s="184">
        <f>IF(ISERR(VLOOKUP(VALUE(F$44),'HR DATA'!$A$68:$AB$103,4,0)="TRUE"),0,VLOOKUP(VALUE(F$44),'HR DATA'!$A$68:$AB$103,4,0))</f>
        <v>0</v>
      </c>
      <c r="G60" s="184">
        <f>IF(ISERR(VLOOKUP(VALUE(G$44),'HR DATA'!$A$68:$AB$103,4,0)="TRUE"),0,VLOOKUP(VALUE(G$44),'HR DATA'!$A$68:$AB$103,4,0))</f>
        <v>0</v>
      </c>
      <c r="H60" s="184">
        <f>IF(ISERR(VLOOKUP(VALUE(H$44),'HR DATA'!$A$68:$AB$103,4,0)="TRUE"),0,VLOOKUP(VALUE(H$44),'HR DATA'!$A$68:$AB$103,4,0))</f>
        <v>0</v>
      </c>
      <c r="I60" s="184">
        <f>IF(ISERR(VLOOKUP(VALUE(I$44),'HR DATA'!$A$68:$AB$103,4,0)="TRUE"),0,VLOOKUP(VALUE(I$44),'HR DATA'!$A$68:$AB$103,4,0))</f>
        <v>0</v>
      </c>
      <c r="J60" s="184">
        <f>IF(ISERR(VLOOKUP(VALUE(J$44),'HR DATA'!$A$68:$AB$103,4,0)="TRUE"),0,VLOOKUP(VALUE(J$44),'HR DATA'!$A$68:$AB$103,4,0))</f>
        <v>0</v>
      </c>
      <c r="K60" s="184">
        <f>IF(ISERR(VLOOKUP(VALUE(K$44),'HR DATA'!$A$68:$AB$103,4,0)="TRUE"),0,VLOOKUP(VALUE(K$44),'HR DATA'!$A$68:$AB$103,4,0))</f>
        <v>0</v>
      </c>
      <c r="L60" s="184">
        <f>IF(ISERR(VLOOKUP(VALUE(L$44),'HR DATA'!$A$68:$AB$103,4,0)="TRUE"),0,VLOOKUP(VALUE(L$44),'HR DATA'!$A$68:$AB$103,4,0))</f>
        <v>0</v>
      </c>
      <c r="M60" s="184">
        <f>IF(ISERR(VLOOKUP(VALUE(M$44),'HR DATA'!$A$68:$AB$103,4,0)="TRUE"),0,VLOOKUP(VALUE(M$44),'HR DATA'!$A$68:$AB$103,4,0))</f>
        <v>0</v>
      </c>
      <c r="N60" s="184">
        <f>IF(ISERR(VLOOKUP(VALUE(N$44),'HR DATA'!$A$68:$AB$103,4,0)="TRUE"),0,VLOOKUP(VALUE(N$44),'HR DATA'!$A$68:$AB$103,4,0))</f>
        <v>0</v>
      </c>
      <c r="O60" s="184">
        <f>IF(ISERR(VLOOKUP(VALUE(O$44),'HR DATA'!$A$68:$AB$103,4,0)="TRUE"),0,VLOOKUP(VALUE(O$44),'HR DATA'!$A$68:$AB$103,4,0))</f>
        <v>68.567677203065131</v>
      </c>
      <c r="P60" s="184">
        <f>IF(ISERR(VLOOKUP(VALUE(P$44),'HR DATA'!$A$68:$AB$103,4,0)="TRUE"),0,VLOOKUP(VALUE(P$44),'HR DATA'!$A$68:$AB$103,4,0))</f>
        <v>81.319003831417632</v>
      </c>
      <c r="Q60" s="184">
        <f>IF(ISERR(VLOOKUP(VALUE(Q$44),'HR DATA'!$A$68:$AB$103,4,0)="TRUE"),0,VLOOKUP(VALUE(Q$44),'HR DATA'!$A$68:$AB$103,4,0))</f>
        <v>44.674501915708809</v>
      </c>
      <c r="R60" s="184">
        <f>IF(ISERR(VLOOKUP(VALUE(R$44),'HR DATA'!$A$68:$AB$103,4,0)="TRUE"),0,VLOOKUP(VALUE(R$44),'HR DATA'!$A$68:$AB$103,4,0))</f>
        <v>3.2688026819923373</v>
      </c>
      <c r="S60" s="184">
        <f>IF(ISERR(VLOOKUP(VALUE(S$44),'HR DATA'!$A$68:$AB$103,4,0)="TRUE"),0,VLOOKUP(VALUE(S$44),'HR DATA'!$A$68:$AB$103,4,0))</f>
        <v>23.646384099616856</v>
      </c>
      <c r="T60" s="184">
        <f>IF(ISERR(VLOOKUP(VALUE(T$44),'HR DATA'!$A$68:$AB$103,4,0)="TRUE"),0,VLOOKUP(VALUE(T$44),'HR DATA'!$A$68:$AB$103,4,0))</f>
        <v>0</v>
      </c>
      <c r="U60" s="184">
        <f>IF(ISERR(VLOOKUP(VALUE(U$44),'HR DATA'!$A$68:$AB$103,4,0)="TRUE"),0,VLOOKUP(VALUE(U$44),'HR DATA'!$A$68:$AB$103,4,0))</f>
        <v>58.76726053639846</v>
      </c>
      <c r="V60" s="184">
        <f>IF(ISERR(VLOOKUP(VALUE(V$44),'HR DATA'!$A$68:$AB$103,4,0)="TRUE"),0,VLOOKUP(VALUE(V$44),'HR DATA'!$A$68:$AB$103,4,0))</f>
        <v>4.306149425287356</v>
      </c>
      <c r="W60" s="184">
        <f>IF(ISERR(VLOOKUP(VALUE(W$44),'HR DATA'!$A$68:$AB$103,4,0)="TRUE"),0,VLOOKUP(VALUE(W$44),'HR DATA'!$A$68:$AB$103,4,0))</f>
        <v>3.3901724137931035</v>
      </c>
      <c r="X60" s="184">
        <f>IF(ISERR(VLOOKUP(VALUE(X$44),'HR DATA'!$A$68:$AB$103,4,0)="TRUE"),0,VLOOKUP(VALUE(X$44),'HR DATA'!$A$68:$AB$103,4,0))</f>
        <v>0</v>
      </c>
      <c r="Y60" s="184">
        <f>IF(ISERR(VLOOKUP(VALUE(Y$44),'HR DATA'!$A$68:$AB$103,4,0)="TRUE"),0,VLOOKUP(VALUE(Y$44),'HR DATA'!$A$68:$AB$103,4,0))</f>
        <v>143.12750957854405</v>
      </c>
      <c r="Z60" s="184">
        <f>IF(ISERR(VLOOKUP(VALUE(Z$44),'HR DATA'!$A$68:$AB$103,4,0)="TRUE"),0,VLOOKUP(VALUE(Z$44),'HR DATA'!$A$68:$AB$103,4,0))</f>
        <v>20.010407088122605</v>
      </c>
      <c r="AA60" s="184">
        <f>IF(ISERR(VLOOKUP(VALUE(AA$44),'HR DATA'!$A$68:$AB$103,4,0)="TRUE"),0,VLOOKUP(VALUE(AA$44),'HR DATA'!$A$68:$AB$103,4,0))</f>
        <v>3.2354741379310346</v>
      </c>
      <c r="AB60" s="184">
        <f>IF(ISERR(VLOOKUP(VALUE(AB$44),'HR DATA'!$A$68:$AB$103,4,0)="TRUE"),0,VLOOKUP(VALUE(AB$44),'HR DATA'!$A$68:$AB$103,4,0))</f>
        <v>45.317083333333329</v>
      </c>
      <c r="AC60" s="184">
        <f>IF(ISERR(VLOOKUP(VALUE(AC$44),'HR DATA'!$A$68:$AB$103,4,0)="TRUE"),0,VLOOKUP(VALUE(AC$44),'HR DATA'!$A$68:$AB$103,4,0))</f>
        <v>48.91247605363985</v>
      </c>
      <c r="AD60" s="184">
        <f>IF(ISERR(VLOOKUP(VALUE(AD$44),'HR DATA'!$A$68:$AB$103,4,0)="TRUE"),0,VLOOKUP(VALUE(AD$44),'HR DATA'!$A$68:$AB$103,4,0))</f>
        <v>0</v>
      </c>
      <c r="AE60" s="184">
        <f>IF(ISERR(VLOOKUP(VALUE(AE$44),'HR DATA'!$A$68:$AB$103,4,0)="TRUE"),0,VLOOKUP(VALUE(AE$44),'HR DATA'!$A$68:$AB$103,4,0))</f>
        <v>25.360153256704979</v>
      </c>
      <c r="AF60" s="184">
        <f>IF(ISERR(VLOOKUP(VALUE(AF$44),'HR DATA'!$A$68:$AB$103,4,0)="TRUE"),0,VLOOKUP(VALUE(AF$44),'HR DATA'!$A$68:$AB$103,4,0))</f>
        <v>0</v>
      </c>
      <c r="AG60" s="184">
        <f>IF(ISERR(VLOOKUP(VALUE(AG$44),'HR DATA'!$A$68:$AB$103,4,0)="TRUE"),0,VLOOKUP(VALUE(AG$44),'HR DATA'!$A$68:$AB$103,4,0))</f>
        <v>93.463103448275859</v>
      </c>
      <c r="AH60" s="184">
        <f>IF(ISERR(VLOOKUP(VALUE(AH$44),'HR DATA'!$A$68:$AB$103,4,0)="TRUE"),0,VLOOKUP(VALUE(AH$44),'HR DATA'!$A$68:$AB$103,4,0))</f>
        <v>0</v>
      </c>
      <c r="AI60" s="184">
        <f>IF(ISERR(VLOOKUP(VALUE(AI$44),'HR DATA'!$A$68:$AB$103,4,0)="TRUE"),0,VLOOKUP(VALUE(AI$44),'HR DATA'!$A$68:$AB$103,4,0))</f>
        <v>0</v>
      </c>
      <c r="AJ60" s="184">
        <f>IF(ISERR(VLOOKUP(VALUE(AJ$44),'HR DATA'!$A$68:$AB$103,4,0)="TRUE"),0,VLOOKUP(VALUE(AJ$44),'HR DATA'!$A$68:$AB$103,4,0))</f>
        <v>492.21558400000004</v>
      </c>
      <c r="AK60" s="184">
        <f>IF(ISERR(VLOOKUP(VALUE(AK$44),'HR DATA'!$A$68:$AB$103,4,0)="TRUE"),0,VLOOKUP(VALUE(AK$44),'HR DATA'!$A$68:$AB$103,4,0))</f>
        <v>8.7385584291187737</v>
      </c>
      <c r="AL60" s="184">
        <f>IF(ISERR(VLOOKUP(VALUE(AL$44),'HR DATA'!$A$68:$AB$103,4,0)="TRUE"),0,VLOOKUP(VALUE(AL$44),'HR DATA'!$A$68:$AB$103,4,0))</f>
        <v>4.325210727969349</v>
      </c>
      <c r="AM60" s="184">
        <f>IF(ISERR(VLOOKUP(VALUE(AM$44),'HR DATA'!$A$68:$AB$103,4,0)="TRUE"),0,VLOOKUP(VALUE(AM$44),'HR DATA'!$A$68:$AB$103,4,0))</f>
        <v>0</v>
      </c>
      <c r="AN60" s="184">
        <f>IF(ISERR(VLOOKUP(VALUE(AN$44),'HR DATA'!$A$68:$AB$103,4,0)="TRUE"),0,VLOOKUP(VALUE(AN$44),'HR DATA'!$A$68:$AB$103,4,0))</f>
        <v>0</v>
      </c>
      <c r="AO60" s="184">
        <f>IF(ISERR(VLOOKUP(VALUE(AO$44),'HR DATA'!$A$68:$AB$103,4,0)="TRUE"),0,VLOOKUP(VALUE(AO$44),'HR DATA'!$A$68:$AB$103,4,0))</f>
        <v>0</v>
      </c>
      <c r="AP60" s="184">
        <f>IF(ISERR(VLOOKUP(VALUE(AP$44),'HR DATA'!$A$68:$AB$103,4,0)="TRUE"),0,VLOOKUP(VALUE(AP$44),'HR DATA'!$A$68:$AB$103,4,0))</f>
        <v>90.833304597701158</v>
      </c>
      <c r="AQ60" s="184">
        <f>IF(ISERR(VLOOKUP(VALUE(AQ$44),'HR DATA'!$A$68:$AB$103,4,0)="TRUE"),0,VLOOKUP(VALUE(AQ$44),'HR DATA'!$A$68:$AB$103,4,0))</f>
        <v>0</v>
      </c>
      <c r="AR60" s="184">
        <f>IF(ISERR(VLOOKUP(VALUE(AR$44),'HR DATA'!$A$68:$AB$103,4,0)="TRUE"),0,VLOOKUP(VALUE(AR$44),'HR DATA'!$A$68:$AB$103,4,0))</f>
        <v>0</v>
      </c>
      <c r="AS60" s="184">
        <f>IF(ISERR(VLOOKUP(VALUE(AS$44),'HR DATA'!$A$68:$AB$103,4,0)="TRUE"),0,VLOOKUP(VALUE(AS$44),'HR DATA'!$A$68:$AB$103,4,0))</f>
        <v>0</v>
      </c>
      <c r="AT60" s="184">
        <f>IF(ISERR(VLOOKUP(VALUE(AT$44),'HR DATA'!$A$68:$AB$103,4,0)="TRUE"),0,VLOOKUP(VALUE(AT$44),'HR DATA'!$A$68:$AB$103,4,0))</f>
        <v>0</v>
      </c>
      <c r="AU60" s="184">
        <f>IF(ISERR(VLOOKUP(VALUE(AU$44),'HR DATA'!$A$68:$AB$103,4,0)="TRUE"),0,VLOOKUP(VALUE(AU$44),'HR DATA'!$A$68:$AB$103,4,0))</f>
        <v>0</v>
      </c>
      <c r="AV60" s="184">
        <f>IF(ISERR(VLOOKUP(VALUE(AV$44),'HR DATA'!$A$68:$AB$103,4,0)="TRUE"),0,VLOOKUP(VALUE(AV$44),'HR DATA'!$A$68:$AB$103,4,0))</f>
        <v>23.770680076628349</v>
      </c>
      <c r="AW60" s="184">
        <f>IF(ISERR(VLOOKUP(VALUE(AW$44),'HR DATA'!$A$68:$AB$103,4,0)="TRUE"),0,VLOOKUP(VALUE(AW$44),'HR DATA'!$A$68:$AB$103,4,0))</f>
        <v>0</v>
      </c>
      <c r="AX60" s="184">
        <f>IF(ISERR(VLOOKUP(VALUE(AX$44),'HR DATA'!$A$68:$AB$103,4,0)="TRUE"),0,VLOOKUP(VALUE(AX$44),'HR DATA'!$A$68:$AB$103,4,0))</f>
        <v>0</v>
      </c>
      <c r="AY60" s="184">
        <f>IF(ISERR(VLOOKUP(VALUE(AY$44),'HR DATA'!$A$68:$AB$103,4,0)="TRUE"),0,VLOOKUP(VALUE(AY$44),'HR DATA'!$A$68:$AB$103,4,0))</f>
        <v>72.762270114942538</v>
      </c>
      <c r="AZ60" s="184">
        <f>IF(ISERR(VLOOKUP(VALUE(AZ$44),'HR DATA'!$A$68:$AB$103,4,0)="TRUE"),0,VLOOKUP(VALUE(AZ$44),'HR DATA'!$A$68:$AB$103,4,0))</f>
        <v>0</v>
      </c>
      <c r="BA60" s="184">
        <f>IF(ISERR(VLOOKUP(VALUE(BA$44),'HR DATA'!$A$68:$AB$103,4,0)="TRUE"),0,VLOOKUP(VALUE(BA$44),'HR DATA'!$A$68:$AB$103,4,0))</f>
        <v>2.669784482758621</v>
      </c>
      <c r="BB60" s="184">
        <f>IF(ISERR(VLOOKUP(VALUE(BB$44),'HR DATA'!$A$68:$AB$103,4,0)="TRUE"),0,VLOOKUP(VALUE(BB$44),'HR DATA'!$A$68:$AB$103,4,0))</f>
        <v>0</v>
      </c>
      <c r="BC60" s="184">
        <f>IF(ISERR(VLOOKUP(VALUE(BC$44),'HR DATA'!$A$68:$AB$103,4,0)="TRUE"),0,VLOOKUP(VALUE(BC$44),'HR DATA'!$A$68:$AB$103,4,0))</f>
        <v>16.5933908045977</v>
      </c>
      <c r="BD60" s="184">
        <f>IF(ISERR(VLOOKUP(VALUE(BD$44),'HR DATA'!$A$68:$AB$103,4,0)="TRUE"),0,VLOOKUP(VALUE(BD$44),'HR DATA'!$A$68:$AB$103,4,0))</f>
        <v>0</v>
      </c>
      <c r="BE60" s="184">
        <f>IF(ISERR(VLOOKUP(VALUE(BE$44),'HR DATA'!$A$68:$AB$103,4,0)="TRUE"),0,VLOOKUP(VALUE(BE$44),'HR DATA'!$A$68:$AB$103,4,0))</f>
        <v>17.695852490421458</v>
      </c>
      <c r="BF60" s="184">
        <f>IF(ISERR(VLOOKUP(VALUE(BF$44),'HR DATA'!$A$68:$AB$103,4,0)="TRUE"),0,VLOOKUP(VALUE(BF$44),'HR DATA'!$A$68:$AB$103,4,0))</f>
        <v>73.606283524904214</v>
      </c>
      <c r="BG60" s="184">
        <f>IF(ISERR(VLOOKUP(VALUE(BG$44),'HR DATA'!$A$68:$AB$103,4,0)="TRUE"),0,VLOOKUP(VALUE(BG$44),'HR DATA'!$A$68:$AB$103,4,0))</f>
        <v>0</v>
      </c>
      <c r="BH60" s="184">
        <f>IF(ISERR(VLOOKUP(VALUE(BH$44),'HR DATA'!$A$68:$AB$103,4,0)="TRUE"),0,VLOOKUP(VALUE(BH$44),'HR DATA'!$A$68:$AB$103,4,0))</f>
        <v>0</v>
      </c>
      <c r="BI60" s="184">
        <f>IF(ISERR(VLOOKUP(VALUE(BI$44),'HR DATA'!$A$68:$AB$103,4,0)="TRUE"),0,VLOOKUP(VALUE(BI$44),'HR DATA'!$A$68:$AB$103,4,0))</f>
        <v>0</v>
      </c>
      <c r="BJ60" s="184">
        <f>IF(ISERR(VLOOKUP(VALUE(BJ$44),'HR DATA'!$A$68:$AB$103,4,0)="TRUE"),0,VLOOKUP(VALUE(BJ$44),'HR DATA'!$A$68:$AB$103,4,0))</f>
        <v>0</v>
      </c>
      <c r="BK60" s="184">
        <f>IF(ISERR(VLOOKUP(VALUE(BK$44),'HR DATA'!$A$68:$AB$103,4,0)="TRUE"),0,VLOOKUP(VALUE(BK$44),'HR DATA'!$A$68:$AB$103,4,0))</f>
        <v>0</v>
      </c>
      <c r="BL60" s="184">
        <f>IF(ISERR(VLOOKUP(VALUE(BL$44),'HR DATA'!$A$68:$AB$103,4,0)="TRUE"),0,VLOOKUP(VALUE(BL$44),'HR DATA'!$A$68:$AB$103,4,0))</f>
        <v>0</v>
      </c>
      <c r="BM60" s="184">
        <f>IF(ISERR(VLOOKUP(VALUE(BM$44),'HR DATA'!$A$68:$AB$103,4,0)="TRUE"),0,VLOOKUP(VALUE(BM$44),'HR DATA'!$A$68:$AB$103,4,0))</f>
        <v>0</v>
      </c>
      <c r="BN60" s="184">
        <f>IF(ISERR(VLOOKUP(VALUE(BN$44),'HR DATA'!$A$68:$AB$103,4,0)="TRUE"),0,VLOOKUP(VALUE(BN$44),'HR DATA'!$A$68:$AB$103,4,0))</f>
        <v>65.558069923371647</v>
      </c>
      <c r="BO60" s="184">
        <f>IF(ISERR(VLOOKUP(VALUE(BO$44),'HR DATA'!$A$68:$AB$103,4,0)="TRUE"),0,VLOOKUP(VALUE(BO$44),'HR DATA'!$A$68:$AB$103,4,0))</f>
        <v>0</v>
      </c>
      <c r="BP60" s="184">
        <f>IF(ISERR(VLOOKUP(VALUE(BP$44),'HR DATA'!$A$68:$AB$103,4,0)="TRUE"),0,VLOOKUP(VALUE(BP$44),'HR DATA'!$A$68:$AB$103,4,0))</f>
        <v>0</v>
      </c>
      <c r="BQ60" s="184">
        <f>IF(ISERR(VLOOKUP(VALUE(BQ$44),'HR DATA'!$A$68:$AB$103,4,0)="TRUE"),0,VLOOKUP(VALUE(BQ$44),'HR DATA'!$A$68:$AB$103,4,0))</f>
        <v>0</v>
      </c>
      <c r="BR60" s="184">
        <f>IF(ISERR(VLOOKUP(VALUE(BR$44),'HR DATA'!$A$68:$AB$103,4,0)="TRUE"),0,VLOOKUP(VALUE(BR$44),'HR DATA'!$A$68:$AB$103,4,0))</f>
        <v>0</v>
      </c>
      <c r="BS60" s="184">
        <f>IF(ISERR(VLOOKUP(VALUE(BS$44),'HR DATA'!$A$68:$AB$103,4,0)="TRUE"),0,VLOOKUP(VALUE(BS$44),'HR DATA'!$A$68:$AB$103,4,0))</f>
        <v>0</v>
      </c>
      <c r="BT60" s="184">
        <f>IF(ISERR(VLOOKUP(VALUE(BT$44),'HR DATA'!$A$68:$AB$103,4,0)="TRUE"),0,VLOOKUP(VALUE(BT$44),'HR DATA'!$A$68:$AB$103,4,0))</f>
        <v>0</v>
      </c>
      <c r="BU60" s="184">
        <f>IF(ISERR(VLOOKUP(VALUE(BU$44),'HR DATA'!$A$68:$AB$103,4,0)="TRUE"),0,VLOOKUP(VALUE(BU$44),'HR DATA'!$A$68:$AB$103,4,0))</f>
        <v>0</v>
      </c>
      <c r="BV60" s="184">
        <f>IF(ISERR(VLOOKUP(VALUE(BV$44),'HR DATA'!$A$68:$AB$103,4,0)="TRUE"),0,VLOOKUP(VALUE(BV$44),'HR DATA'!$A$68:$AB$103,4,0))</f>
        <v>0</v>
      </c>
      <c r="BW60" s="184">
        <f>IF(ISERR(VLOOKUP(VALUE(BW$44),'HR DATA'!$A$68:$AB$103,4,0)="TRUE"),0,VLOOKUP(VALUE(BW$44),'HR DATA'!$A$68:$AB$103,4,0))</f>
        <v>0</v>
      </c>
      <c r="BX60" s="184">
        <f>IF(ISERR(VLOOKUP(VALUE(BX$44),'HR DATA'!$A$68:$AB$103,4,0)="TRUE"),0,VLOOKUP(VALUE(BX$44),'HR DATA'!$A$68:$AB$103,4,0))</f>
        <v>0</v>
      </c>
      <c r="BY60" s="184">
        <f>IF(ISERR(VLOOKUP(VALUE(BY$44),'HR DATA'!$A$68:$AB$103,4,0)="TRUE"),0,VLOOKUP(VALUE(BY$44),'HR DATA'!$A$68:$AB$103,4,0))</f>
        <v>40.922437739463604</v>
      </c>
      <c r="BZ60" s="184">
        <f>IF(ISERR(VLOOKUP(VALUE(BZ$44),'HR DATA'!$A$68:$AB$103,4,0)="TRUE"),0,VLOOKUP(VALUE(BZ$44),'HR DATA'!$A$68:$AB$103,4,0))</f>
        <v>28.890215517241376</v>
      </c>
      <c r="CA60" s="184">
        <f>IF(ISERR(VLOOKUP(VALUE(CA$44),'HR DATA'!$A$68:$AB$103,4,0)="TRUE"),0,VLOOKUP(VALUE(CA$44),'HR DATA'!$A$68:$AB$103,4,0))</f>
        <v>10.39432950191571</v>
      </c>
      <c r="CB60" s="184">
        <f>IF(ISERR(VLOOKUP(VALUE(CB$44),'HR DATA'!$A$68:$AB$103,4,0)="TRUE"),0,VLOOKUP(VALUE(CB$44),'HR DATA'!$A$68:$AB$103,4,0))</f>
        <v>0</v>
      </c>
      <c r="CC60" s="184">
        <f>IF(ISERR(VLOOKUP(VALUE(CC$44),'HR DATA'!$A$68:$AB$103,4,0)="TRUE"),0,VLOOKUP(VALUE(CC$44),'HR DATA'!$A$68:$AB$103,4,0))</f>
        <v>0</v>
      </c>
      <c r="CD60" s="244" t="s">
        <v>221</v>
      </c>
      <c r="CE60" s="246">
        <f t="shared" ref="CE60:CE70" si="0">SUM(C60:CD60)</f>
        <v>2060.7667573716481</v>
      </c>
    </row>
    <row r="61" spans="1:84" ht="12.6" customHeight="1" x14ac:dyDescent="0.2">
      <c r="A61" s="171" t="s">
        <v>235</v>
      </c>
      <c r="B61" s="175"/>
      <c r="C61" s="184">
        <f>IF(ISERR(VLOOKUP(VALUE(C$44),'HR DATA'!$A$4:$AA$54,21,0)="TRUE"),0,VLOOKUP(VALUE(C$44),'HR DATA'!$A$4:$AA$54,21,0))</f>
        <v>6370289.6100000003</v>
      </c>
      <c r="D61" s="184">
        <f>IF(ISERR(VLOOKUP(VALUE(D$44),'HR DATA'!$A$4:$AA$54,21,0)="TRUE"),0,VLOOKUP(VALUE(D$44),'HR DATA'!$A$4:$AA$54,21,0))</f>
        <v>0</v>
      </c>
      <c r="E61" s="184">
        <f>IF(ISERR(VLOOKUP(VALUE(E$44),'HR DATA'!$A$4:$AA$54,21,0)="TRUE"),0,VLOOKUP(VALUE(E$44),'HR DATA'!$A$4:$AA$54,21,0))</f>
        <v>37260445.050000012</v>
      </c>
      <c r="F61" s="184">
        <f>IF(ISERR(VLOOKUP(VALUE(F$44),'HR DATA'!$A$4:$AA$54,21,0)="TRUE"),0,VLOOKUP(VALUE(F$44),'HR DATA'!$A$4:$AA$54,21,0))</f>
        <v>0</v>
      </c>
      <c r="G61" s="184">
        <f>IF(ISERR(VLOOKUP(VALUE(G$44),'HR DATA'!$A$4:$AA$54,21,0)="TRUE"),0,VLOOKUP(VALUE(G$44),'HR DATA'!$A$4:$AA$54,21,0))</f>
        <v>0</v>
      </c>
      <c r="H61" s="184">
        <f>IF(ISERR(VLOOKUP(VALUE(H$44),'HR DATA'!$A$4:$AA$54,21,0)="TRUE"),0,VLOOKUP(VALUE(H$44),'HR DATA'!$A$4:$AA$54,21,0))</f>
        <v>0</v>
      </c>
      <c r="I61" s="184">
        <f>IF(ISERR(VLOOKUP(VALUE(I$44),'HR DATA'!$A$4:$AA$54,21,0)="TRUE"),0,VLOOKUP(VALUE(I$44),'HR DATA'!$A$4:$AA$54,21,0))</f>
        <v>0</v>
      </c>
      <c r="J61" s="184">
        <f>IF(ISERR(VLOOKUP(VALUE(J$44),'HR DATA'!$A$4:$AA$54,21,0)="TRUE"),0,VLOOKUP(VALUE(J$44),'HR DATA'!$A$4:$AA$54,21,0))</f>
        <v>0</v>
      </c>
      <c r="K61" s="184">
        <f>IF(ISERR(VLOOKUP(VALUE(K$44),'HR DATA'!$A$4:$AA$54,21,0)="TRUE"),0,VLOOKUP(VALUE(K$44),'HR DATA'!$A$4:$AA$54,21,0))</f>
        <v>0</v>
      </c>
      <c r="L61" s="184">
        <f>IF(ISERR(VLOOKUP(VALUE(L$44),'HR DATA'!$A$4:$AA$54,21,0)="TRUE"),0,VLOOKUP(VALUE(L$44),'HR DATA'!$A$4:$AA$54,21,0))</f>
        <v>0</v>
      </c>
      <c r="M61" s="184">
        <f>IF(ISERR(VLOOKUP(VALUE(M$44),'HR DATA'!$A$4:$AA$54,21,0)="TRUE"),0,VLOOKUP(VALUE(M$44),'HR DATA'!$A$4:$AA$54,21,0))</f>
        <v>0</v>
      </c>
      <c r="N61" s="184">
        <f>IF(ISERR(VLOOKUP(VALUE(N$44),'HR DATA'!$A$4:$AA$54,21,0)="TRUE"),0,VLOOKUP(VALUE(N$44),'HR DATA'!$A$4:$AA$54,21,0))</f>
        <v>0</v>
      </c>
      <c r="O61" s="184">
        <f>IF(ISERR(VLOOKUP(VALUE(O$44),'HR DATA'!$A$4:$AA$54,21,0)="TRUE"),0,VLOOKUP(VALUE(O$44),'HR DATA'!$A$4:$AA$54,21,0))</f>
        <v>7199109.29</v>
      </c>
      <c r="P61" s="184">
        <f>IF(ISERR(VLOOKUP(VALUE(P$44),'HR DATA'!$A$4:$AA$54,21,0)="TRUE"),0,VLOOKUP(VALUE(P$44),'HR DATA'!$A$4:$AA$54,21,0))</f>
        <v>9198352.6599999983</v>
      </c>
      <c r="Q61" s="184">
        <f>IF(ISERR(VLOOKUP(VALUE(Q$44),'HR DATA'!$A$4:$AA$54,21,0)="TRUE"),0,VLOOKUP(VALUE(Q$44),'HR DATA'!$A$4:$AA$54,21,0))</f>
        <v>4949765.4400000004</v>
      </c>
      <c r="R61" s="184">
        <f>IF(ISERR(VLOOKUP(VALUE(R$44),'HR DATA'!$A$4:$AA$54,21,0)="TRUE"),0,VLOOKUP(VALUE(R$44),'HR DATA'!$A$4:$AA$54,21,0))</f>
        <v>320500.61</v>
      </c>
      <c r="S61" s="184">
        <f>IF(ISERR(VLOOKUP(VALUE(S$44),'HR DATA'!$A$4:$AA$54,21,0)="TRUE"),0,VLOOKUP(VALUE(S$44),'HR DATA'!$A$4:$AA$54,21,0))</f>
        <v>1168197.76</v>
      </c>
      <c r="T61" s="184">
        <f>IF(ISERR(VLOOKUP(VALUE(T$44),'HR DATA'!$A$4:$AA$54,21,0)="TRUE"),0,VLOOKUP(VALUE(T$44),'HR DATA'!$A$4:$AA$54,21,0))</f>
        <v>0</v>
      </c>
      <c r="U61" s="184">
        <f>IF(ISERR(VLOOKUP(VALUE(U$44),'HR DATA'!$A$4:$AA$54,21,0)="TRUE"),0,VLOOKUP(VALUE(U$44),'HR DATA'!$A$4:$AA$54,21,0))</f>
        <v>4556409.370000001</v>
      </c>
      <c r="V61" s="184">
        <f>IF(ISERR(VLOOKUP(VALUE(V$44),'HR DATA'!$A$4:$AA$54,21,0)="TRUE"),0,VLOOKUP(VALUE(V$44),'HR DATA'!$A$4:$AA$54,21,0))</f>
        <v>447808.89</v>
      </c>
      <c r="W61" s="184">
        <f>IF(ISERR(VLOOKUP(VALUE(W$44),'HR DATA'!$A$4:$AA$54,21,0)="TRUE"),0,VLOOKUP(VALUE(W$44),'HR DATA'!$A$4:$AA$54,21,0))</f>
        <v>599331.78</v>
      </c>
      <c r="X61" s="184">
        <f>IF(ISERR(VLOOKUP(VALUE(X$44),'HR DATA'!$A$4:$AA$54,21,0)="TRUE"),0,VLOOKUP(VALUE(X$44),'HR DATA'!$A$4:$AA$54,21,0))</f>
        <v>0</v>
      </c>
      <c r="Y61" s="184">
        <f>IF(ISERR(VLOOKUP(VALUE(Y$44),'HR DATA'!$A$4:$AA$54,21,0)="TRUE"),0,VLOOKUP(VALUE(Y$44),'HR DATA'!$A$4:$AA$54,21,0))</f>
        <v>13328433.779999994</v>
      </c>
      <c r="Z61" s="184">
        <f>IF(ISERR(VLOOKUP(VALUE(Z$44),'HR DATA'!$A$4:$AA$54,21,0)="TRUE"),0,VLOOKUP(VALUE(Z$44),'HR DATA'!$A$4:$AA$54,21,0))</f>
        <v>1968095.04</v>
      </c>
      <c r="AA61" s="184">
        <f>IF(ISERR(VLOOKUP(VALUE(AA$44),'HR DATA'!$A$4:$AA$54,21,0)="TRUE"),0,VLOOKUP(VALUE(AA$44),'HR DATA'!$A$4:$AA$54,21,0))</f>
        <v>360518.72</v>
      </c>
      <c r="AB61" s="184">
        <f>IF(ISERR(VLOOKUP(VALUE(AB$44),'HR DATA'!$A$4:$AA$54,21,0)="TRUE"),0,VLOOKUP(VALUE(AB$44),'HR DATA'!$A$4:$AA$54,21,0))</f>
        <v>4968473.5</v>
      </c>
      <c r="AC61" s="184">
        <f>IF(ISERR(VLOOKUP(VALUE(AC$44),'HR DATA'!$A$4:$AA$54,21,0)="TRUE"),0,VLOOKUP(VALUE(AC$44),'HR DATA'!$A$4:$AA$54,21,0))</f>
        <v>4147694.8199999994</v>
      </c>
      <c r="AD61" s="184">
        <f>IF(ISERR(VLOOKUP(VALUE(AD$44),'HR DATA'!$A$4:$AA$54,21,0)="TRUE"),0,VLOOKUP(VALUE(AD$44),'HR DATA'!$A$4:$AA$54,21,0))</f>
        <v>0</v>
      </c>
      <c r="AE61" s="184">
        <f>IF(ISERR(VLOOKUP(VALUE(AE$44),'HR DATA'!$A$4:$AA$54,21,0)="TRUE"),0,VLOOKUP(VALUE(AE$44),'HR DATA'!$A$4:$AA$54,21,0))</f>
        <v>2247426.8800000004</v>
      </c>
      <c r="AF61" s="184">
        <f>IF(ISERR(VLOOKUP(VALUE(AF$44),'HR DATA'!$A$4:$AA$54,21,0)="TRUE"),0,VLOOKUP(VALUE(AF$44),'HR DATA'!$A$4:$AA$54,21,0))</f>
        <v>0</v>
      </c>
      <c r="AG61" s="184">
        <f>IF(ISERR(VLOOKUP(VALUE(AG$44),'HR DATA'!$A$4:$AA$54,21,0)="TRUE"),0,VLOOKUP(VALUE(AG$44),'HR DATA'!$A$4:$AA$54,21,0))</f>
        <v>10723414.469999999</v>
      </c>
      <c r="AH61" s="184">
        <f>IF(ISERR(VLOOKUP(VALUE(AH$44),'HR DATA'!$A$4:$AA$54,21,0)="TRUE"),0,VLOOKUP(VALUE(AH$44),'HR DATA'!$A$4:$AA$54,21,0))</f>
        <v>0</v>
      </c>
      <c r="AI61" s="184">
        <f>IF(ISERR(VLOOKUP(VALUE(AI$44),'HR DATA'!$A$4:$AA$54,21,0)="TRUE"),0,VLOOKUP(VALUE(AI$44),'HR DATA'!$A$4:$AA$54,21,0))</f>
        <v>0</v>
      </c>
      <c r="AJ61" s="184">
        <f>IF(ISERR(VLOOKUP(VALUE(AJ$44),'HR DATA'!$A$4:$AA$54,21,0)="TRUE"),0,VLOOKUP(VALUE(AJ$44),'HR DATA'!$A$4:$AA$54,21,0))</f>
        <v>63562727.18</v>
      </c>
      <c r="AK61" s="184">
        <f>IF(ISERR(VLOOKUP(VALUE(AK$44),'HR DATA'!$A$4:$AA$54,21,0)="TRUE"),0,VLOOKUP(VALUE(AK$44),'HR DATA'!$A$4:$AA$54,21,0))</f>
        <v>902692.48</v>
      </c>
      <c r="AL61" s="184">
        <f>IF(ISERR(VLOOKUP(VALUE(AL$44),'HR DATA'!$A$4:$AA$54,21,0)="TRUE"),0,VLOOKUP(VALUE(AL$44),'HR DATA'!$A$4:$AA$54,21,0))</f>
        <v>435574.75</v>
      </c>
      <c r="AM61" s="184">
        <f>IF(ISERR(VLOOKUP(VALUE(AM$44),'HR DATA'!$A$4:$AA$54,21,0)="TRUE"),0,VLOOKUP(VALUE(AM$44),'HR DATA'!$A$4:$AA$54,21,0))</f>
        <v>0</v>
      </c>
      <c r="AN61" s="184">
        <f>IF(ISERR(VLOOKUP(VALUE(AN$44),'HR DATA'!$A$4:$AA$54,21,0)="TRUE"),0,VLOOKUP(VALUE(AN$44),'HR DATA'!$A$4:$AA$54,21,0))</f>
        <v>0</v>
      </c>
      <c r="AO61" s="184">
        <f>IF(ISERR(VLOOKUP(VALUE(AO$44),'HR DATA'!$A$4:$AA$54,21,0)="TRUE"),0,VLOOKUP(VALUE(AO$44),'HR DATA'!$A$4:$AA$54,21,0))</f>
        <v>0</v>
      </c>
      <c r="AP61" s="184">
        <f>IF(ISERR(VLOOKUP(VALUE(AP$44),'HR DATA'!$A$4:$AA$54,21,0)="TRUE"),0,VLOOKUP(VALUE(AP$44),'HR DATA'!$A$4:$AA$54,21,0))</f>
        <v>6717993.4999999981</v>
      </c>
      <c r="AQ61" s="184">
        <f>IF(ISERR(VLOOKUP(VALUE(AQ$44),'HR DATA'!$A$4:$AA$54,21,0)="TRUE"),0,VLOOKUP(VALUE(AQ$44),'HR DATA'!$A$4:$AA$54,21,0))</f>
        <v>0</v>
      </c>
      <c r="AR61" s="184">
        <f>IF(ISERR(VLOOKUP(VALUE(AR$44),'HR DATA'!$A$4:$AA$54,21,0)="TRUE"),0,VLOOKUP(VALUE(AR$44),'HR DATA'!$A$4:$AA$54,21,0))</f>
        <v>0</v>
      </c>
      <c r="AS61" s="184">
        <f>IF(ISERR(VLOOKUP(VALUE(AS$44),'HR DATA'!$A$4:$AA$54,21,0)="TRUE"),0,VLOOKUP(VALUE(AS$44),'HR DATA'!$A$4:$AA$54,21,0))</f>
        <v>0</v>
      </c>
      <c r="AT61" s="184">
        <f>IF(ISERR(VLOOKUP(VALUE(AT$44),'HR DATA'!$A$4:$AA$54,21,0)="TRUE"),0,VLOOKUP(VALUE(AT$44),'HR DATA'!$A$4:$AA$54,21,0))</f>
        <v>0</v>
      </c>
      <c r="AU61" s="184">
        <f>IF(ISERR(VLOOKUP(VALUE(AU$44),'HR DATA'!$A$4:$AA$54,21,0)="TRUE"),0,VLOOKUP(VALUE(AU$44),'HR DATA'!$A$4:$AA$54,21,0))</f>
        <v>0</v>
      </c>
      <c r="AV61" s="184">
        <f>IF(ISERR(VLOOKUP(VALUE(AV$44),'HR DATA'!$A$4:$AA$54,21,0)="TRUE"),0,VLOOKUP(VALUE(AV$44),'HR DATA'!$A$4:$AA$54,21,0))</f>
        <v>2128561.35</v>
      </c>
      <c r="AW61" s="184">
        <f>IF(ISERR(VLOOKUP(VALUE(AW$44),'HR DATA'!$A$4:$AA$54,21,0)="TRUE"),0,VLOOKUP(VALUE(AW$44),'HR DATA'!$A$4:$AA$54,21,0))</f>
        <v>0</v>
      </c>
      <c r="AX61" s="184">
        <f>IF(ISERR(VLOOKUP(VALUE(AX$44),'HR DATA'!$A$4:$AA$54,21,0)="TRUE"),0,VLOOKUP(VALUE(AX$44),'HR DATA'!$A$4:$AA$54,21,0))</f>
        <v>0</v>
      </c>
      <c r="AY61" s="184">
        <f>IF(ISERR(VLOOKUP(VALUE(AY$44),'HR DATA'!$A$4:$AA$54,21,0)="TRUE"),0,VLOOKUP(VALUE(AY$44),'HR DATA'!$A$4:$AA$54,21,0))</f>
        <v>3209052.42</v>
      </c>
      <c r="AZ61" s="184">
        <f>IF(ISERR(VLOOKUP(VALUE(AZ$44),'HR DATA'!$A$4:$AA$54,21,0)="TRUE"),0,VLOOKUP(VALUE(AZ$44),'HR DATA'!$A$4:$AA$54,21,0))</f>
        <v>0</v>
      </c>
      <c r="BA61" s="184">
        <f>IF(ISERR(VLOOKUP(VALUE(BA$44),'HR DATA'!$A$4:$AA$54,21,0)="TRUE"),0,VLOOKUP(VALUE(BA$44),'HR DATA'!$A$4:$AA$54,21,0))</f>
        <v>104846.75999999998</v>
      </c>
      <c r="BB61" s="184">
        <f>IF(ISERR(VLOOKUP(VALUE(BB$44),'HR DATA'!$A$4:$AA$54,21,0)="TRUE"),0,VLOOKUP(VALUE(BB$44),'HR DATA'!$A$4:$AA$54,21,0))</f>
        <v>0</v>
      </c>
      <c r="BC61" s="184">
        <f>IF(ISERR(VLOOKUP(VALUE(BC$44),'HR DATA'!$A$4:$AA$54,21,0)="TRUE"),0,VLOOKUP(VALUE(BC$44),'HR DATA'!$A$4:$AA$54,21,0))</f>
        <v>651215.46</v>
      </c>
      <c r="BD61" s="184">
        <f>IF(ISERR(VLOOKUP(VALUE(BD$44),'HR DATA'!$A$4:$AA$54,21,0)="TRUE"),0,VLOOKUP(VALUE(BD$44),'HR DATA'!$A$4:$AA$54,21,0))</f>
        <v>0</v>
      </c>
      <c r="BE61" s="184">
        <f>IF(ISERR(VLOOKUP(VALUE(BE$44),'HR DATA'!$A$4:$AA$54,21,0)="TRUE"),0,VLOOKUP(VALUE(BE$44),'HR DATA'!$A$4:$AA$54,21,0))</f>
        <v>1270097.5399999998</v>
      </c>
      <c r="BF61" s="184">
        <f>IF(ISERR(VLOOKUP(VALUE(BF$44),'HR DATA'!$A$4:$AA$54,21,0)="TRUE"),0,VLOOKUP(VALUE(BF$44),'HR DATA'!$A$4:$AA$54,21,0))</f>
        <v>3053297.84</v>
      </c>
      <c r="BG61" s="184">
        <f>IF(ISERR(VLOOKUP(VALUE(BG$44),'HR DATA'!$A$4:$AA$54,21,0)="TRUE"),0,VLOOKUP(VALUE(BG$44),'HR DATA'!$A$4:$AA$54,21,0))</f>
        <v>0</v>
      </c>
      <c r="BH61" s="184">
        <f>IF(ISERR(VLOOKUP(VALUE(BH$44),'HR DATA'!$A$4:$AA$54,21,0)="TRUE"),0,VLOOKUP(VALUE(BH$44),'HR DATA'!$A$4:$AA$54,21,0))</f>
        <v>0</v>
      </c>
      <c r="BI61" s="184">
        <f>IF(ISERR(VLOOKUP(VALUE(BI$44),'HR DATA'!$A$4:$AA$54,21,0)="TRUE"),0,VLOOKUP(VALUE(BI$44),'HR DATA'!$A$4:$AA$54,21,0))</f>
        <v>0</v>
      </c>
      <c r="BJ61" s="184">
        <f>IF(ISERR(VLOOKUP(VALUE(BJ$44),'HR DATA'!$A$4:$AA$54,21,0)="TRUE"),0,VLOOKUP(VALUE(BJ$44),'HR DATA'!$A$4:$AA$54,21,0))</f>
        <v>0</v>
      </c>
      <c r="BK61" s="184">
        <f>IF(ISERR(VLOOKUP(VALUE(BK$44),'HR DATA'!$A$4:$AA$54,21,0)="TRUE"),0,VLOOKUP(VALUE(BK$44),'HR DATA'!$A$4:$AA$54,21,0))</f>
        <v>0</v>
      </c>
      <c r="BL61" s="184">
        <f>IF(ISERR(VLOOKUP(VALUE(BL$44),'HR DATA'!$A$4:$AA$54,21,0)="TRUE"),0,VLOOKUP(VALUE(BL$44),'HR DATA'!$A$4:$AA$54,21,0))</f>
        <v>0</v>
      </c>
      <c r="BM61" s="184">
        <f>IF(ISERR(VLOOKUP(VALUE(BM$44),'HR DATA'!$A$4:$AA$54,21,0)="TRUE"),0,VLOOKUP(VALUE(BM$44),'HR DATA'!$A$4:$AA$54,21,0))</f>
        <v>0</v>
      </c>
      <c r="BN61" s="184">
        <f>IF(ISERR(VLOOKUP(VALUE(BN$44),'HR DATA'!$A$4:$AA$54,21,0)="TRUE"),0,VLOOKUP(VALUE(BN$44),'HR DATA'!$A$4:$AA$54,21,0))</f>
        <v>6781152.4900000002</v>
      </c>
      <c r="BO61" s="184">
        <f>IF(ISERR(VLOOKUP(VALUE(BO$44),'HR DATA'!$A$4:$AA$54,21,0)="TRUE"),0,VLOOKUP(VALUE(BO$44),'HR DATA'!$A$4:$AA$54,21,0))</f>
        <v>0</v>
      </c>
      <c r="BP61" s="184">
        <f>IF(ISERR(VLOOKUP(VALUE(BP$44),'HR DATA'!$A$4:$AA$54,21,0)="TRUE"),0,VLOOKUP(VALUE(BP$44),'HR DATA'!$A$4:$AA$54,21,0))</f>
        <v>0</v>
      </c>
      <c r="BQ61" s="184">
        <f>IF(ISERR(VLOOKUP(VALUE(BQ$44),'HR DATA'!$A$4:$AA$54,21,0)="TRUE"),0,VLOOKUP(VALUE(BQ$44),'HR DATA'!$A$4:$AA$54,21,0))</f>
        <v>0</v>
      </c>
      <c r="BR61" s="184">
        <f>IF(ISERR(VLOOKUP(VALUE(BR$44),'HR DATA'!$A$4:$AA$54,21,0)="TRUE"),0,VLOOKUP(VALUE(BR$44),'HR DATA'!$A$4:$AA$54,21,0))</f>
        <v>9.35</v>
      </c>
      <c r="BS61" s="184">
        <f>IF(ISERR(VLOOKUP(VALUE(BS$44),'HR DATA'!$A$4:$AA$54,21,0)="TRUE"),0,VLOOKUP(VALUE(BS$44),'HR DATA'!$A$4:$AA$54,21,0))</f>
        <v>0</v>
      </c>
      <c r="BT61" s="184">
        <f>IF(ISERR(VLOOKUP(VALUE(BT$44),'HR DATA'!$A$4:$AA$54,21,0)="TRUE"),0,VLOOKUP(VALUE(BT$44),'HR DATA'!$A$4:$AA$54,21,0))</f>
        <v>0</v>
      </c>
      <c r="BU61" s="184">
        <f>IF(ISERR(VLOOKUP(VALUE(BU$44),'HR DATA'!$A$4:$AA$54,21,0)="TRUE"),0,VLOOKUP(VALUE(BU$44),'HR DATA'!$A$4:$AA$54,21,0))</f>
        <v>0</v>
      </c>
      <c r="BV61" s="184">
        <f>IF(ISERR(VLOOKUP(VALUE(BV$44),'HR DATA'!$A$4:$AA$54,21,0)="TRUE"),0,VLOOKUP(VALUE(BV$44),'HR DATA'!$A$4:$AA$54,21,0))</f>
        <v>0</v>
      </c>
      <c r="BW61" s="184">
        <f>IF(ISERR(VLOOKUP(VALUE(BW$44),'HR DATA'!$A$4:$AA$54,21,0)="TRUE"),0,VLOOKUP(VALUE(BW$44),'HR DATA'!$A$4:$AA$54,21,0))</f>
        <v>0</v>
      </c>
      <c r="BX61" s="184">
        <f>IF(ISERR(VLOOKUP(VALUE(BX$44),'HR DATA'!$A$4:$AA$54,21,0)="TRUE"),0,VLOOKUP(VALUE(BX$44),'HR DATA'!$A$4:$AA$54,21,0))</f>
        <v>0</v>
      </c>
      <c r="BY61" s="184">
        <f>IF(ISERR(VLOOKUP(VALUE(BY$44),'HR DATA'!$A$4:$AA$54,21,0)="TRUE"),0,VLOOKUP(VALUE(BY$44),'HR DATA'!$A$4:$AA$54,21,0))</f>
        <v>3788900.25</v>
      </c>
      <c r="BZ61" s="184">
        <f>IF(ISERR(VLOOKUP(VALUE(BZ$44),'HR DATA'!$A$4:$AA$54,21,0)="TRUE"),0,VLOOKUP(VALUE(BZ$44),'HR DATA'!$A$4:$AA$54,21,0))</f>
        <v>2258056.37</v>
      </c>
      <c r="CA61" s="184">
        <f>IF(ISERR(VLOOKUP(VALUE(CA$44),'HR DATA'!$A$4:$AA$54,21,0)="TRUE"),0,VLOOKUP(VALUE(CA$44),'HR DATA'!$A$4:$AA$54,21,0))</f>
        <v>1030414.31</v>
      </c>
      <c r="CB61" s="184">
        <f>IF(ISERR(VLOOKUP(VALUE(CB$44),'HR DATA'!$A$4:$AA$54,21,0)="TRUE"),0,VLOOKUP(VALUE(CB$44),'HR DATA'!$A$4:$AA$54,21,0))</f>
        <v>0</v>
      </c>
      <c r="CC61" s="184">
        <f>IF(ISERR(VLOOKUP(VALUE(CC$44),'HR DATA'!$A$4:$AA$54,21,0)="TRUE"),0,VLOOKUP(VALUE(CC$44),'HR DATA'!$A$4:$AA$54,21,0))+2476682</f>
        <v>2476682</v>
      </c>
      <c r="CD61" s="244" t="s">
        <v>221</v>
      </c>
      <c r="CE61" s="193">
        <f t="shared" si="0"/>
        <v>208185541.71999997</v>
      </c>
      <c r="CF61" s="247"/>
    </row>
    <row r="62" spans="1:84" ht="12.6" customHeight="1" x14ac:dyDescent="0.2">
      <c r="A62" s="171" t="s">
        <v>3</v>
      </c>
      <c r="B62" s="175"/>
      <c r="C62" s="193">
        <f t="shared" ref="C62:BN62" si="1">ROUND(C47+C48,0)</f>
        <v>1357591</v>
      </c>
      <c r="D62" s="193">
        <f t="shared" si="1"/>
        <v>0</v>
      </c>
      <c r="E62" s="193">
        <f t="shared" si="1"/>
        <v>9064291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0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1735073</v>
      </c>
      <c r="P62" s="193">
        <f t="shared" si="1"/>
        <v>1935985</v>
      </c>
      <c r="Q62" s="193">
        <f t="shared" si="1"/>
        <v>1166101</v>
      </c>
      <c r="R62" s="193">
        <f t="shared" si="1"/>
        <v>71175</v>
      </c>
      <c r="S62" s="193">
        <f t="shared" si="1"/>
        <v>451179</v>
      </c>
      <c r="T62" s="193">
        <f t="shared" si="1"/>
        <v>0</v>
      </c>
      <c r="U62" s="193">
        <f t="shared" si="1"/>
        <v>1254350</v>
      </c>
      <c r="V62" s="193">
        <f t="shared" si="1"/>
        <v>111002</v>
      </c>
      <c r="W62" s="193">
        <f t="shared" si="1"/>
        <v>92172</v>
      </c>
      <c r="X62" s="193">
        <f t="shared" si="1"/>
        <v>0</v>
      </c>
      <c r="Y62" s="193">
        <f t="shared" si="1"/>
        <v>3420904</v>
      </c>
      <c r="Z62" s="193">
        <f t="shared" si="1"/>
        <v>508298</v>
      </c>
      <c r="AA62" s="193">
        <f t="shared" si="1"/>
        <v>86748</v>
      </c>
      <c r="AB62" s="193">
        <f t="shared" si="1"/>
        <v>1191534</v>
      </c>
      <c r="AC62" s="193">
        <f t="shared" si="1"/>
        <v>1148778</v>
      </c>
      <c r="AD62" s="193">
        <f t="shared" si="1"/>
        <v>0</v>
      </c>
      <c r="AE62" s="193">
        <f t="shared" si="1"/>
        <v>615076</v>
      </c>
      <c r="AF62" s="193">
        <f t="shared" si="1"/>
        <v>0</v>
      </c>
      <c r="AG62" s="193">
        <f t="shared" si="1"/>
        <v>2212636</v>
      </c>
      <c r="AH62" s="193">
        <f t="shared" si="1"/>
        <v>0</v>
      </c>
      <c r="AI62" s="193">
        <f t="shared" si="1"/>
        <v>0</v>
      </c>
      <c r="AJ62" s="193">
        <f t="shared" si="1"/>
        <v>11481773</v>
      </c>
      <c r="AK62" s="193">
        <f t="shared" si="1"/>
        <v>226008</v>
      </c>
      <c r="AL62" s="193">
        <f t="shared" si="1"/>
        <v>111204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2007858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560379</v>
      </c>
      <c r="AW62" s="193">
        <f t="shared" si="1"/>
        <v>0</v>
      </c>
      <c r="AX62" s="193">
        <f t="shared" si="1"/>
        <v>0</v>
      </c>
      <c r="AY62" s="193">
        <f>ROUND(AY47+AY48,0)</f>
        <v>1322351</v>
      </c>
      <c r="AZ62" s="193">
        <f>ROUND(AZ47+AZ48,0)</f>
        <v>0</v>
      </c>
      <c r="BA62" s="193">
        <f>ROUND(BA47+BA48,0)</f>
        <v>47030</v>
      </c>
      <c r="BB62" s="193">
        <f t="shared" si="1"/>
        <v>0</v>
      </c>
      <c r="BC62" s="193">
        <f t="shared" si="1"/>
        <v>291712</v>
      </c>
      <c r="BD62" s="193">
        <f t="shared" si="1"/>
        <v>0</v>
      </c>
      <c r="BE62" s="193">
        <f t="shared" si="1"/>
        <v>384048</v>
      </c>
      <c r="BF62" s="193">
        <f t="shared" si="1"/>
        <v>1311123</v>
      </c>
      <c r="BG62" s="193">
        <f t="shared" si="1"/>
        <v>0</v>
      </c>
      <c r="BH62" s="193">
        <f t="shared" si="1"/>
        <v>0</v>
      </c>
      <c r="BI62" s="193">
        <f t="shared" si="1"/>
        <v>50</v>
      </c>
      <c r="BJ62" s="193">
        <f t="shared" si="1"/>
        <v>0</v>
      </c>
      <c r="BK62" s="193">
        <f t="shared" si="1"/>
        <v>0</v>
      </c>
      <c r="BL62" s="193">
        <f t="shared" si="1"/>
        <v>0</v>
      </c>
      <c r="BM62" s="193">
        <f t="shared" si="1"/>
        <v>0</v>
      </c>
      <c r="BN62" s="193">
        <f t="shared" si="1"/>
        <v>1635441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1670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214</v>
      </c>
      <c r="BX62" s="193">
        <f t="shared" si="2"/>
        <v>0</v>
      </c>
      <c r="BY62" s="193">
        <f t="shared" si="2"/>
        <v>983396</v>
      </c>
      <c r="BZ62" s="193">
        <f t="shared" si="2"/>
        <v>639648</v>
      </c>
      <c r="CA62" s="193">
        <f t="shared" si="2"/>
        <v>267473</v>
      </c>
      <c r="CB62" s="193">
        <f t="shared" si="2"/>
        <v>0</v>
      </c>
      <c r="CC62" s="193">
        <f t="shared" si="2"/>
        <v>0</v>
      </c>
      <c r="CD62" s="244" t="s">
        <v>221</v>
      </c>
      <c r="CE62" s="193">
        <f t="shared" si="0"/>
        <v>47694271</v>
      </c>
      <c r="CF62" s="247"/>
    </row>
    <row r="63" spans="1:84" ht="12.6" customHeight="1" x14ac:dyDescent="0.2">
      <c r="A63" s="171" t="s">
        <v>236</v>
      </c>
      <c r="B63" s="175"/>
      <c r="C63" s="184">
        <f>IF(ISERR(VLOOKUP(VALUE(C$44),'HR DATA'!$A$4:$AA$54,10,0)="TRUE"),0,VLOOKUP(VALUE(C$44),'HR DATA'!$A$4:$AA$54,10,0))</f>
        <v>1481688.5</v>
      </c>
      <c r="D63" s="184">
        <f>IF(ISERR(VLOOKUP(VALUE(D$44),'HR DATA'!$A$4:$AA$54,10,0)="TRUE"),0,VLOOKUP(VALUE(D$44),'HR DATA'!$A$4:$AA$54,10,0))</f>
        <v>0</v>
      </c>
      <c r="E63" s="184">
        <f>IF(ISERR(VLOOKUP(VALUE(E$44),'HR DATA'!$A$4:$AA$54,10,0)="TRUE"),0,VLOOKUP(VALUE(E$44),'HR DATA'!$A$4:$AA$54,10,0))</f>
        <v>5322231.3499999996</v>
      </c>
      <c r="F63" s="184">
        <f>IF(ISERR(VLOOKUP(VALUE(F$44),'HR DATA'!$A$4:$AA$54,10,0)="TRUE"),0,VLOOKUP(VALUE(F$44),'HR DATA'!$A$4:$AA$54,10,0))</f>
        <v>0</v>
      </c>
      <c r="G63" s="184">
        <f>IF(ISERR(VLOOKUP(VALUE(G$44),'HR DATA'!$A$4:$AA$54,10,0)="TRUE"),0,VLOOKUP(VALUE(G$44),'HR DATA'!$A$4:$AA$54,10,0))</f>
        <v>0</v>
      </c>
      <c r="H63" s="184">
        <f>IF(ISERR(VLOOKUP(VALUE(H$44),'HR DATA'!$A$4:$AA$54,10,0)="TRUE"),0,VLOOKUP(VALUE(H$44),'HR DATA'!$A$4:$AA$54,10,0))</f>
        <v>0</v>
      </c>
      <c r="I63" s="184">
        <f>IF(ISERR(VLOOKUP(VALUE(I$44),'HR DATA'!$A$4:$AA$54,10,0)="TRUE"),0,VLOOKUP(VALUE(I$44),'HR DATA'!$A$4:$AA$54,10,0))</f>
        <v>0</v>
      </c>
      <c r="J63" s="184">
        <f>IF(ISERR(VLOOKUP(VALUE(J$44),'HR DATA'!$A$4:$AA$54,10,0)="TRUE"),0,VLOOKUP(VALUE(J$44),'HR DATA'!$A$4:$AA$54,10,0))</f>
        <v>0</v>
      </c>
      <c r="K63" s="184">
        <f>IF(ISERR(VLOOKUP(VALUE(K$44),'HR DATA'!$A$4:$AA$54,10,0)="TRUE"),0,VLOOKUP(VALUE(K$44),'HR DATA'!$A$4:$AA$54,10,0))</f>
        <v>0</v>
      </c>
      <c r="L63" s="184">
        <f>IF(ISERR(VLOOKUP(VALUE(L$44),'HR DATA'!$A$4:$AA$54,10,0)="TRUE"),0,VLOOKUP(VALUE(L$44),'HR DATA'!$A$4:$AA$54,10,0))</f>
        <v>0</v>
      </c>
      <c r="M63" s="184">
        <f>IF(ISERR(VLOOKUP(VALUE(M$44),'HR DATA'!$A$4:$AA$54,10,0)="TRUE"),0,VLOOKUP(VALUE(M$44),'HR DATA'!$A$4:$AA$54,10,0))</f>
        <v>0</v>
      </c>
      <c r="N63" s="184">
        <f>IF(ISERR(VLOOKUP(VALUE(N$44),'HR DATA'!$A$4:$AA$54,10,0)="TRUE"),0,VLOOKUP(VALUE(N$44),'HR DATA'!$A$4:$AA$54,10,0))</f>
        <v>0</v>
      </c>
      <c r="O63" s="184">
        <f>IF(ISERR(VLOOKUP(VALUE(O$44),'HR DATA'!$A$4:$AA$54,10,0)="TRUE"),0,VLOOKUP(VALUE(O$44),'HR DATA'!$A$4:$AA$54,10,0))</f>
        <v>1602459.6700000002</v>
      </c>
      <c r="P63" s="184">
        <f>IF(ISERR(VLOOKUP(VALUE(P$44),'HR DATA'!$A$4:$AA$54,10,0)="TRUE"),0,VLOOKUP(VALUE(P$44),'HR DATA'!$A$4:$AA$54,10,0))</f>
        <v>3286425.86</v>
      </c>
      <c r="Q63" s="184">
        <f>IF(ISERR(VLOOKUP(VALUE(Q$44),'HR DATA'!$A$4:$AA$54,10,0)="TRUE"),0,VLOOKUP(VALUE(Q$44),'HR DATA'!$A$4:$AA$54,10,0))</f>
        <v>0</v>
      </c>
      <c r="R63" s="184">
        <f>IF(ISERR(VLOOKUP(VALUE(R$44),'HR DATA'!$A$4:$AA$54,10,0)="TRUE"),0,VLOOKUP(VALUE(R$44),'HR DATA'!$A$4:$AA$54,10,0))</f>
        <v>376619.52000000002</v>
      </c>
      <c r="S63" s="184">
        <f>IF(ISERR(VLOOKUP(VALUE(S$44),'HR DATA'!$A$4:$AA$54,10,0)="TRUE"),0,VLOOKUP(VALUE(S$44),'HR DATA'!$A$4:$AA$54,10,0))</f>
        <v>0</v>
      </c>
      <c r="T63" s="184">
        <f>IF(ISERR(VLOOKUP(VALUE(T$44),'HR DATA'!$A$4:$AA$54,10,0)="TRUE"),0,VLOOKUP(VALUE(T$44),'HR DATA'!$A$4:$AA$54,10,0))</f>
        <v>0</v>
      </c>
      <c r="U63" s="184">
        <f>IF(ISERR(VLOOKUP(VALUE(U$44),'HR DATA'!$A$4:$AA$54,10,0)="TRUE"),0,VLOOKUP(VALUE(U$44),'HR DATA'!$A$4:$AA$54,10,0))</f>
        <v>56853.950000000004</v>
      </c>
      <c r="V63" s="184">
        <f>IF(ISERR(VLOOKUP(VALUE(V$44),'HR DATA'!$A$4:$AA$54,10,0)="TRUE"),0,VLOOKUP(VALUE(V$44),'HR DATA'!$A$4:$AA$54,10,0))</f>
        <v>62884.19999999999</v>
      </c>
      <c r="W63" s="184">
        <f>IF(ISERR(VLOOKUP(VALUE(W$44),'HR DATA'!$A$4:$AA$54,10,0)="TRUE"),0,VLOOKUP(VALUE(W$44),'HR DATA'!$A$4:$AA$54,10,0))</f>
        <v>0</v>
      </c>
      <c r="X63" s="184">
        <f>IF(ISERR(VLOOKUP(VALUE(X$44),'HR DATA'!$A$4:$AA$54,10,0)="TRUE"),0,VLOOKUP(VALUE(X$44),'HR DATA'!$A$4:$AA$54,10,0))</f>
        <v>0</v>
      </c>
      <c r="Y63" s="184">
        <f>IF(ISERR(VLOOKUP(VALUE(Y$44),'HR DATA'!$A$4:$AA$54,10,0)="TRUE"),0,VLOOKUP(VALUE(Y$44),'HR DATA'!$A$4:$AA$54,10,0))</f>
        <v>1241882.98</v>
      </c>
      <c r="Z63" s="184">
        <f>IF(ISERR(VLOOKUP(VALUE(Z$44),'HR DATA'!$A$4:$AA$54,10,0)="TRUE"),0,VLOOKUP(VALUE(Z$44),'HR DATA'!$A$4:$AA$54,10,0))</f>
        <v>146013.26</v>
      </c>
      <c r="AA63" s="184">
        <f>IF(ISERR(VLOOKUP(VALUE(AA$44),'HR DATA'!$A$4:$AA$54,10,0)="TRUE"),0,VLOOKUP(VALUE(AA$44),'HR DATA'!$A$4:$AA$54,10,0))</f>
        <v>0</v>
      </c>
      <c r="AB63" s="184">
        <f>IF(ISERR(VLOOKUP(VALUE(AB$44),'HR DATA'!$A$4:$AA$54,10,0)="TRUE"),0,VLOOKUP(VALUE(AB$44),'HR DATA'!$A$4:$AA$54,10,0))</f>
        <v>0</v>
      </c>
      <c r="AC63" s="184">
        <f>IF(ISERR(VLOOKUP(VALUE(AC$44),'HR DATA'!$A$4:$AA$54,10,0)="TRUE"),0,VLOOKUP(VALUE(AC$44),'HR DATA'!$A$4:$AA$54,10,0))</f>
        <v>39487.5</v>
      </c>
      <c r="AD63" s="184">
        <f>IF(ISERR(VLOOKUP(VALUE(AD$44),'HR DATA'!$A$4:$AA$54,10,0)="TRUE"),0,VLOOKUP(VALUE(AD$44),'HR DATA'!$A$4:$AA$54,10,0))</f>
        <v>0</v>
      </c>
      <c r="AE63" s="184">
        <f>IF(ISERR(VLOOKUP(VALUE(AE$44),'HR DATA'!$A$4:$AA$54,10,0)="TRUE"),0,VLOOKUP(VALUE(AE$44),'HR DATA'!$A$4:$AA$54,10,0))</f>
        <v>0</v>
      </c>
      <c r="AF63" s="184">
        <f>IF(ISERR(VLOOKUP(VALUE(AF$44),'HR DATA'!$A$4:$AA$54,10,0)="TRUE"),0,VLOOKUP(VALUE(AF$44),'HR DATA'!$A$4:$AA$54,10,0))</f>
        <v>0</v>
      </c>
      <c r="AG63" s="184">
        <f>IF(ISERR(VLOOKUP(VALUE(AG$44),'HR DATA'!$A$4:$AA$54,10,0)="TRUE"),0,VLOOKUP(VALUE(AG$44),'HR DATA'!$A$4:$AA$54,10,0))</f>
        <v>5638321</v>
      </c>
      <c r="AH63" s="184">
        <f>IF(ISERR(VLOOKUP(VALUE(AH$44),'HR DATA'!$A$4:$AA$54,10,0)="TRUE"),0,VLOOKUP(VALUE(AH$44),'HR DATA'!$A$4:$AA$54,10,0))</f>
        <v>0</v>
      </c>
      <c r="AI63" s="184">
        <f>IF(ISERR(VLOOKUP(VALUE(AI$44),'HR DATA'!$A$4:$AA$54,10,0)="TRUE"),0,VLOOKUP(VALUE(AI$44),'HR DATA'!$A$4:$AA$54,10,0))</f>
        <v>0</v>
      </c>
      <c r="AJ63" s="184">
        <f>IF(ISERR(VLOOKUP(VALUE(AJ$44),'HR DATA'!$A$4:$AA$54,10,0)="TRUE"),0,VLOOKUP(VALUE(AJ$44),'HR DATA'!$A$4:$AA$54,10,0))</f>
        <v>25773185.43</v>
      </c>
      <c r="AK63" s="184">
        <f>IF(ISERR(VLOOKUP(VALUE(AK$44),'HR DATA'!$A$4:$AA$54,10,0)="TRUE"),0,VLOOKUP(VALUE(AK$44),'HR DATA'!$A$4:$AA$54,10,0))</f>
        <v>0</v>
      </c>
      <c r="AL63" s="184">
        <f>IF(ISERR(VLOOKUP(VALUE(AL$44),'HR DATA'!$A$4:$AA$54,10,0)="TRUE"),0,VLOOKUP(VALUE(AL$44),'HR DATA'!$A$4:$AA$54,10,0))</f>
        <v>0</v>
      </c>
      <c r="AM63" s="184">
        <f>IF(ISERR(VLOOKUP(VALUE(AM$44),'HR DATA'!$A$4:$AA$54,10,0)="TRUE"),0,VLOOKUP(VALUE(AM$44),'HR DATA'!$A$4:$AA$54,10,0))</f>
        <v>0</v>
      </c>
      <c r="AN63" s="184">
        <f>IF(ISERR(VLOOKUP(VALUE(AN$44),'HR DATA'!$A$4:$AA$54,10,0)="TRUE"),0,VLOOKUP(VALUE(AN$44),'HR DATA'!$A$4:$AA$54,10,0))</f>
        <v>0</v>
      </c>
      <c r="AO63" s="184">
        <f>IF(ISERR(VLOOKUP(VALUE(AO$44),'HR DATA'!$A$4:$AA$54,10,0)="TRUE"),0,VLOOKUP(VALUE(AO$44),'HR DATA'!$A$4:$AA$54,10,0))</f>
        <v>0</v>
      </c>
      <c r="AP63" s="184">
        <f>IF(ISERR(VLOOKUP(VALUE(AP$44),'HR DATA'!$A$4:$AA$54,10,0)="TRUE"),0,VLOOKUP(VALUE(AP$44),'HR DATA'!$A$4:$AA$54,10,0))</f>
        <v>21375</v>
      </c>
      <c r="AQ63" s="184">
        <f>IF(ISERR(VLOOKUP(VALUE(AQ$44),'HR DATA'!$A$4:$AA$54,10,0)="TRUE"),0,VLOOKUP(VALUE(AQ$44),'HR DATA'!$A$4:$AA$54,10,0))</f>
        <v>0</v>
      </c>
      <c r="AR63" s="184">
        <f>IF(ISERR(VLOOKUP(VALUE(AR$44),'HR DATA'!$A$4:$AA$54,10,0)="TRUE"),0,VLOOKUP(VALUE(AR$44),'HR DATA'!$A$4:$AA$54,10,0))</f>
        <v>0</v>
      </c>
      <c r="AS63" s="184">
        <f>IF(ISERR(VLOOKUP(VALUE(AS$44),'HR DATA'!$A$4:$AA$54,10,0)="TRUE"),0,VLOOKUP(VALUE(AS$44),'HR DATA'!$A$4:$AA$54,10,0))</f>
        <v>0</v>
      </c>
      <c r="AT63" s="184">
        <f>IF(ISERR(VLOOKUP(VALUE(AT$44),'HR DATA'!$A$4:$AA$54,10,0)="TRUE"),0,VLOOKUP(VALUE(AT$44),'HR DATA'!$A$4:$AA$54,10,0))</f>
        <v>0</v>
      </c>
      <c r="AU63" s="184">
        <f>IF(ISERR(VLOOKUP(VALUE(AU$44),'HR DATA'!$A$4:$AA$54,10,0)="TRUE"),0,VLOOKUP(VALUE(AU$44),'HR DATA'!$A$4:$AA$54,10,0))</f>
        <v>0</v>
      </c>
      <c r="AV63" s="184">
        <f>IF(ISERR(VLOOKUP(VALUE(AV$44),'HR DATA'!$A$4:$AA$54,10,0)="TRUE"),0,VLOOKUP(VALUE(AV$44),'HR DATA'!$A$4:$AA$54,10,0))+1376877.78</f>
        <v>1335726.26</v>
      </c>
      <c r="AW63" s="184">
        <f>IF(ISERR(VLOOKUP(VALUE(AW$44),'HR DATA'!$A$4:$AA$54,10,0)="TRUE"),0,VLOOKUP(VALUE(AW$44),'HR DATA'!$A$4:$AA$54,10,0))</f>
        <v>0</v>
      </c>
      <c r="AX63" s="184">
        <f>IF(ISERR(VLOOKUP(VALUE(AX$44),'HR DATA'!$A$4:$AA$54,10,0)="TRUE"),0,VLOOKUP(VALUE(AX$44),'HR DATA'!$A$4:$AA$54,10,0))</f>
        <v>0</v>
      </c>
      <c r="AY63" s="184">
        <f>IF(ISERR(VLOOKUP(VALUE(AY$44),'HR DATA'!$A$4:$AA$54,10,0)="TRUE"),0,VLOOKUP(VALUE(AY$44),'HR DATA'!$A$4:$AA$54,10,0))</f>
        <v>0</v>
      </c>
      <c r="AZ63" s="184">
        <f>IF(ISERR(VLOOKUP(VALUE(AZ$44),'HR DATA'!$A$4:$AA$54,10,0)="TRUE"),0,VLOOKUP(VALUE(AZ$44),'HR DATA'!$A$4:$AA$54,10,0))</f>
        <v>0</v>
      </c>
      <c r="BA63" s="184">
        <f>IF(ISERR(VLOOKUP(VALUE(BA$44),'HR DATA'!$A$4:$AA$54,10,0)="TRUE"),0,VLOOKUP(VALUE(BA$44),'HR DATA'!$A$4:$AA$54,10,0))</f>
        <v>0</v>
      </c>
      <c r="BB63" s="184">
        <f>IF(ISERR(VLOOKUP(VALUE(BB$44),'HR DATA'!$A$4:$AA$54,10,0)="TRUE"),0,VLOOKUP(VALUE(BB$44),'HR DATA'!$A$4:$AA$54,10,0))</f>
        <v>0</v>
      </c>
      <c r="BC63" s="184">
        <f>IF(ISERR(VLOOKUP(VALUE(BC$44),'HR DATA'!$A$4:$AA$54,10,0)="TRUE"),0,VLOOKUP(VALUE(BC$44),'HR DATA'!$A$4:$AA$54,10,0))</f>
        <v>0</v>
      </c>
      <c r="BD63" s="184">
        <f>IF(ISERR(VLOOKUP(VALUE(BD$44),'HR DATA'!$A$4:$AA$54,10,0)="TRUE"),0,VLOOKUP(VALUE(BD$44),'HR DATA'!$A$4:$AA$54,10,0))</f>
        <v>0</v>
      </c>
      <c r="BE63" s="184">
        <f>IF(ISERR(VLOOKUP(VALUE(BE$44),'HR DATA'!$A$4:$AA$54,10,0)="TRUE"),0,VLOOKUP(VALUE(BE$44),'HR DATA'!$A$4:$AA$54,10,0))</f>
        <v>0</v>
      </c>
      <c r="BF63" s="184">
        <f>IF(ISERR(VLOOKUP(VALUE(BF$44),'HR DATA'!$A$4:$AA$54,10,0)="TRUE"),0,VLOOKUP(VALUE(BF$44),'HR DATA'!$A$4:$AA$54,10,0))</f>
        <v>0</v>
      </c>
      <c r="BG63" s="184">
        <f>IF(ISERR(VLOOKUP(VALUE(BG$44),'HR DATA'!$A$4:$AA$54,10,0)="TRUE"),0,VLOOKUP(VALUE(BG$44),'HR DATA'!$A$4:$AA$54,10,0))</f>
        <v>0</v>
      </c>
      <c r="BH63" s="184">
        <f>IF(ISERR(VLOOKUP(VALUE(BH$44),'HR DATA'!$A$4:$AA$54,10,0)="TRUE"),0,VLOOKUP(VALUE(BH$44),'HR DATA'!$A$4:$AA$54,10,0))</f>
        <v>0</v>
      </c>
      <c r="BI63" s="184">
        <f>IF(ISERR(VLOOKUP(VALUE(BI$44),'HR DATA'!$A$4:$AA$54,10,0)="TRUE"),0,VLOOKUP(VALUE(BI$44),'HR DATA'!$A$4:$AA$54,10,0))</f>
        <v>0</v>
      </c>
      <c r="BJ63" s="184">
        <f>IF(ISERR(VLOOKUP(VALUE(BJ$44),'HR DATA'!$A$4:$AA$54,10,0)="TRUE"),0,VLOOKUP(VALUE(BJ$44),'HR DATA'!$A$4:$AA$54,10,0))</f>
        <v>0</v>
      </c>
      <c r="BK63" s="184">
        <f>IF(ISERR(VLOOKUP(VALUE(BK$44),'HR DATA'!$A$4:$AA$54,10,0)="TRUE"),0,VLOOKUP(VALUE(BK$44),'HR DATA'!$A$4:$AA$54,10,0))</f>
        <v>0</v>
      </c>
      <c r="BL63" s="184">
        <f>IF(ISERR(VLOOKUP(VALUE(BL$44),'HR DATA'!$A$4:$AA$54,10,0)="TRUE"),0,VLOOKUP(VALUE(BL$44),'HR DATA'!$A$4:$AA$54,10,0))</f>
        <v>0</v>
      </c>
      <c r="BM63" s="184">
        <f>IF(ISERR(VLOOKUP(VALUE(BM$44),'HR DATA'!$A$4:$AA$54,10,0)="TRUE"),0,VLOOKUP(VALUE(BM$44),'HR DATA'!$A$4:$AA$54,10,0))</f>
        <v>0</v>
      </c>
      <c r="BN63" s="184">
        <f>IF(ISERR(VLOOKUP(VALUE(BN$44),'HR DATA'!$A$4:$AA$54,10,0)="TRUE"),0,VLOOKUP(VALUE(BN$44),'HR DATA'!$A$4:$AA$54,10,0))</f>
        <v>0</v>
      </c>
      <c r="BO63" s="184">
        <f>IF(ISERR(VLOOKUP(VALUE(BO$44),'HR DATA'!$A$4:$AA$54,10,0)="TRUE"),0,VLOOKUP(VALUE(BO$44),'HR DATA'!$A$4:$AA$54,10,0))</f>
        <v>0</v>
      </c>
      <c r="BP63" s="184">
        <f>IF(ISERR(VLOOKUP(VALUE(BP$44),'HR DATA'!$A$4:$AA$54,10,0)="TRUE"),0,VLOOKUP(VALUE(BP$44),'HR DATA'!$A$4:$AA$54,10,0))</f>
        <v>0</v>
      </c>
      <c r="BQ63" s="184">
        <f>IF(ISERR(VLOOKUP(VALUE(BQ$44),'HR DATA'!$A$4:$AA$54,10,0)="TRUE"),0,VLOOKUP(VALUE(BQ$44),'HR DATA'!$A$4:$AA$54,10,0))</f>
        <v>0</v>
      </c>
      <c r="BR63" s="184">
        <f>IF(ISERR(VLOOKUP(VALUE(BR$44),'HR DATA'!$A$4:$AA$54,10,0)="TRUE"),0,VLOOKUP(VALUE(BR$44),'HR DATA'!$A$4:$AA$54,10,0))</f>
        <v>0</v>
      </c>
      <c r="BS63" s="184">
        <f>IF(ISERR(VLOOKUP(VALUE(BS$44),'HR DATA'!$A$4:$AA$54,10,0)="TRUE"),0,VLOOKUP(VALUE(BS$44),'HR DATA'!$A$4:$AA$54,10,0))</f>
        <v>0</v>
      </c>
      <c r="BT63" s="184">
        <f>IF(ISERR(VLOOKUP(VALUE(BT$44),'HR DATA'!$A$4:$AA$54,10,0)="TRUE"),0,VLOOKUP(VALUE(BT$44),'HR DATA'!$A$4:$AA$54,10,0))</f>
        <v>0</v>
      </c>
      <c r="BU63" s="184">
        <f>IF(ISERR(VLOOKUP(VALUE(BU$44),'HR DATA'!$A$4:$AA$54,10,0)="TRUE"),0,VLOOKUP(VALUE(BU$44),'HR DATA'!$A$4:$AA$54,10,0))</f>
        <v>0</v>
      </c>
      <c r="BV63" s="184">
        <f>IF(ISERR(VLOOKUP(VALUE(BV$44),'HR DATA'!$A$4:$AA$54,10,0)="TRUE"),0,VLOOKUP(VALUE(BV$44),'HR DATA'!$A$4:$AA$54,10,0))</f>
        <v>0</v>
      </c>
      <c r="BW63" s="184">
        <f>IF(ISERR(VLOOKUP(VALUE(BW$44),'HR DATA'!$A$4:$AA$54,10,0)="TRUE"),0,VLOOKUP(VALUE(BW$44),'HR DATA'!$A$4:$AA$54,10,0))</f>
        <v>23695.160000000003</v>
      </c>
      <c r="BX63" s="184">
        <f>IF(ISERR(VLOOKUP(VALUE(BX$44),'HR DATA'!$A$4:$AA$54,10,0)="TRUE"),0,VLOOKUP(VALUE(BX$44),'HR DATA'!$A$4:$AA$54,10,0))</f>
        <v>0</v>
      </c>
      <c r="BY63" s="184">
        <f>IF(ISERR(VLOOKUP(VALUE(BY$44),'HR DATA'!$A$4:$AA$54,10,0)="TRUE"),0,VLOOKUP(VALUE(BY$44),'HR DATA'!$A$4:$AA$54,10,0))</f>
        <v>0</v>
      </c>
      <c r="BZ63" s="184">
        <f>IF(ISERR(VLOOKUP(VALUE(BZ$44),'HR DATA'!$A$4:$AA$54,10,0)="TRUE"),0,VLOOKUP(VALUE(BZ$44),'HR DATA'!$A$4:$AA$54,10,0))</f>
        <v>0</v>
      </c>
      <c r="CA63" s="184">
        <f>IF(ISERR(VLOOKUP(VALUE(CA$44),'HR DATA'!$A$4:$AA$54,10,0)="TRUE"),0,VLOOKUP(VALUE(CA$44),'HR DATA'!$A$4:$AA$54,10,0))</f>
        <v>0</v>
      </c>
      <c r="CB63" s="184">
        <f>IF(ISERR(VLOOKUP(VALUE(CB$44),'HR DATA'!$A$4:$AA$54,10,0)="TRUE"),0,VLOOKUP(VALUE(CB$44),'HR DATA'!$A$4:$AA$54,10,0))</f>
        <v>0</v>
      </c>
      <c r="CC63" s="184">
        <f>IF(ISERR(VLOOKUP(VALUE(CC$44),'HR DATA'!$A$4:$AA$54,10,0)="TRUE"),0,VLOOKUP(VALUE(CC$44),'HR DATA'!$A$4:$AA$54,10,0))</f>
        <v>0</v>
      </c>
      <c r="CD63" s="244" t="s">
        <v>221</v>
      </c>
      <c r="CE63" s="193">
        <f t="shared" si="0"/>
        <v>46408849.639999993</v>
      </c>
      <c r="CF63" s="247"/>
    </row>
    <row r="64" spans="1:84" ht="12.6" customHeight="1" x14ac:dyDescent="0.2">
      <c r="A64" s="171" t="s">
        <v>237</v>
      </c>
      <c r="B64" s="175"/>
      <c r="C64" s="184">
        <f>IF(ISERR(VLOOKUP(VALUE(C$44),'HR DATA'!$A$4:$AA$56,12,0)="TRUE"),0,VLOOKUP(VALUE(C$44),'HR DATA'!$A$4:$AA$56,12,0))</f>
        <v>740809.02</v>
      </c>
      <c r="D64" s="184">
        <f>IF(ISERR(VLOOKUP(VALUE(D$44),'HR DATA'!$A$4:$AA$56,12,0)="TRUE"),0,VLOOKUP(VALUE(D$44),'HR DATA'!$A$4:$AA$56,12,0))</f>
        <v>0</v>
      </c>
      <c r="E64" s="184">
        <f>IF(ISERR(VLOOKUP(VALUE(E$44),'HR DATA'!$A$4:$AA$56,12,0)="TRUE"),0,VLOOKUP(VALUE(E$44),'HR DATA'!$A$4:$AA$56,12,0))</f>
        <v>2069958.3199999998</v>
      </c>
      <c r="F64" s="184">
        <f>IF(ISERR(VLOOKUP(VALUE(F$44),'HR DATA'!$A$4:$AA$56,12,0)="TRUE"),0,VLOOKUP(VALUE(F$44),'HR DATA'!$A$4:$AA$56,12,0))</f>
        <v>0</v>
      </c>
      <c r="G64" s="184">
        <f>IF(ISERR(VLOOKUP(VALUE(G$44),'HR DATA'!$A$4:$AA$56,12,0)="TRUE"),0,VLOOKUP(VALUE(G$44),'HR DATA'!$A$4:$AA$56,12,0))</f>
        <v>0</v>
      </c>
      <c r="H64" s="184">
        <f>IF(ISERR(VLOOKUP(VALUE(H$44),'HR DATA'!$A$4:$AA$56,12,0)="TRUE"),0,VLOOKUP(VALUE(H$44),'HR DATA'!$A$4:$AA$56,12,0))</f>
        <v>0</v>
      </c>
      <c r="I64" s="184">
        <f>IF(ISERR(VLOOKUP(VALUE(I$44),'HR DATA'!$A$4:$AA$56,12,0)="TRUE"),0,VLOOKUP(VALUE(I$44),'HR DATA'!$A$4:$AA$56,12,0))</f>
        <v>0</v>
      </c>
      <c r="J64" s="184">
        <f>IF(ISERR(VLOOKUP(VALUE(J$44),'HR DATA'!$A$4:$AA$56,12,0)="TRUE"),0,VLOOKUP(VALUE(J$44),'HR DATA'!$A$4:$AA$56,12,0))</f>
        <v>0</v>
      </c>
      <c r="K64" s="184">
        <f>IF(ISERR(VLOOKUP(VALUE(K$44),'HR DATA'!$A$4:$AA$56,12,0)="TRUE"),0,VLOOKUP(VALUE(K$44),'HR DATA'!$A$4:$AA$56,12,0))</f>
        <v>0</v>
      </c>
      <c r="L64" s="184">
        <f>IF(ISERR(VLOOKUP(VALUE(L$44),'HR DATA'!$A$4:$AA$56,12,0)="TRUE"),0,VLOOKUP(VALUE(L$44),'HR DATA'!$A$4:$AA$56,12,0))</f>
        <v>0</v>
      </c>
      <c r="M64" s="184">
        <f>IF(ISERR(VLOOKUP(VALUE(M$44),'HR DATA'!$A$4:$AA$56,12,0)="TRUE"),0,VLOOKUP(VALUE(M$44),'HR DATA'!$A$4:$AA$56,12,0))</f>
        <v>0</v>
      </c>
      <c r="N64" s="184">
        <f>IF(ISERR(VLOOKUP(VALUE(N$44),'HR DATA'!$A$4:$AA$56,12,0)="TRUE"),0,VLOOKUP(VALUE(N$44),'HR DATA'!$A$4:$AA$56,12,0))</f>
        <v>0</v>
      </c>
      <c r="O64" s="184">
        <f>IF(ISERR(VLOOKUP(VALUE(O$44),'HR DATA'!$A$4:$AA$56,12,0)="TRUE"),0,VLOOKUP(VALUE(O$44),'HR DATA'!$A$4:$AA$56,12,0))</f>
        <v>729974.62999999989</v>
      </c>
      <c r="P64" s="184">
        <f>IF(ISERR(VLOOKUP(VALUE(P$44),'HR DATA'!$A$4:$AA$56,12,0)="TRUE"),0,VLOOKUP(VALUE(P$44),'HR DATA'!$A$4:$AA$56,12,0))</f>
        <v>21878939.760000002</v>
      </c>
      <c r="Q64" s="184">
        <f>IF(ISERR(VLOOKUP(VALUE(Q$44),'HR DATA'!$A$4:$AA$56,12,0)="TRUE"),0,VLOOKUP(VALUE(Q$44),'HR DATA'!$A$4:$AA$56,12,0))</f>
        <v>457950.76000000007</v>
      </c>
      <c r="R64" s="184">
        <f>IF(ISERR(VLOOKUP(VALUE(R$44),'HR DATA'!$A$4:$AA$56,12,0)="TRUE"),0,VLOOKUP(VALUE(R$44),'HR DATA'!$A$4:$AA$56,12,0))</f>
        <v>346257.83</v>
      </c>
      <c r="S64" s="184">
        <f>IF(ISERR(VLOOKUP(VALUE(S$44),'HR DATA'!$A$4:$AA$56,12,0)="TRUE"),0,VLOOKUP(VALUE(S$44),'HR DATA'!$A$4:$AA$56,12,0))</f>
        <v>-254561.17999999947</v>
      </c>
      <c r="T64" s="184">
        <f>IF(ISERR(VLOOKUP(VALUE(T$44),'HR DATA'!$A$4:$AA$56,12,0)="TRUE"),0,VLOOKUP(VALUE(T$44),'HR DATA'!$A$4:$AA$56,12,0))</f>
        <v>0</v>
      </c>
      <c r="U64" s="184">
        <f>IF(ISERR(VLOOKUP(VALUE(U$44),'HR DATA'!$A$4:$AA$56,12,0)="TRUE"),0,VLOOKUP(VALUE(U$44),'HR DATA'!$A$4:$AA$56,12,0))</f>
        <v>4417202.1399999997</v>
      </c>
      <c r="V64" s="184">
        <f>IF(ISERR(VLOOKUP(VALUE(V$44),'HR DATA'!$A$4:$AA$56,12,0)="TRUE"),0,VLOOKUP(VALUE(V$44),'HR DATA'!$A$4:$AA$56,12,0))</f>
        <v>201895.51</v>
      </c>
      <c r="W64" s="184">
        <f>IF(ISERR(VLOOKUP(VALUE(W$44),'HR DATA'!$A$4:$AA$56,12,0)="TRUE"),0,VLOOKUP(VALUE(W$44),'HR DATA'!$A$4:$AA$56,12,0))</f>
        <v>71461.05</v>
      </c>
      <c r="X64" s="184">
        <f>IF(ISERR(VLOOKUP(VALUE(X$44),'HR DATA'!$A$4:$AA$56,12,0)="TRUE"),0,VLOOKUP(VALUE(X$44),'HR DATA'!$A$4:$AA$56,12,0))</f>
        <v>0</v>
      </c>
      <c r="Y64" s="184">
        <f>IF(ISERR(VLOOKUP(VALUE(Y$44),'HR DATA'!$A$4:$AA$56,12,0)="TRUE"),0,VLOOKUP(VALUE(Y$44),'HR DATA'!$A$4:$AA$56,12,0))</f>
        <v>16003606.710000001</v>
      </c>
      <c r="Z64" s="184">
        <f>IF(ISERR(VLOOKUP(VALUE(Z$44),'HR DATA'!$A$4:$AA$56,12,0)="TRUE"),0,VLOOKUP(VALUE(Z$44),'HR DATA'!$A$4:$AA$56,12,0))</f>
        <v>57206.34</v>
      </c>
      <c r="AA64" s="184">
        <f>IF(ISERR(VLOOKUP(VALUE(AA$44),'HR DATA'!$A$4:$AA$56,12,0)="TRUE"),0,VLOOKUP(VALUE(AA$44),'HR DATA'!$A$4:$AA$56,12,0))</f>
        <v>491580.69999999995</v>
      </c>
      <c r="AB64" s="184">
        <f>IF(ISERR(VLOOKUP(VALUE(AB$44),'HR DATA'!$A$4:$AA$56,12,0)="TRUE"),0,VLOOKUP(VALUE(AB$44),'HR DATA'!$A$4:$AA$56,12,0))</f>
        <v>13435710.710000001</v>
      </c>
      <c r="AC64" s="184">
        <f>IF(ISERR(VLOOKUP(VALUE(AC$44),'HR DATA'!$A$4:$AA$56,12,0)="TRUE"),0,VLOOKUP(VALUE(AC$44),'HR DATA'!$A$4:$AA$56,12,0))</f>
        <v>604957.19000000018</v>
      </c>
      <c r="AD64" s="184">
        <f>IF(ISERR(VLOOKUP(VALUE(AD$44),'HR DATA'!$A$4:$AA$56,12,0)="TRUE"),0,VLOOKUP(VALUE(AD$44),'HR DATA'!$A$4:$AA$56,12,0))</f>
        <v>17448.019999999997</v>
      </c>
      <c r="AE64" s="184">
        <f>IF(ISERR(VLOOKUP(VALUE(AE$44),'HR DATA'!$A$4:$AA$56,12,0)="TRUE"),0,VLOOKUP(VALUE(AE$44),'HR DATA'!$A$4:$AA$56,12,0))</f>
        <v>21618.81</v>
      </c>
      <c r="AF64" s="184">
        <f>IF(ISERR(VLOOKUP(VALUE(AF$44),'HR DATA'!$A$4:$AA$56,12,0)="TRUE"),0,VLOOKUP(VALUE(AF$44),'HR DATA'!$A$4:$AA$56,12,0))</f>
        <v>0</v>
      </c>
      <c r="AG64" s="184">
        <f>IF(ISERR(VLOOKUP(VALUE(AG$44),'HR DATA'!$A$4:$AA$56,12,0)="TRUE"),0,VLOOKUP(VALUE(AG$44),'HR DATA'!$A$4:$AA$56,12,0))</f>
        <v>1683083.5699999996</v>
      </c>
      <c r="AH64" s="184">
        <f>IF(ISERR(VLOOKUP(VALUE(AH$44),'HR DATA'!$A$4:$AA$56,12,0)="TRUE"),0,VLOOKUP(VALUE(AH$44),'HR DATA'!$A$4:$AA$56,12,0))</f>
        <v>0</v>
      </c>
      <c r="AI64" s="184">
        <f>IF(ISERR(VLOOKUP(VALUE(AI$44),'HR DATA'!$A$4:$AA$56,12,0)="TRUE"),0,VLOOKUP(VALUE(AI$44),'HR DATA'!$A$4:$AA$56,12,0))</f>
        <v>0</v>
      </c>
      <c r="AJ64" s="184">
        <f>IF(ISERR(VLOOKUP(VALUE(AJ$44),'HR DATA'!$A$4:$AA$56,12,0)="TRUE"),0,VLOOKUP(VALUE(AJ$44),'HR DATA'!$A$4:$AA$56,12,0))</f>
        <v>3708260.63</v>
      </c>
      <c r="AK64" s="184">
        <f>IF(ISERR(VLOOKUP(VALUE(AK$44),'HR DATA'!$A$4:$AA$56,12,0)="TRUE"),0,VLOOKUP(VALUE(AK$44),'HR DATA'!$A$4:$AA$56,12,0))</f>
        <v>8757.65</v>
      </c>
      <c r="AL64" s="184">
        <f>IF(ISERR(VLOOKUP(VALUE(AL$44),'HR DATA'!$A$4:$AA$56,12,0)="TRUE"),0,VLOOKUP(VALUE(AL$44),'HR DATA'!$A$4:$AA$56,12,0))</f>
        <v>7470.1499999999987</v>
      </c>
      <c r="AM64" s="184">
        <f>IF(ISERR(VLOOKUP(VALUE(AM$44),'HR DATA'!$A$4:$AA$56,12,0)="TRUE"),0,VLOOKUP(VALUE(AM$44),'HR DATA'!$A$4:$AA$56,12,0))</f>
        <v>0</v>
      </c>
      <c r="AN64" s="184">
        <f>IF(ISERR(VLOOKUP(VALUE(AN$44),'HR DATA'!$A$4:$AA$56,12,0)="TRUE"),0,VLOOKUP(VALUE(AN$44),'HR DATA'!$A$4:$AA$56,12,0))</f>
        <v>0</v>
      </c>
      <c r="AO64" s="184">
        <f>IF(ISERR(VLOOKUP(VALUE(AO$44),'HR DATA'!$A$4:$AA$56,12,0)="TRUE"),0,VLOOKUP(VALUE(AO$44),'HR DATA'!$A$4:$AA$56,12,0))</f>
        <v>0</v>
      </c>
      <c r="AP64" s="184">
        <f>IF(ISERR(VLOOKUP(VALUE(AP$44),'HR DATA'!$A$4:$AA$56,12,0)="TRUE"),0,VLOOKUP(VALUE(AP$44),'HR DATA'!$A$4:$AA$56,12,0))</f>
        <v>38339707.13000001</v>
      </c>
      <c r="AQ64" s="184">
        <f>IF(ISERR(VLOOKUP(VALUE(AQ$44),'HR DATA'!$A$4:$AA$56,12,0)="TRUE"),0,VLOOKUP(VALUE(AQ$44),'HR DATA'!$A$4:$AA$56,12,0))</f>
        <v>0</v>
      </c>
      <c r="AR64" s="184">
        <f>IF(ISERR(VLOOKUP(VALUE(AR$44),'HR DATA'!$A$4:$AA$56,12,0)="TRUE"),0,VLOOKUP(VALUE(AR$44),'HR DATA'!$A$4:$AA$56,12,0))</f>
        <v>0</v>
      </c>
      <c r="AS64" s="184">
        <f>IF(ISERR(VLOOKUP(VALUE(AS$44),'HR DATA'!$A$4:$AA$56,12,0)="TRUE"),0,VLOOKUP(VALUE(AS$44),'HR DATA'!$A$4:$AA$56,12,0))</f>
        <v>0</v>
      </c>
      <c r="AT64" s="184">
        <f>IF(ISERR(VLOOKUP(VALUE(AT$44),'HR DATA'!$A$4:$AA$56,12,0)="TRUE"),0,VLOOKUP(VALUE(AT$44),'HR DATA'!$A$4:$AA$56,12,0))</f>
        <v>0</v>
      </c>
      <c r="AU64" s="184">
        <f>IF(ISERR(VLOOKUP(VALUE(AU$44),'HR DATA'!$A$4:$AA$56,12,0)="TRUE"),0,VLOOKUP(VALUE(AU$44),'HR DATA'!$A$4:$AA$56,12,0))</f>
        <v>0</v>
      </c>
      <c r="AV64" s="184">
        <f>IF(ISERR(VLOOKUP(VALUE(AV$44),'HR DATA'!$A$4:$AA$56,12,0)="TRUE"),0,VLOOKUP(VALUE(AV$44),'HR DATA'!$A$4:$AA$56,12,0))</f>
        <v>902413.23</v>
      </c>
      <c r="AW64" s="184">
        <f>IF(ISERR(VLOOKUP(VALUE(AW$44),'HR DATA'!$A$4:$AA$56,12,0)="TRUE"),0,VLOOKUP(VALUE(AW$44),'HR DATA'!$A$4:$AA$56,12,0))</f>
        <v>0</v>
      </c>
      <c r="AX64" s="184">
        <f>IF(ISERR(VLOOKUP(VALUE(AX$44),'HR DATA'!$A$4:$AA$56,12,0)="TRUE"),0,VLOOKUP(VALUE(AX$44),'HR DATA'!$A$4:$AA$56,12,0))</f>
        <v>0</v>
      </c>
      <c r="AY64" s="184">
        <f>IF(ISERR(VLOOKUP(VALUE(AY$44),'HR DATA'!$A$4:$AA$56,12,0)="TRUE"),0,VLOOKUP(VALUE(AY$44),'HR DATA'!$A$4:$AA$56,12,0))</f>
        <v>1916182.9799999997</v>
      </c>
      <c r="AZ64" s="184">
        <f>IF(ISERR(VLOOKUP(VALUE(AZ$44),'HR DATA'!$A$4:$AA$56,12,0)="TRUE"),0,VLOOKUP(VALUE(AZ$44),'HR DATA'!$A$4:$AA$56,12,0))</f>
        <v>0</v>
      </c>
      <c r="BA64" s="184">
        <f>IF(ISERR(VLOOKUP(VALUE(BA$44),'HR DATA'!$A$4:$AA$56,12,0)="TRUE"),0,VLOOKUP(VALUE(BA$44),'HR DATA'!$A$4:$AA$56,12,0))</f>
        <v>0</v>
      </c>
      <c r="BB64" s="184">
        <f>IF(ISERR(VLOOKUP(VALUE(BB$44),'HR DATA'!$A$4:$AA$56,12,0)="TRUE"),0,VLOOKUP(VALUE(BB$44),'HR DATA'!$A$4:$AA$56,12,0))</f>
        <v>0</v>
      </c>
      <c r="BC64" s="184">
        <f>IF(ISERR(VLOOKUP(VALUE(BC$44),'HR DATA'!$A$4:$AA$56,12,0)="TRUE"),0,VLOOKUP(VALUE(BC$44),'HR DATA'!$A$4:$AA$56,12,0))</f>
        <v>17019.710000000003</v>
      </c>
      <c r="BD64" s="184">
        <f>IF(ISERR(VLOOKUP(VALUE(BD$44),'HR DATA'!$A$4:$AA$56,12,0)="TRUE"),0,VLOOKUP(VALUE(BD$44),'HR DATA'!$A$4:$AA$56,12,0))</f>
        <v>0</v>
      </c>
      <c r="BE64" s="184">
        <f>IF(ISERR(VLOOKUP(VALUE(BE$44),'HR DATA'!$A$4:$AA$56,12,0)="TRUE"),0,VLOOKUP(VALUE(BE$44),'HR DATA'!$A$4:$AA$56,12,0))</f>
        <v>-44075.789999999994</v>
      </c>
      <c r="BF64" s="184">
        <f>IF(ISERR(VLOOKUP(VALUE(BF$44),'HR DATA'!$A$4:$AA$56,12,0)="TRUE"),0,VLOOKUP(VALUE(BF$44),'HR DATA'!$A$4:$AA$56,12,0))</f>
        <v>231247.4</v>
      </c>
      <c r="BG64" s="184">
        <f>IF(ISERR(VLOOKUP(VALUE(BG$44),'HR DATA'!$A$4:$AA$56,12,0)="TRUE"),0,VLOOKUP(VALUE(BG$44),'HR DATA'!$A$4:$AA$56,12,0))</f>
        <v>195.28</v>
      </c>
      <c r="BH64" s="184">
        <f>IF(ISERR(VLOOKUP(VALUE(BH$44),'HR DATA'!$A$4:$AA$56,12,0)="TRUE"),0,VLOOKUP(VALUE(BH$44),'HR DATA'!$A$4:$AA$56,12,0))</f>
        <v>0</v>
      </c>
      <c r="BI64" s="184">
        <f>IF(ISERR(VLOOKUP(VALUE(BI$44),'HR DATA'!$A$4:$AA$56,12,0)="TRUE"),0,VLOOKUP(VALUE(BI$44),'HR DATA'!$A$4:$AA$56,12,0))</f>
        <v>93225.75</v>
      </c>
      <c r="BJ64" s="184">
        <f>IF(ISERR(VLOOKUP(VALUE(BJ$44),'HR DATA'!$A$4:$AA$56,12,0)="TRUE"),0,VLOOKUP(VALUE(BJ$44),'HR DATA'!$A$4:$AA$56,12,0))</f>
        <v>0</v>
      </c>
      <c r="BK64" s="184">
        <f>IF(ISERR(VLOOKUP(VALUE(BK$44),'HR DATA'!$A$4:$AA$56,12,0)="TRUE"),0,VLOOKUP(VALUE(BK$44),'HR DATA'!$A$4:$AA$56,12,0))</f>
        <v>658.41</v>
      </c>
      <c r="BL64" s="184">
        <f>IF(ISERR(VLOOKUP(VALUE(BL$44),'HR DATA'!$A$4:$AA$56,12,0)="TRUE"),0,VLOOKUP(VALUE(BL$44),'HR DATA'!$A$4:$AA$56,12,0))</f>
        <v>25473.949999999997</v>
      </c>
      <c r="BM64" s="184">
        <f>IF(ISERR(VLOOKUP(VALUE(BM$44),'HR DATA'!$A$4:$AA$56,12,0)="TRUE"),0,VLOOKUP(VALUE(BM$44),'HR DATA'!$A$4:$AA$56,12,0))</f>
        <v>0</v>
      </c>
      <c r="BN64" s="184">
        <f>IF(ISERR(VLOOKUP(VALUE(BN$44),'HR DATA'!$A$4:$AA$56,12,0)="TRUE"),0,VLOOKUP(VALUE(BN$44),'HR DATA'!$A$4:$AA$56,12,0))</f>
        <v>328691.45</v>
      </c>
      <c r="BO64" s="184">
        <f>IF(ISERR(VLOOKUP(VALUE(BO$44),'HR DATA'!$A$4:$AA$56,12,0)="TRUE"),0,VLOOKUP(VALUE(BO$44),'HR DATA'!$A$4:$AA$56,12,0))</f>
        <v>0</v>
      </c>
      <c r="BP64" s="184">
        <f>IF(ISERR(VLOOKUP(VALUE(BP$44),'HR DATA'!$A$4:$AA$56,12,0)="TRUE"),0,VLOOKUP(VALUE(BP$44),'HR DATA'!$A$4:$AA$56,12,0))</f>
        <v>0</v>
      </c>
      <c r="BQ64" s="184">
        <f>IF(ISERR(VLOOKUP(VALUE(BQ$44),'HR DATA'!$A$4:$AA$56,12,0)="TRUE"),0,VLOOKUP(VALUE(BQ$44),'HR DATA'!$A$4:$AA$56,12,0))</f>
        <v>0</v>
      </c>
      <c r="BR64" s="184">
        <f>IF(ISERR(VLOOKUP(VALUE(BR$44),'HR DATA'!$A$4:$AA$56,12,0)="TRUE"),0,VLOOKUP(VALUE(BR$44),'HR DATA'!$A$4:$AA$56,12,0))</f>
        <v>11155.27</v>
      </c>
      <c r="BS64" s="184">
        <f>IF(ISERR(VLOOKUP(VALUE(BS$44),'HR DATA'!$A$4:$AA$56,12,0)="TRUE"),0,VLOOKUP(VALUE(BS$44),'HR DATA'!$A$4:$AA$56,12,0))</f>
        <v>0</v>
      </c>
      <c r="BT64" s="184">
        <f>IF(ISERR(VLOOKUP(VALUE(BT$44),'HR DATA'!$A$4:$AA$56,12,0)="TRUE"),0,VLOOKUP(VALUE(BT$44),'HR DATA'!$A$4:$AA$56,12,0))</f>
        <v>0</v>
      </c>
      <c r="BU64" s="184">
        <f>IF(ISERR(VLOOKUP(VALUE(BU$44),'HR DATA'!$A$4:$AA$56,12,0)="TRUE"),0,VLOOKUP(VALUE(BU$44),'HR DATA'!$A$4:$AA$56,12,0))</f>
        <v>0</v>
      </c>
      <c r="BV64" s="184">
        <f>IF(ISERR(VLOOKUP(VALUE(BV$44),'HR DATA'!$A$4:$AA$56,12,0)="TRUE"),0,VLOOKUP(VALUE(BV$44),'HR DATA'!$A$4:$AA$56,12,0))</f>
        <v>1846.47</v>
      </c>
      <c r="BW64" s="184">
        <f>IF(ISERR(VLOOKUP(VALUE(BW$44),'HR DATA'!$A$4:$AA$56,12,0)="TRUE"),0,VLOOKUP(VALUE(BW$44),'HR DATA'!$A$4:$AA$56,12,0))</f>
        <v>0</v>
      </c>
      <c r="BX64" s="184">
        <f>IF(ISERR(VLOOKUP(VALUE(BX$44),'HR DATA'!$A$4:$AA$56,12,0)="TRUE"),0,VLOOKUP(VALUE(BX$44),'HR DATA'!$A$4:$AA$56,12,0))</f>
        <v>0</v>
      </c>
      <c r="BY64" s="184">
        <f>IF(ISERR(VLOOKUP(VALUE(BY$44),'HR DATA'!$A$4:$AA$56,12,0)="TRUE"),0,VLOOKUP(VALUE(BY$44),'HR DATA'!$A$4:$AA$56,12,0))</f>
        <v>17518.330000000002</v>
      </c>
      <c r="BZ64" s="184">
        <f>IF(ISERR(VLOOKUP(VALUE(BZ$44),'HR DATA'!$A$4:$AA$56,12,0)="TRUE"),0,VLOOKUP(VALUE(BZ$44),'HR DATA'!$A$4:$AA$56,12,0))</f>
        <v>24229.18</v>
      </c>
      <c r="CA64" s="184">
        <f>IF(ISERR(VLOOKUP(VALUE(CA$44),'HR DATA'!$A$4:$AA$56,12,0)="TRUE"),0,VLOOKUP(VALUE(CA$44),'HR DATA'!$A$4:$AA$56,12,0))</f>
        <v>21809.97</v>
      </c>
      <c r="CB64" s="184">
        <f>IF(ISERR(VLOOKUP(VALUE(CB$44),'HR DATA'!$A$4:$AA$56,12,0)="TRUE"),0,VLOOKUP(VALUE(CB$44),'HR DATA'!$A$4:$AA$56,12,0))</f>
        <v>0</v>
      </c>
      <c r="CC64" s="184">
        <f>IF(ISERR(VLOOKUP(VALUE(CC$44),'HR DATA'!$A$4:$AA$56,12,0)="TRUE"),0,VLOOKUP(VALUE(CC$44),'HR DATA'!$A$4:$AA$56,12,0))+175268.33</f>
        <v>-35573.649999999965</v>
      </c>
      <c r="CD64" s="244" t="s">
        <v>221</v>
      </c>
      <c r="CE64" s="193">
        <f t="shared" si="0"/>
        <v>108551313.39000002</v>
      </c>
      <c r="CF64" s="247"/>
    </row>
    <row r="65" spans="1:84" ht="12.6" customHeight="1" x14ac:dyDescent="0.2">
      <c r="A65" s="171" t="s">
        <v>238</v>
      </c>
      <c r="B65" s="175"/>
      <c r="C65" s="184">
        <f>IF(ISERR(VLOOKUP(VALUE(C$44),'HR DATA'!$A$4:$AA$54,13,0)="TRUE"),0,VLOOKUP(VALUE(C$44),'HR DATA'!$A$4:$AA$54,13,0))</f>
        <v>1148.8400000000001</v>
      </c>
      <c r="D65" s="184">
        <f>IF(ISERR(VLOOKUP(VALUE(D$44),'HR DATA'!$A$4:$AA$54,13,0)="TRUE"),0,VLOOKUP(VALUE(D$44),'HR DATA'!$A$4:$AA$54,13,0))</f>
        <v>0</v>
      </c>
      <c r="E65" s="184">
        <f>IF(ISERR(VLOOKUP(VALUE(E$44),'HR DATA'!$A$4:$AA$54,13,0)="TRUE"),0,VLOOKUP(VALUE(E$44),'HR DATA'!$A$4:$AA$54,13,0))</f>
        <v>16843.359999999997</v>
      </c>
      <c r="F65" s="184">
        <f>IF(ISERR(VLOOKUP(VALUE(F$44),'HR DATA'!$A$4:$AA$54,13,0)="TRUE"),0,VLOOKUP(VALUE(F$44),'HR DATA'!$A$4:$AA$54,13,0))</f>
        <v>0</v>
      </c>
      <c r="G65" s="184">
        <f>IF(ISERR(VLOOKUP(VALUE(G$44),'HR DATA'!$A$4:$AA$54,13,0)="TRUE"),0,VLOOKUP(VALUE(G$44),'HR DATA'!$A$4:$AA$54,13,0))</f>
        <v>0</v>
      </c>
      <c r="H65" s="184">
        <f>IF(ISERR(VLOOKUP(VALUE(H$44),'HR DATA'!$A$4:$AA$54,13,0)="TRUE"),0,VLOOKUP(VALUE(H$44),'HR DATA'!$A$4:$AA$54,13,0))</f>
        <v>316.27</v>
      </c>
      <c r="I65" s="184">
        <f>IF(ISERR(VLOOKUP(VALUE(I$44),'HR DATA'!$A$4:$AA$54,13,0)="TRUE"),0,VLOOKUP(VALUE(I$44),'HR DATA'!$A$4:$AA$54,13,0))</f>
        <v>0</v>
      </c>
      <c r="J65" s="184">
        <f>IF(ISERR(VLOOKUP(VALUE(J$44),'HR DATA'!$A$4:$AA$54,13,0)="TRUE"),0,VLOOKUP(VALUE(J$44),'HR DATA'!$A$4:$AA$54,13,0))</f>
        <v>0</v>
      </c>
      <c r="K65" s="184">
        <f>IF(ISERR(VLOOKUP(VALUE(K$44),'HR DATA'!$A$4:$AA$54,13,0)="TRUE"),0,VLOOKUP(VALUE(K$44),'HR DATA'!$A$4:$AA$54,13,0))</f>
        <v>0</v>
      </c>
      <c r="L65" s="184">
        <f>IF(ISERR(VLOOKUP(VALUE(L$44),'HR DATA'!$A$4:$AA$54,13,0)="TRUE"),0,VLOOKUP(VALUE(L$44),'HR DATA'!$A$4:$AA$54,13,0))</f>
        <v>0</v>
      </c>
      <c r="M65" s="184">
        <f>IF(ISERR(VLOOKUP(VALUE(M$44),'HR DATA'!$A$4:$AA$54,13,0)="TRUE"),0,VLOOKUP(VALUE(M$44),'HR DATA'!$A$4:$AA$54,13,0))</f>
        <v>0</v>
      </c>
      <c r="N65" s="184">
        <f>IF(ISERR(VLOOKUP(VALUE(N$44),'HR DATA'!$A$4:$AA$54,13,0)="TRUE"),0,VLOOKUP(VALUE(N$44),'HR DATA'!$A$4:$AA$54,13,0))</f>
        <v>0</v>
      </c>
      <c r="O65" s="184">
        <f>IF(ISERR(VLOOKUP(VALUE(O$44),'HR DATA'!$A$4:$AA$54,13,0)="TRUE"),0,VLOOKUP(VALUE(O$44),'HR DATA'!$A$4:$AA$54,13,0))</f>
        <v>7770.8</v>
      </c>
      <c r="P65" s="184">
        <f>IF(ISERR(VLOOKUP(VALUE(P$44),'HR DATA'!$A$4:$AA$54,13,0)="TRUE"),0,VLOOKUP(VALUE(P$44),'HR DATA'!$A$4:$AA$54,13,0))</f>
        <v>5218.6500000000005</v>
      </c>
      <c r="Q65" s="184">
        <f>IF(ISERR(VLOOKUP(VALUE(Q$44),'HR DATA'!$A$4:$AA$54,13,0)="TRUE"),0,VLOOKUP(VALUE(Q$44),'HR DATA'!$A$4:$AA$54,13,0))</f>
        <v>2297.2000000000003</v>
      </c>
      <c r="R65" s="184">
        <f>IF(ISERR(VLOOKUP(VALUE(R$44),'HR DATA'!$A$4:$AA$54,13,0)="TRUE"),0,VLOOKUP(VALUE(R$44),'HR DATA'!$A$4:$AA$54,13,0))</f>
        <v>0</v>
      </c>
      <c r="S65" s="184">
        <f>IF(ISERR(VLOOKUP(VALUE(S$44),'HR DATA'!$A$4:$AA$54,13,0)="TRUE"),0,VLOOKUP(VALUE(S$44),'HR DATA'!$A$4:$AA$54,13,0))</f>
        <v>0</v>
      </c>
      <c r="T65" s="184">
        <f>IF(ISERR(VLOOKUP(VALUE(T$44),'HR DATA'!$A$4:$AA$54,13,0)="TRUE"),0,VLOOKUP(VALUE(T$44),'HR DATA'!$A$4:$AA$54,13,0))</f>
        <v>0</v>
      </c>
      <c r="U65" s="184">
        <f>IF(ISERR(VLOOKUP(VALUE(U$44),'HR DATA'!$A$4:$AA$54,13,0)="TRUE"),0,VLOOKUP(VALUE(U$44),'HR DATA'!$A$4:$AA$54,13,0))</f>
        <v>282.09999999999997</v>
      </c>
      <c r="V65" s="184">
        <f>IF(ISERR(VLOOKUP(VALUE(V$44),'HR DATA'!$A$4:$AA$54,13,0)="TRUE"),0,VLOOKUP(VALUE(V$44),'HR DATA'!$A$4:$AA$54,13,0))</f>
        <v>14.609999999999998</v>
      </c>
      <c r="W65" s="184">
        <f>IF(ISERR(VLOOKUP(VALUE(W$44),'HR DATA'!$A$4:$AA$54,13,0)="TRUE"),0,VLOOKUP(VALUE(W$44),'HR DATA'!$A$4:$AA$54,13,0))</f>
        <v>738.34999999999991</v>
      </c>
      <c r="X65" s="184">
        <f>IF(ISERR(VLOOKUP(VALUE(X$44),'HR DATA'!$A$4:$AA$54,13,0)="TRUE"),0,VLOOKUP(VALUE(X$44),'HR DATA'!$A$4:$AA$54,13,0))</f>
        <v>0</v>
      </c>
      <c r="Y65" s="184">
        <f>IF(ISERR(VLOOKUP(VALUE(Y$44),'HR DATA'!$A$4:$AA$54,13,0)="TRUE"),0,VLOOKUP(VALUE(Y$44),'HR DATA'!$A$4:$AA$54,13,0))</f>
        <v>285957.25000000006</v>
      </c>
      <c r="Z65" s="184">
        <f>IF(ISERR(VLOOKUP(VALUE(Z$44),'HR DATA'!$A$4:$AA$54,13,0)="TRUE"),0,VLOOKUP(VALUE(Z$44),'HR DATA'!$A$4:$AA$54,13,0))</f>
        <v>38.15</v>
      </c>
      <c r="AA65" s="184">
        <f>IF(ISERR(VLOOKUP(VALUE(AA$44),'HR DATA'!$A$4:$AA$54,13,0)="TRUE"),0,VLOOKUP(VALUE(AA$44),'HR DATA'!$A$4:$AA$54,13,0))</f>
        <v>0</v>
      </c>
      <c r="AB65" s="184">
        <f>IF(ISERR(VLOOKUP(VALUE(AB$44),'HR DATA'!$A$4:$AA$54,13,0)="TRUE"),0,VLOOKUP(VALUE(AB$44),'HR DATA'!$A$4:$AA$54,13,0))</f>
        <v>1131.79</v>
      </c>
      <c r="AC65" s="184">
        <f>IF(ISERR(VLOOKUP(VALUE(AC$44),'HR DATA'!$A$4:$AA$54,13,0)="TRUE"),0,VLOOKUP(VALUE(AC$44),'HR DATA'!$A$4:$AA$54,13,0))</f>
        <v>4743.9700000000012</v>
      </c>
      <c r="AD65" s="184">
        <f>IF(ISERR(VLOOKUP(VALUE(AD$44),'HR DATA'!$A$4:$AA$54,13,0)="TRUE"),0,VLOOKUP(VALUE(AD$44),'HR DATA'!$A$4:$AA$54,13,0))</f>
        <v>0</v>
      </c>
      <c r="AE65" s="184">
        <f>IF(ISERR(VLOOKUP(VALUE(AE$44),'HR DATA'!$A$4:$AA$54,13,0)="TRUE"),0,VLOOKUP(VALUE(AE$44),'HR DATA'!$A$4:$AA$54,13,0))</f>
        <v>10493.47</v>
      </c>
      <c r="AF65" s="184">
        <f>IF(ISERR(VLOOKUP(VALUE(AF$44),'HR DATA'!$A$4:$AA$54,13,0)="TRUE"),0,VLOOKUP(VALUE(AF$44),'HR DATA'!$A$4:$AA$54,13,0))</f>
        <v>0</v>
      </c>
      <c r="AG65" s="184">
        <f>IF(ISERR(VLOOKUP(VALUE(AG$44),'HR DATA'!$A$4:$AA$54,13,0)="TRUE"),0,VLOOKUP(VALUE(AG$44),'HR DATA'!$A$4:$AA$54,13,0))</f>
        <v>2678.71</v>
      </c>
      <c r="AH65" s="184">
        <f>IF(ISERR(VLOOKUP(VALUE(AH$44),'HR DATA'!$A$4:$AA$54,13,0)="TRUE"),0,VLOOKUP(VALUE(AH$44),'HR DATA'!$A$4:$AA$54,13,0))</f>
        <v>0</v>
      </c>
      <c r="AI65" s="184">
        <f>IF(ISERR(VLOOKUP(VALUE(AI$44),'HR DATA'!$A$4:$AA$54,13,0)="TRUE"),0,VLOOKUP(VALUE(AI$44),'HR DATA'!$A$4:$AA$54,13,0))</f>
        <v>0</v>
      </c>
      <c r="AJ65" s="184">
        <f>IF(ISERR(VLOOKUP(VALUE(AJ$44),'HR DATA'!$A$4:$AA$54,13,0)="TRUE"),0,VLOOKUP(VALUE(AJ$44),'HR DATA'!$A$4:$AA$54,13,0))</f>
        <v>927679.02</v>
      </c>
      <c r="AK65" s="184">
        <f>IF(ISERR(VLOOKUP(VALUE(AK$44),'HR DATA'!$A$4:$AA$54,13,0)="TRUE"),0,VLOOKUP(VALUE(AK$44),'HR DATA'!$A$4:$AA$54,13,0))</f>
        <v>1287.1500000000001</v>
      </c>
      <c r="AL65" s="184">
        <f>IF(ISERR(VLOOKUP(VALUE(AL$44),'HR DATA'!$A$4:$AA$54,13,0)="TRUE"),0,VLOOKUP(VALUE(AL$44),'HR DATA'!$A$4:$AA$54,13,0))</f>
        <v>190.76999999999998</v>
      </c>
      <c r="AM65" s="184">
        <f>IF(ISERR(VLOOKUP(VALUE(AM$44),'HR DATA'!$A$4:$AA$54,13,0)="TRUE"),0,VLOOKUP(VALUE(AM$44),'HR DATA'!$A$4:$AA$54,13,0))</f>
        <v>0</v>
      </c>
      <c r="AN65" s="184">
        <f>IF(ISERR(VLOOKUP(VALUE(AN$44),'HR DATA'!$A$4:$AA$54,13,0)="TRUE"),0,VLOOKUP(VALUE(AN$44),'HR DATA'!$A$4:$AA$54,13,0))</f>
        <v>0</v>
      </c>
      <c r="AO65" s="184">
        <f>IF(ISERR(VLOOKUP(VALUE(AO$44),'HR DATA'!$A$4:$AA$54,13,0)="TRUE"),0,VLOOKUP(VALUE(AO$44),'HR DATA'!$A$4:$AA$54,13,0))</f>
        <v>0</v>
      </c>
      <c r="AP65" s="184">
        <f>IF(ISERR(VLOOKUP(VALUE(AP$44),'HR DATA'!$A$4:$AA$54,13,0)="TRUE"),0,VLOOKUP(VALUE(AP$44),'HR DATA'!$A$4:$AA$54,13,0))</f>
        <v>109356.51000000001</v>
      </c>
      <c r="AQ65" s="184">
        <f>IF(ISERR(VLOOKUP(VALUE(AQ$44),'HR DATA'!$A$4:$AA$54,13,0)="TRUE"),0,VLOOKUP(VALUE(AQ$44),'HR DATA'!$A$4:$AA$54,13,0))</f>
        <v>0</v>
      </c>
      <c r="AR65" s="184">
        <f>IF(ISERR(VLOOKUP(VALUE(AR$44),'HR DATA'!$A$4:$AA$54,13,0)="TRUE"),0,VLOOKUP(VALUE(AR$44),'HR DATA'!$A$4:$AA$54,13,0))</f>
        <v>0</v>
      </c>
      <c r="AS65" s="184">
        <f>IF(ISERR(VLOOKUP(VALUE(AS$44),'HR DATA'!$A$4:$AA$54,13,0)="TRUE"),0,VLOOKUP(VALUE(AS$44),'HR DATA'!$A$4:$AA$54,13,0))</f>
        <v>0</v>
      </c>
      <c r="AT65" s="184">
        <f>IF(ISERR(VLOOKUP(VALUE(AT$44),'HR DATA'!$A$4:$AA$54,13,0)="TRUE"),0,VLOOKUP(VALUE(AT$44),'HR DATA'!$A$4:$AA$54,13,0))</f>
        <v>0</v>
      </c>
      <c r="AU65" s="184">
        <f>IF(ISERR(VLOOKUP(VALUE(AU$44),'HR DATA'!$A$4:$AA$54,13,0)="TRUE"),0,VLOOKUP(VALUE(AU$44),'HR DATA'!$A$4:$AA$54,13,0))</f>
        <v>0</v>
      </c>
      <c r="AV65" s="184">
        <f>IF(ISERR(VLOOKUP(VALUE(AV$44),'HR DATA'!$A$4:$AA$54,13,0)="TRUE"),0,VLOOKUP(VALUE(AV$44),'HR DATA'!$A$4:$AA$54,13,0))</f>
        <v>166.47</v>
      </c>
      <c r="AW65" s="184">
        <f>IF(ISERR(VLOOKUP(VALUE(AW$44),'HR DATA'!$A$4:$AA$54,13,0)="TRUE"),0,VLOOKUP(VALUE(AW$44),'HR DATA'!$A$4:$AA$54,13,0))</f>
        <v>0</v>
      </c>
      <c r="AX65" s="184">
        <f>IF(ISERR(VLOOKUP(VALUE(AX$44),'HR DATA'!$A$4:$AA$54,13,0)="TRUE"),0,VLOOKUP(VALUE(AX$44),'HR DATA'!$A$4:$AA$54,13,0))</f>
        <v>0</v>
      </c>
      <c r="AY65" s="184">
        <f>IF(ISERR(VLOOKUP(VALUE(AY$44),'HR DATA'!$A$4:$AA$54,13,0)="TRUE"),0,VLOOKUP(VALUE(AY$44),'HR DATA'!$A$4:$AA$54,13,0))</f>
        <v>1472.8300000000002</v>
      </c>
      <c r="AZ65" s="184">
        <f>IF(ISERR(VLOOKUP(VALUE(AZ$44),'HR DATA'!$A$4:$AA$54,13,0)="TRUE"),0,VLOOKUP(VALUE(AZ$44),'HR DATA'!$A$4:$AA$54,13,0))</f>
        <v>0</v>
      </c>
      <c r="BA65" s="184">
        <f>IF(ISERR(VLOOKUP(VALUE(BA$44),'HR DATA'!$A$4:$AA$54,13,0)="TRUE"),0,VLOOKUP(VALUE(BA$44),'HR DATA'!$A$4:$AA$54,13,0))</f>
        <v>0</v>
      </c>
      <c r="BB65" s="184">
        <f>IF(ISERR(VLOOKUP(VALUE(BB$44),'HR DATA'!$A$4:$AA$54,13,0)="TRUE"),0,VLOOKUP(VALUE(BB$44),'HR DATA'!$A$4:$AA$54,13,0))</f>
        <v>0</v>
      </c>
      <c r="BC65" s="184">
        <f>IF(ISERR(VLOOKUP(VALUE(BC$44),'HR DATA'!$A$4:$AA$54,13,0)="TRUE"),0,VLOOKUP(VALUE(BC$44),'HR DATA'!$A$4:$AA$54,13,0))</f>
        <v>2765.12</v>
      </c>
      <c r="BD65" s="184">
        <f>IF(ISERR(VLOOKUP(VALUE(BD$44),'HR DATA'!$A$4:$AA$54,13,0)="TRUE"),0,VLOOKUP(VALUE(BD$44),'HR DATA'!$A$4:$AA$54,13,0))</f>
        <v>0</v>
      </c>
      <c r="BE65" s="184">
        <f>IF(ISERR(VLOOKUP(VALUE(BE$44),'HR DATA'!$A$4:$AA$54,13,0)="TRUE"),0,VLOOKUP(VALUE(BE$44),'HR DATA'!$A$4:$AA$54,13,0))</f>
        <v>2677995.4500000002</v>
      </c>
      <c r="BF65" s="184">
        <f>IF(ISERR(VLOOKUP(VALUE(BF$44),'HR DATA'!$A$4:$AA$54,13,0)="TRUE"),0,VLOOKUP(VALUE(BF$44),'HR DATA'!$A$4:$AA$54,13,0))</f>
        <v>5961.29</v>
      </c>
      <c r="BG65" s="184">
        <f>IF(ISERR(VLOOKUP(VALUE(BG$44),'HR DATA'!$A$4:$AA$54,13,0)="TRUE"),0,VLOOKUP(VALUE(BG$44),'HR DATA'!$A$4:$AA$54,13,0))</f>
        <v>265636.55</v>
      </c>
      <c r="BH65" s="184">
        <f>IF(ISERR(VLOOKUP(VALUE(BH$44),'HR DATA'!$A$4:$AA$54,13,0)="TRUE"),0,VLOOKUP(VALUE(BH$44),'HR DATA'!$A$4:$AA$54,13,0))</f>
        <v>0</v>
      </c>
      <c r="BI65" s="184">
        <f>IF(ISERR(VLOOKUP(VALUE(BI$44),'HR DATA'!$A$4:$AA$54,13,0)="TRUE"),0,VLOOKUP(VALUE(BI$44),'HR DATA'!$A$4:$AA$54,13,0))</f>
        <v>0</v>
      </c>
      <c r="BJ65" s="184">
        <f>IF(ISERR(VLOOKUP(VALUE(BJ$44),'HR DATA'!$A$4:$AA$54,13,0)="TRUE"),0,VLOOKUP(VALUE(BJ$44),'HR DATA'!$A$4:$AA$54,13,0))</f>
        <v>0</v>
      </c>
      <c r="BK65" s="184">
        <f>IF(ISERR(VLOOKUP(VALUE(BK$44),'HR DATA'!$A$4:$AA$54,13,0)="TRUE"),0,VLOOKUP(VALUE(BK$44),'HR DATA'!$A$4:$AA$54,13,0))</f>
        <v>0</v>
      </c>
      <c r="BL65" s="184">
        <f>IF(ISERR(VLOOKUP(VALUE(BL$44),'HR DATA'!$A$4:$AA$54,13,0)="TRUE"),0,VLOOKUP(VALUE(BL$44),'HR DATA'!$A$4:$AA$54,13,0))</f>
        <v>154.88999999999999</v>
      </c>
      <c r="BM65" s="184">
        <f>IF(ISERR(VLOOKUP(VALUE(BM$44),'HR DATA'!$A$4:$AA$54,13,0)="TRUE"),0,VLOOKUP(VALUE(BM$44),'HR DATA'!$A$4:$AA$54,13,0))</f>
        <v>0</v>
      </c>
      <c r="BN65" s="184">
        <f>IF(ISERR(VLOOKUP(VALUE(BN$44),'HR DATA'!$A$4:$AA$54,13,0)="TRUE"),0,VLOOKUP(VALUE(BN$44),'HR DATA'!$A$4:$AA$54,13,0))</f>
        <v>40299.380000000005</v>
      </c>
      <c r="BO65" s="184">
        <f>IF(ISERR(VLOOKUP(VALUE(BO$44),'HR DATA'!$A$4:$AA$54,13,0)="TRUE"),0,VLOOKUP(VALUE(BO$44),'HR DATA'!$A$4:$AA$54,13,0))</f>
        <v>0</v>
      </c>
      <c r="BP65" s="184">
        <f>IF(ISERR(VLOOKUP(VALUE(BP$44),'HR DATA'!$A$4:$AA$54,13,0)="TRUE"),0,VLOOKUP(VALUE(BP$44),'HR DATA'!$A$4:$AA$54,13,0))</f>
        <v>0</v>
      </c>
      <c r="BQ65" s="184">
        <f>IF(ISERR(VLOOKUP(VALUE(BQ$44),'HR DATA'!$A$4:$AA$54,13,0)="TRUE"),0,VLOOKUP(VALUE(BQ$44),'HR DATA'!$A$4:$AA$54,13,0))</f>
        <v>0</v>
      </c>
      <c r="BR65" s="184">
        <f>IF(ISERR(VLOOKUP(VALUE(BR$44),'HR DATA'!$A$4:$AA$54,13,0)="TRUE"),0,VLOOKUP(VALUE(BR$44),'HR DATA'!$A$4:$AA$54,13,0))</f>
        <v>0</v>
      </c>
      <c r="BS65" s="184">
        <f>IF(ISERR(VLOOKUP(VALUE(BS$44),'HR DATA'!$A$4:$AA$54,13,0)="TRUE"),0,VLOOKUP(VALUE(BS$44),'HR DATA'!$A$4:$AA$54,13,0))</f>
        <v>0</v>
      </c>
      <c r="BT65" s="184">
        <f>IF(ISERR(VLOOKUP(VALUE(BT$44),'HR DATA'!$A$4:$AA$54,13,0)="TRUE"),0,VLOOKUP(VALUE(BT$44),'HR DATA'!$A$4:$AA$54,13,0))</f>
        <v>0</v>
      </c>
      <c r="BU65" s="184">
        <f>IF(ISERR(VLOOKUP(VALUE(BU$44),'HR DATA'!$A$4:$AA$54,13,0)="TRUE"),0,VLOOKUP(VALUE(BU$44),'HR DATA'!$A$4:$AA$54,13,0))</f>
        <v>0</v>
      </c>
      <c r="BV65" s="184">
        <f>IF(ISERR(VLOOKUP(VALUE(BV$44),'HR DATA'!$A$4:$AA$54,13,0)="TRUE"),0,VLOOKUP(VALUE(BV$44),'HR DATA'!$A$4:$AA$54,13,0))</f>
        <v>0</v>
      </c>
      <c r="BW65" s="184">
        <f>IF(ISERR(VLOOKUP(VALUE(BW$44),'HR DATA'!$A$4:$AA$54,13,0)="TRUE"),0,VLOOKUP(VALUE(BW$44),'HR DATA'!$A$4:$AA$54,13,0))</f>
        <v>0</v>
      </c>
      <c r="BX65" s="184">
        <f>IF(ISERR(VLOOKUP(VALUE(BX$44),'HR DATA'!$A$4:$AA$54,13,0)="TRUE"),0,VLOOKUP(VALUE(BX$44),'HR DATA'!$A$4:$AA$54,13,0))</f>
        <v>0</v>
      </c>
      <c r="BY65" s="184">
        <f>IF(ISERR(VLOOKUP(VALUE(BY$44),'HR DATA'!$A$4:$AA$54,13,0)="TRUE"),0,VLOOKUP(VALUE(BY$44),'HR DATA'!$A$4:$AA$54,13,0))</f>
        <v>2515.9400000000005</v>
      </c>
      <c r="BZ65" s="184">
        <f>IF(ISERR(VLOOKUP(VALUE(BZ$44),'HR DATA'!$A$4:$AA$54,13,0)="TRUE"),0,VLOOKUP(VALUE(BZ$44),'HR DATA'!$A$4:$AA$54,13,0))</f>
        <v>41</v>
      </c>
      <c r="CA65" s="184">
        <f>IF(ISERR(VLOOKUP(VALUE(CA$44),'HR DATA'!$A$4:$AA$54,13,0)="TRUE"),0,VLOOKUP(VALUE(CA$44),'HR DATA'!$A$4:$AA$54,13,0))</f>
        <v>0</v>
      </c>
      <c r="CB65" s="184">
        <f>IF(ISERR(VLOOKUP(VALUE(CB$44),'HR DATA'!$A$4:$AA$54,13,0)="TRUE"),0,VLOOKUP(VALUE(CB$44),'HR DATA'!$A$4:$AA$54,13,0))</f>
        <v>0</v>
      </c>
      <c r="CC65" s="184">
        <f>IF(ISERR(VLOOKUP(VALUE(CC$44),'HR DATA'!$A$4:$AA$54,13,0)="TRUE"),0,VLOOKUP(VALUE(CC$44),'HR DATA'!$A$4:$AA$54,13,0))+12652.24</f>
        <v>12652.24</v>
      </c>
      <c r="CD65" s="244" t="s">
        <v>221</v>
      </c>
      <c r="CE65" s="193">
        <f t="shared" si="0"/>
        <v>4387848.1300000008</v>
      </c>
      <c r="CF65" s="247"/>
    </row>
    <row r="66" spans="1:84" ht="12.6" customHeight="1" x14ac:dyDescent="0.2">
      <c r="A66" s="171" t="s">
        <v>239</v>
      </c>
      <c r="B66" s="175"/>
      <c r="C66" s="184">
        <f>IF(ISERR(VLOOKUP(VALUE(C$44),'HR DATA'!$A$4:$AA$56,11,0)="TRUE"),0,VLOOKUP(VALUE(C$44),'HR DATA'!$A$4:$AA$56,11,0))</f>
        <v>91372.160000000003</v>
      </c>
      <c r="D66" s="184">
        <f>IF(ISERR(VLOOKUP(VALUE(D$44),'HR DATA'!$A$4:$AA$56,11,0)="TRUE"),0,VLOOKUP(VALUE(D$44),'HR DATA'!$A$4:$AA$56,11,0))</f>
        <v>0</v>
      </c>
      <c r="E66" s="184">
        <f>IF(ISERR(VLOOKUP(VALUE(E$44),'HR DATA'!$A$4:$AA$56,11,0)="TRUE"),0,VLOOKUP(VALUE(E$44),'HR DATA'!$A$4:$AA$56,11,0))</f>
        <v>578023.65</v>
      </c>
      <c r="F66" s="184">
        <f>IF(ISERR(VLOOKUP(VALUE(F$44),'HR DATA'!$A$4:$AA$56,11,0)="TRUE"),0,VLOOKUP(VALUE(F$44),'HR DATA'!$A$4:$AA$56,11,0))</f>
        <v>0</v>
      </c>
      <c r="G66" s="184">
        <f>IF(ISERR(VLOOKUP(VALUE(G$44),'HR DATA'!$A$4:$AA$56,11,0)="TRUE"),0,VLOOKUP(VALUE(G$44),'HR DATA'!$A$4:$AA$56,11,0))</f>
        <v>0</v>
      </c>
      <c r="H66" s="184">
        <f>IF(ISERR(VLOOKUP(VALUE(H$44),'HR DATA'!$A$4:$AA$56,11,0)="TRUE"),0,VLOOKUP(VALUE(H$44),'HR DATA'!$A$4:$AA$56,11,0))</f>
        <v>0</v>
      </c>
      <c r="I66" s="184">
        <f>IF(ISERR(VLOOKUP(VALUE(I$44),'HR DATA'!$A$4:$AA$56,11,0)="TRUE"),0,VLOOKUP(VALUE(I$44),'HR DATA'!$A$4:$AA$56,11,0))</f>
        <v>0</v>
      </c>
      <c r="J66" s="184">
        <f>IF(ISERR(VLOOKUP(VALUE(J$44),'HR DATA'!$A$4:$AA$56,11,0)="TRUE"),0,VLOOKUP(VALUE(J$44),'HR DATA'!$A$4:$AA$56,11,0))</f>
        <v>0</v>
      </c>
      <c r="K66" s="184">
        <f>IF(ISERR(VLOOKUP(VALUE(K$44),'HR DATA'!$A$4:$AA$56,11,0)="TRUE"),0,VLOOKUP(VALUE(K$44),'HR DATA'!$A$4:$AA$56,11,0))</f>
        <v>0</v>
      </c>
      <c r="L66" s="184">
        <f>IF(ISERR(VLOOKUP(VALUE(L$44),'HR DATA'!$A$4:$AA$56,11,0)="TRUE"),0,VLOOKUP(VALUE(L$44),'HR DATA'!$A$4:$AA$56,11,0))</f>
        <v>0</v>
      </c>
      <c r="M66" s="184">
        <f>IF(ISERR(VLOOKUP(VALUE(M$44),'HR DATA'!$A$4:$AA$56,11,0)="TRUE"),0,VLOOKUP(VALUE(M$44),'HR DATA'!$A$4:$AA$56,11,0))</f>
        <v>0</v>
      </c>
      <c r="N66" s="184">
        <f>IF(ISERR(VLOOKUP(VALUE(N$44),'HR DATA'!$A$4:$AA$56,11,0)="TRUE"),0,VLOOKUP(VALUE(N$44),'HR DATA'!$A$4:$AA$56,11,0))</f>
        <v>0</v>
      </c>
      <c r="O66" s="184">
        <f>IF(ISERR(VLOOKUP(VALUE(O$44),'HR DATA'!$A$4:$AA$56,11,0)="TRUE"),0,VLOOKUP(VALUE(O$44),'HR DATA'!$A$4:$AA$56,11,0))</f>
        <v>1206914.98</v>
      </c>
      <c r="P66" s="184">
        <f>IF(ISERR(VLOOKUP(VALUE(P$44),'HR DATA'!$A$4:$AA$56,11,0)="TRUE"),0,VLOOKUP(VALUE(P$44),'HR DATA'!$A$4:$AA$56,11,0))</f>
        <v>2291437.27</v>
      </c>
      <c r="Q66" s="184">
        <f>IF(ISERR(VLOOKUP(VALUE(Q$44),'HR DATA'!$A$4:$AA$56,11,0)="TRUE"),0,VLOOKUP(VALUE(Q$44),'HR DATA'!$A$4:$AA$56,11,0))</f>
        <v>21984.98</v>
      </c>
      <c r="R66" s="184">
        <f>IF(ISERR(VLOOKUP(VALUE(R$44),'HR DATA'!$A$4:$AA$56,11,0)="TRUE"),0,VLOOKUP(VALUE(R$44),'HR DATA'!$A$4:$AA$56,11,0))</f>
        <v>377316.61</v>
      </c>
      <c r="S66" s="184">
        <f>IF(ISERR(VLOOKUP(VALUE(S$44),'HR DATA'!$A$4:$AA$56,11,0)="TRUE"),0,VLOOKUP(VALUE(S$44),'HR DATA'!$A$4:$AA$56,11,0))</f>
        <v>139095.57432500002</v>
      </c>
      <c r="T66" s="184">
        <f>IF(ISERR(VLOOKUP(VALUE(T$44),'HR DATA'!$A$4:$AA$56,11,0)="TRUE"),0,VLOOKUP(VALUE(T$44),'HR DATA'!$A$4:$AA$56,11,0))</f>
        <v>0</v>
      </c>
      <c r="U66" s="184">
        <f>IF(ISERR(VLOOKUP(VALUE(U$44),'HR DATA'!$A$4:$AA$56,11,0)="TRUE"),0,VLOOKUP(VALUE(U$44),'HR DATA'!$A$4:$AA$56,11,0))</f>
        <v>4434904.78</v>
      </c>
      <c r="V66" s="184">
        <f>IF(ISERR(VLOOKUP(VALUE(V$44),'HR DATA'!$A$4:$AA$56,11,0)="TRUE"),0,VLOOKUP(VALUE(V$44),'HR DATA'!$A$4:$AA$56,11,0))</f>
        <v>198714.27</v>
      </c>
      <c r="W66" s="184">
        <f>IF(ISERR(VLOOKUP(VALUE(W$44),'HR DATA'!$A$4:$AA$56,11,0)="TRUE"),0,VLOOKUP(VALUE(W$44),'HR DATA'!$A$4:$AA$56,11,0))</f>
        <v>58929.790000000008</v>
      </c>
      <c r="X66" s="184">
        <f>IF(ISERR(VLOOKUP(VALUE(X$44),'HR DATA'!$A$4:$AA$56,11,0)="TRUE"),0,VLOOKUP(VALUE(X$44),'HR DATA'!$A$4:$AA$56,11,0))</f>
        <v>0</v>
      </c>
      <c r="Y66" s="184">
        <f>IF(ISERR(VLOOKUP(VALUE(Y$44),'HR DATA'!$A$4:$AA$56,11,0)="TRUE"),0,VLOOKUP(VALUE(Y$44),'HR DATA'!$A$4:$AA$56,11,0))</f>
        <v>3914129.8699999982</v>
      </c>
      <c r="Z66" s="184">
        <f>IF(ISERR(VLOOKUP(VALUE(Z$44),'HR DATA'!$A$4:$AA$56,11,0)="TRUE"),0,VLOOKUP(VALUE(Z$44),'HR DATA'!$A$4:$AA$56,11,0))</f>
        <v>1612777.7299999997</v>
      </c>
      <c r="AA66" s="184">
        <f>IF(ISERR(VLOOKUP(VALUE(AA$44),'HR DATA'!$A$4:$AA$56,11,0)="TRUE"),0,VLOOKUP(VALUE(AA$44),'HR DATA'!$A$4:$AA$56,11,0))</f>
        <v>75312.489999999991</v>
      </c>
      <c r="AB66" s="184">
        <f>IF(ISERR(VLOOKUP(VALUE(AB$44),'HR DATA'!$A$4:$AA$56,11,0)="TRUE"),0,VLOOKUP(VALUE(AB$44),'HR DATA'!$A$4:$AA$56,11,0))</f>
        <v>548590.28999999992</v>
      </c>
      <c r="AC66" s="184">
        <f>IF(ISERR(VLOOKUP(VALUE(AC$44),'HR DATA'!$A$4:$AA$56,11,0)="TRUE"),0,VLOOKUP(VALUE(AC$44),'HR DATA'!$A$4:$AA$56,11,0))</f>
        <v>124249.65</v>
      </c>
      <c r="AD66" s="184">
        <f>IF(ISERR(VLOOKUP(VALUE(AD$44),'HR DATA'!$A$4:$AA$56,11,0)="TRUE"),0,VLOOKUP(VALUE(AD$44),'HR DATA'!$A$4:$AA$56,11,0))</f>
        <v>1058412.8700000001</v>
      </c>
      <c r="AE66" s="184">
        <f>IF(ISERR(VLOOKUP(VALUE(AE$44),'HR DATA'!$A$4:$AA$56,11,0)="TRUE"),0,VLOOKUP(VALUE(AE$44),'HR DATA'!$A$4:$AA$56,11,0))</f>
        <v>446733.97</v>
      </c>
      <c r="AF66" s="184">
        <f>IF(ISERR(VLOOKUP(VALUE(AF$44),'HR DATA'!$A$4:$AA$56,11,0)="TRUE"),0,VLOOKUP(VALUE(AF$44),'HR DATA'!$A$4:$AA$56,11,0))</f>
        <v>0</v>
      </c>
      <c r="AG66" s="184">
        <f>IF(ISERR(VLOOKUP(VALUE(AG$44),'HR DATA'!$A$4:$AA$56,11,0)="TRUE"),0,VLOOKUP(VALUE(AG$44),'HR DATA'!$A$4:$AA$56,11,0))</f>
        <v>403209.9361689408</v>
      </c>
      <c r="AH66" s="184">
        <f>IF(ISERR(VLOOKUP(VALUE(AH$44),'HR DATA'!$A$4:$AA$56,11,0)="TRUE"),0,VLOOKUP(VALUE(AH$44),'HR DATA'!$A$4:$AA$56,11,0))</f>
        <v>0</v>
      </c>
      <c r="AI66" s="184">
        <f>IF(ISERR(VLOOKUP(VALUE(AI$44),'HR DATA'!$A$4:$AA$56,11,0)="TRUE"),0,VLOOKUP(VALUE(AI$44),'HR DATA'!$A$4:$AA$56,11,0))</f>
        <v>0</v>
      </c>
      <c r="AJ66" s="184">
        <f>IF(ISERR(VLOOKUP(VALUE(AJ$44),'HR DATA'!$A$4:$AA$56,11,0)="TRUE"),0,VLOOKUP(VALUE(AJ$44),'HR DATA'!$A$4:$AA$56,11,0))</f>
        <v>44736728.960000001</v>
      </c>
      <c r="AK66" s="184">
        <f>IF(ISERR(VLOOKUP(VALUE(AK$44),'HR DATA'!$A$4:$AA$56,11,0)="TRUE"),0,VLOOKUP(VALUE(AK$44),'HR DATA'!$A$4:$AA$56,11,0))</f>
        <v>111474.82</v>
      </c>
      <c r="AL66" s="184">
        <f>IF(ISERR(VLOOKUP(VALUE(AL$44),'HR DATA'!$A$4:$AA$56,11,0)="TRUE"),0,VLOOKUP(VALUE(AL$44),'HR DATA'!$A$4:$AA$56,11,0))</f>
        <v>69728.600000000006</v>
      </c>
      <c r="AM66" s="184">
        <f>IF(ISERR(VLOOKUP(VALUE(AM$44),'HR DATA'!$A$4:$AA$56,11,0)="TRUE"),0,VLOOKUP(VALUE(AM$44),'HR DATA'!$A$4:$AA$56,11,0))</f>
        <v>0</v>
      </c>
      <c r="AN66" s="184">
        <f>IF(ISERR(VLOOKUP(VALUE(AN$44),'HR DATA'!$A$4:$AA$56,11,0)="TRUE"),0,VLOOKUP(VALUE(AN$44),'HR DATA'!$A$4:$AA$56,11,0))</f>
        <v>0</v>
      </c>
      <c r="AO66" s="184">
        <f>IF(ISERR(VLOOKUP(VALUE(AO$44),'HR DATA'!$A$4:$AA$56,11,0)="TRUE"),0,VLOOKUP(VALUE(AO$44),'HR DATA'!$A$4:$AA$56,11,0))</f>
        <v>0</v>
      </c>
      <c r="AP66" s="184">
        <f>IF(ISERR(VLOOKUP(VALUE(AP$44),'HR DATA'!$A$4:$AA$56,11,0)="TRUE"),0,VLOOKUP(VALUE(AP$44),'HR DATA'!$A$4:$AA$56,11,0))</f>
        <v>1640659.1499999997</v>
      </c>
      <c r="AQ66" s="184">
        <f>IF(ISERR(VLOOKUP(VALUE(AQ$44),'HR DATA'!$A$4:$AA$56,11,0)="TRUE"),0,VLOOKUP(VALUE(AQ$44),'HR DATA'!$A$4:$AA$56,11,0))</f>
        <v>0</v>
      </c>
      <c r="AR66" s="184">
        <f>IF(ISERR(VLOOKUP(VALUE(AR$44),'HR DATA'!$A$4:$AA$56,11,0)="TRUE"),0,VLOOKUP(VALUE(AR$44),'HR DATA'!$A$4:$AA$56,11,0))</f>
        <v>129810.49500000002</v>
      </c>
      <c r="AS66" s="184">
        <f>IF(ISERR(VLOOKUP(VALUE(AS$44),'HR DATA'!$A$4:$AA$56,11,0)="TRUE"),0,VLOOKUP(VALUE(AS$44),'HR DATA'!$A$4:$AA$56,11,0))</f>
        <v>0</v>
      </c>
      <c r="AT66" s="184">
        <f>IF(ISERR(VLOOKUP(VALUE(AT$44),'HR DATA'!$A$4:$AA$56,11,0)="TRUE"),0,VLOOKUP(VALUE(AT$44),'HR DATA'!$A$4:$AA$56,11,0))</f>
        <v>0</v>
      </c>
      <c r="AU66" s="184">
        <f>IF(ISERR(VLOOKUP(VALUE(AU$44),'HR DATA'!$A$4:$AA$56,11,0)="TRUE"),0,VLOOKUP(VALUE(AU$44),'HR DATA'!$A$4:$AA$56,11,0))</f>
        <v>0</v>
      </c>
      <c r="AV66" s="184">
        <f>IF(ISERR(VLOOKUP(VALUE(AV$44),'HR DATA'!$A$4:$AA$56,11,0)="TRUE"),0,VLOOKUP(VALUE(AV$44),'HR DATA'!$A$4:$AA$56,11,0))</f>
        <v>98322.16</v>
      </c>
      <c r="AW66" s="184">
        <f>IF(ISERR(VLOOKUP(VALUE(AW$44),'HR DATA'!$A$4:$AA$56,11,0)="TRUE"),0,VLOOKUP(VALUE(AW$44),'HR DATA'!$A$4:$AA$56,11,0))</f>
        <v>0</v>
      </c>
      <c r="AX66" s="184">
        <f>IF(ISERR(VLOOKUP(VALUE(AX$44),'HR DATA'!$A$4:$AA$56,11,0)="TRUE"),0,VLOOKUP(VALUE(AX$44),'HR DATA'!$A$4:$AA$56,11,0))</f>
        <v>0</v>
      </c>
      <c r="AY66" s="184">
        <f>IF(ISERR(VLOOKUP(VALUE(AY$44),'HR DATA'!$A$4:$AA$56,11,0)="TRUE"),0,VLOOKUP(VALUE(AY$44),'HR DATA'!$A$4:$AA$56,11,0))</f>
        <v>1137446.0000000002</v>
      </c>
      <c r="AZ66" s="184">
        <f>IF(ISERR(VLOOKUP(VALUE(AZ$44),'HR DATA'!$A$4:$AA$56,11,0)="TRUE"),0,VLOOKUP(VALUE(AZ$44),'HR DATA'!$A$4:$AA$56,11,0))</f>
        <v>0</v>
      </c>
      <c r="BA66" s="184">
        <f>IF(ISERR(VLOOKUP(VALUE(BA$44),'HR DATA'!$A$4:$AA$56,11,0)="TRUE"),0,VLOOKUP(VALUE(BA$44),'HR DATA'!$A$4:$AA$56,11,0))</f>
        <v>9840.6500000000015</v>
      </c>
      <c r="BB66" s="184">
        <f>IF(ISERR(VLOOKUP(VALUE(BB$44),'HR DATA'!$A$4:$AA$56,11,0)="TRUE"),0,VLOOKUP(VALUE(BB$44),'HR DATA'!$A$4:$AA$56,11,0))</f>
        <v>0</v>
      </c>
      <c r="BC66" s="184">
        <f>IF(ISERR(VLOOKUP(VALUE(BC$44),'HR DATA'!$A$4:$AA$56,11,0)="TRUE"),0,VLOOKUP(VALUE(BC$44),'HR DATA'!$A$4:$AA$56,11,0))</f>
        <v>286856.44</v>
      </c>
      <c r="BD66" s="184">
        <f>IF(ISERR(VLOOKUP(VALUE(BD$44),'HR DATA'!$A$4:$AA$56,11,0)="TRUE"),0,VLOOKUP(VALUE(BD$44),'HR DATA'!$A$4:$AA$56,11,0))</f>
        <v>0</v>
      </c>
      <c r="BE66" s="184">
        <f>IF(ISERR(VLOOKUP(VALUE(BE$44),'HR DATA'!$A$4:$AA$56,11,0)="TRUE"),0,VLOOKUP(VALUE(BE$44),'HR DATA'!$A$4:$AA$56,11,0))</f>
        <v>9143802.8919999991</v>
      </c>
      <c r="BF66" s="184">
        <f>IF(ISERR(VLOOKUP(VALUE(BF$44),'HR DATA'!$A$4:$AA$56,11,0)="TRUE"),0,VLOOKUP(VALUE(BF$44),'HR DATA'!$A$4:$AA$56,11,0))</f>
        <v>124130.56000000001</v>
      </c>
      <c r="BG66" s="184">
        <f>IF(ISERR(VLOOKUP(VALUE(BG$44),'HR DATA'!$A$4:$AA$56,11,0)="TRUE"),0,VLOOKUP(VALUE(BG$44),'HR DATA'!$A$4:$AA$56,11,0))</f>
        <v>0</v>
      </c>
      <c r="BH66" s="184">
        <f>IF(ISERR(VLOOKUP(VALUE(BH$44),'HR DATA'!$A$4:$AA$56,11,0)="TRUE"),0,VLOOKUP(VALUE(BH$44),'HR DATA'!$A$4:$AA$56,11,0))</f>
        <v>0</v>
      </c>
      <c r="BI66" s="184">
        <f>IF(ISERR(VLOOKUP(VALUE(BI$44),'HR DATA'!$A$4:$AA$56,11,0)="TRUE"),0,VLOOKUP(VALUE(BI$44),'HR DATA'!$A$4:$AA$56,11,0))</f>
        <v>1460.2</v>
      </c>
      <c r="BJ66" s="184">
        <f>IF(ISERR(VLOOKUP(VALUE(BJ$44),'HR DATA'!$A$4:$AA$56,11,0)="TRUE"),0,VLOOKUP(VALUE(BJ$44),'HR DATA'!$A$4:$AA$56,11,0))</f>
        <v>0</v>
      </c>
      <c r="BK66" s="184">
        <f>IF(ISERR(VLOOKUP(VALUE(BK$44),'HR DATA'!$A$4:$AA$56,11,0)="TRUE"),0,VLOOKUP(VALUE(BK$44),'HR DATA'!$A$4:$AA$56,11,0))</f>
        <v>7982201.4377212506</v>
      </c>
      <c r="BL66" s="184">
        <f>IF(ISERR(VLOOKUP(VALUE(BL$44),'HR DATA'!$A$4:$AA$56,11,0)="TRUE"),0,VLOOKUP(VALUE(BL$44),'HR DATA'!$A$4:$AA$56,11,0))</f>
        <v>3833278.9687513174</v>
      </c>
      <c r="BM66" s="184">
        <f>IF(ISERR(VLOOKUP(VALUE(BM$44),'HR DATA'!$A$4:$AA$56,11,0)="TRUE"),0,VLOOKUP(VALUE(BM$44),'HR DATA'!$A$4:$AA$56,11,0))</f>
        <v>0</v>
      </c>
      <c r="BN66" s="184">
        <f>IF(ISERR(VLOOKUP(VALUE(BN$44),'HR DATA'!$A$4:$AA$56,11,0)="TRUE"),0,VLOOKUP(VALUE(BN$44),'HR DATA'!$A$4:$AA$56,11,0))</f>
        <v>611713.21818249999</v>
      </c>
      <c r="BO66" s="184">
        <f>IF(ISERR(VLOOKUP(VALUE(BO$44),'HR DATA'!$A$4:$AA$56,11,0)="TRUE"),0,VLOOKUP(VALUE(BO$44),'HR DATA'!$A$4:$AA$56,11,0))</f>
        <v>0</v>
      </c>
      <c r="BP66" s="184">
        <f>IF(ISERR(VLOOKUP(VALUE(BP$44),'HR DATA'!$A$4:$AA$56,11,0)="TRUE"),0,VLOOKUP(VALUE(BP$44),'HR DATA'!$A$4:$AA$56,11,0))</f>
        <v>0</v>
      </c>
      <c r="BQ66" s="184">
        <f>IF(ISERR(VLOOKUP(VALUE(BQ$44),'HR DATA'!$A$4:$AA$56,11,0)="TRUE"),0,VLOOKUP(VALUE(BQ$44),'HR DATA'!$A$4:$AA$56,11,0))</f>
        <v>0</v>
      </c>
      <c r="BR66" s="184">
        <f>IF(ISERR(VLOOKUP(VALUE(BR$44),'HR DATA'!$A$4:$AA$56,11,0)="TRUE"),0,VLOOKUP(VALUE(BR$44),'HR DATA'!$A$4:$AA$56,11,0))</f>
        <v>0</v>
      </c>
      <c r="BS66" s="184">
        <f>IF(ISERR(VLOOKUP(VALUE(BS$44),'HR DATA'!$A$4:$AA$56,11,0)="TRUE"),0,VLOOKUP(VALUE(BS$44),'HR DATA'!$A$4:$AA$56,11,0))</f>
        <v>0</v>
      </c>
      <c r="BT66" s="184">
        <f>IF(ISERR(VLOOKUP(VALUE(BT$44),'HR DATA'!$A$4:$AA$56,11,0)="TRUE"),0,VLOOKUP(VALUE(BT$44),'HR DATA'!$A$4:$AA$56,11,0))</f>
        <v>0</v>
      </c>
      <c r="BU66" s="184">
        <f>IF(ISERR(VLOOKUP(VALUE(BU$44),'HR DATA'!$A$4:$AA$56,11,0)="TRUE"),0,VLOOKUP(VALUE(BU$44),'HR DATA'!$A$4:$AA$56,11,0))</f>
        <v>0</v>
      </c>
      <c r="BV66" s="184">
        <f>IF(ISERR(VLOOKUP(VALUE(BV$44),'HR DATA'!$A$4:$AA$56,11,0)="TRUE"),0,VLOOKUP(VALUE(BV$44),'HR DATA'!$A$4:$AA$56,11,0))</f>
        <v>5151917.5093459487</v>
      </c>
      <c r="BW66" s="184">
        <f>IF(ISERR(VLOOKUP(VALUE(BW$44),'HR DATA'!$A$4:$AA$56,11,0)="TRUE"),0,VLOOKUP(VALUE(BW$44),'HR DATA'!$A$4:$AA$56,11,0))</f>
        <v>242626.12380825001</v>
      </c>
      <c r="BX66" s="184">
        <f>IF(ISERR(VLOOKUP(VALUE(BX$44),'HR DATA'!$A$4:$AA$56,11,0)="TRUE"),0,VLOOKUP(VALUE(BX$44),'HR DATA'!$A$4:$AA$56,11,0))</f>
        <v>4797647.6230057497</v>
      </c>
      <c r="BY66" s="184">
        <f>IF(ISERR(VLOOKUP(VALUE(BY$44),'HR DATA'!$A$4:$AA$56,11,0)="TRUE"),0,VLOOKUP(VALUE(BY$44),'HR DATA'!$A$4:$AA$56,11,0))</f>
        <v>1433728.46</v>
      </c>
      <c r="BZ66" s="184">
        <f>IF(ISERR(VLOOKUP(VALUE(BZ$44),'HR DATA'!$A$4:$AA$56,11,0)="TRUE"),0,VLOOKUP(VALUE(BZ$44),'HR DATA'!$A$4:$AA$56,11,0))</f>
        <v>9265</v>
      </c>
      <c r="CA66" s="184">
        <f>IF(ISERR(VLOOKUP(VALUE(CA$44),'HR DATA'!$A$4:$AA$56,11,0)="TRUE"),0,VLOOKUP(VALUE(CA$44),'HR DATA'!$A$4:$AA$56,11,0))</f>
        <v>130636.28000000001</v>
      </c>
      <c r="CB66" s="184">
        <f>IF(ISERR(VLOOKUP(VALUE(CB$44),'HR DATA'!$A$4:$AA$56,11,0)="TRUE"),0,VLOOKUP(VALUE(CB$44),'HR DATA'!$A$4:$AA$56,11,0))</f>
        <v>0</v>
      </c>
      <c r="CC66" s="184">
        <f>IF(ISERR(VLOOKUP(VALUE(CC$44),'HR DATA'!$A$4:$AA$56,11,0)="TRUE"),0,VLOOKUP(VALUE(CC$44),'HR DATA'!$A$4:$AA$56,11,0))+28186650.81</f>
        <v>60090231.533662751</v>
      </c>
      <c r="CD66" s="244" t="s">
        <v>221</v>
      </c>
      <c r="CE66" s="193">
        <f t="shared" si="0"/>
        <v>159355617.95197171</v>
      </c>
      <c r="CF66" s="247"/>
    </row>
    <row r="67" spans="1:84" ht="12.6" customHeight="1" x14ac:dyDescent="0.2">
      <c r="A67" s="171" t="s">
        <v>6</v>
      </c>
      <c r="B67" s="175"/>
      <c r="C67" s="193">
        <f>ROUND(C51+C52,0)</f>
        <v>528453</v>
      </c>
      <c r="D67" s="193">
        <f>ROUND(D51+D52,0)</f>
        <v>0</v>
      </c>
      <c r="E67" s="193">
        <f t="shared" ref="E67:BP67" si="3">ROUND(E51+E52,0)</f>
        <v>4055916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0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914229</v>
      </c>
      <c r="P67" s="193">
        <f t="shared" si="3"/>
        <v>5902971</v>
      </c>
      <c r="Q67" s="193">
        <f t="shared" si="3"/>
        <v>373406</v>
      </c>
      <c r="R67" s="193">
        <f t="shared" si="3"/>
        <v>4894</v>
      </c>
      <c r="S67" s="193">
        <f t="shared" si="3"/>
        <v>460460</v>
      </c>
      <c r="T67" s="193">
        <f t="shared" si="3"/>
        <v>0</v>
      </c>
      <c r="U67" s="193">
        <f t="shared" si="3"/>
        <v>637312</v>
      </c>
      <c r="V67" s="193">
        <f t="shared" si="3"/>
        <v>164379</v>
      </c>
      <c r="W67" s="193">
        <f t="shared" si="3"/>
        <v>99915</v>
      </c>
      <c r="X67" s="193">
        <f t="shared" si="3"/>
        <v>0</v>
      </c>
      <c r="Y67" s="193">
        <f t="shared" si="3"/>
        <v>2723682</v>
      </c>
      <c r="Z67" s="193">
        <f t="shared" si="3"/>
        <v>635660</v>
      </c>
      <c r="AA67" s="193">
        <f t="shared" si="3"/>
        <v>134761</v>
      </c>
      <c r="AB67" s="193">
        <f t="shared" si="3"/>
        <v>527847</v>
      </c>
      <c r="AC67" s="193">
        <f t="shared" si="3"/>
        <v>478238</v>
      </c>
      <c r="AD67" s="193">
        <f t="shared" si="3"/>
        <v>34176</v>
      </c>
      <c r="AE67" s="193">
        <f t="shared" si="3"/>
        <v>932257</v>
      </c>
      <c r="AF67" s="193">
        <f t="shared" si="3"/>
        <v>0</v>
      </c>
      <c r="AG67" s="193">
        <f t="shared" si="3"/>
        <v>1348256</v>
      </c>
      <c r="AH67" s="193">
        <f t="shared" si="3"/>
        <v>0</v>
      </c>
      <c r="AI67" s="193">
        <f t="shared" si="3"/>
        <v>0</v>
      </c>
      <c r="AJ67" s="193">
        <f t="shared" si="3"/>
        <v>4877721</v>
      </c>
      <c r="AK67" s="193">
        <f t="shared" si="3"/>
        <v>197504</v>
      </c>
      <c r="AL67" s="193">
        <f t="shared" si="3"/>
        <v>64977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3351015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133709</v>
      </c>
      <c r="AW67" s="193">
        <f t="shared" si="3"/>
        <v>0</v>
      </c>
      <c r="AX67" s="193">
        <f t="shared" si="3"/>
        <v>0</v>
      </c>
      <c r="AY67" s="193">
        <f t="shared" si="3"/>
        <v>995917</v>
      </c>
      <c r="AZ67" s="193">
        <f>ROUND(AZ51+AZ52,0)</f>
        <v>0</v>
      </c>
      <c r="BA67" s="193">
        <f>ROUND(BA51+BA52,0)</f>
        <v>156873</v>
      </c>
      <c r="BB67" s="193">
        <f t="shared" si="3"/>
        <v>48268</v>
      </c>
      <c r="BC67" s="193">
        <f t="shared" si="3"/>
        <v>6603</v>
      </c>
      <c r="BD67" s="193">
        <f t="shared" si="3"/>
        <v>2219929</v>
      </c>
      <c r="BE67" s="193">
        <f t="shared" si="3"/>
        <v>3943570</v>
      </c>
      <c r="BF67" s="193">
        <f t="shared" si="3"/>
        <v>460586</v>
      </c>
      <c r="BG67" s="193">
        <f t="shared" si="3"/>
        <v>81472</v>
      </c>
      <c r="BH67" s="193">
        <f t="shared" si="3"/>
        <v>0</v>
      </c>
      <c r="BI67" s="193">
        <f t="shared" si="3"/>
        <v>0</v>
      </c>
      <c r="BJ67" s="193">
        <f t="shared" si="3"/>
        <v>0</v>
      </c>
      <c r="BK67" s="193">
        <f t="shared" si="3"/>
        <v>3945</v>
      </c>
      <c r="BL67" s="193">
        <f t="shared" si="3"/>
        <v>939</v>
      </c>
      <c r="BM67" s="193">
        <f t="shared" si="3"/>
        <v>0</v>
      </c>
      <c r="BN67" s="193">
        <f t="shared" si="3"/>
        <v>587579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0</v>
      </c>
      <c r="BS67" s="193">
        <f t="shared" si="4"/>
        <v>179361</v>
      </c>
      <c r="BT67" s="193">
        <f t="shared" si="4"/>
        <v>0</v>
      </c>
      <c r="BU67" s="193">
        <f t="shared" si="4"/>
        <v>113414</v>
      </c>
      <c r="BV67" s="193">
        <f t="shared" si="4"/>
        <v>358293</v>
      </c>
      <c r="BW67" s="193">
        <f t="shared" si="4"/>
        <v>0</v>
      </c>
      <c r="BX67" s="193">
        <f t="shared" si="4"/>
        <v>0</v>
      </c>
      <c r="BY67" s="193">
        <f t="shared" si="4"/>
        <v>268413</v>
      </c>
      <c r="BZ67" s="193">
        <f t="shared" si="4"/>
        <v>9157</v>
      </c>
      <c r="CA67" s="193">
        <f t="shared" si="4"/>
        <v>82138</v>
      </c>
      <c r="CB67" s="193">
        <f t="shared" si="4"/>
        <v>0</v>
      </c>
      <c r="CC67" s="193">
        <f t="shared" si="4"/>
        <v>91683</v>
      </c>
      <c r="CD67" s="244" t="s">
        <v>221</v>
      </c>
      <c r="CE67" s="193">
        <f t="shared" si="0"/>
        <v>38189878</v>
      </c>
      <c r="CF67" s="247"/>
    </row>
    <row r="68" spans="1:84" ht="12.6" customHeight="1" x14ac:dyDescent="0.2">
      <c r="A68" s="171" t="s">
        <v>240</v>
      </c>
      <c r="B68" s="175"/>
      <c r="C68" s="184">
        <f>IF(ISERR(VLOOKUP(VALUE(C$44),'HR DATA'!$A$4:$AA$54,14,0)="TRUE"),0,VLOOKUP(VALUE(C$44),'HR DATA'!$A$4:$AA$54,14,0))</f>
        <v>20202.900000000001</v>
      </c>
      <c r="D68" s="184">
        <f>IF(ISERR(VLOOKUP(VALUE(D$44),'HR DATA'!$A$4:$AA$54,14,0)="TRUE"),0,VLOOKUP(VALUE(D$44),'HR DATA'!$A$4:$AA$54,14,0))</f>
        <v>0</v>
      </c>
      <c r="E68" s="184">
        <f>IF(ISERR(VLOOKUP(VALUE(E$44),'HR DATA'!$A$4:$AA$54,14,0)="TRUE"),0,VLOOKUP(VALUE(E$44),'HR DATA'!$A$4:$AA$54,14,0))</f>
        <v>42810.039999999994</v>
      </c>
      <c r="F68" s="184">
        <f>IF(ISERR(VLOOKUP(VALUE(F$44),'HR DATA'!$A$4:$AA$54,14,0)="TRUE"),0,VLOOKUP(VALUE(F$44),'HR DATA'!$A$4:$AA$54,14,0))</f>
        <v>0</v>
      </c>
      <c r="G68" s="184">
        <f>IF(ISERR(VLOOKUP(VALUE(G$44),'HR DATA'!$A$4:$AA$54,14,0)="TRUE"),0,VLOOKUP(VALUE(G$44),'HR DATA'!$A$4:$AA$54,14,0))</f>
        <v>0</v>
      </c>
      <c r="H68" s="184">
        <f>IF(ISERR(VLOOKUP(VALUE(H$44),'HR DATA'!$A$4:$AA$54,14,0)="TRUE"),0,VLOOKUP(VALUE(H$44),'HR DATA'!$A$4:$AA$54,14,0))</f>
        <v>398.81</v>
      </c>
      <c r="I68" s="184">
        <f>IF(ISERR(VLOOKUP(VALUE(I$44),'HR DATA'!$A$4:$AA$54,14,0)="TRUE"),0,VLOOKUP(VALUE(I$44),'HR DATA'!$A$4:$AA$54,14,0))</f>
        <v>0</v>
      </c>
      <c r="J68" s="184">
        <f>IF(ISERR(VLOOKUP(VALUE(J$44),'HR DATA'!$A$4:$AA$54,14,0)="TRUE"),0,VLOOKUP(VALUE(J$44),'HR DATA'!$A$4:$AA$54,14,0))</f>
        <v>0</v>
      </c>
      <c r="K68" s="184">
        <f>IF(ISERR(VLOOKUP(VALUE(K$44),'HR DATA'!$A$4:$AA$54,14,0)="TRUE"),0,VLOOKUP(VALUE(K$44),'HR DATA'!$A$4:$AA$54,14,0))</f>
        <v>0</v>
      </c>
      <c r="L68" s="184">
        <f>IF(ISERR(VLOOKUP(VALUE(L$44),'HR DATA'!$A$4:$AA$54,14,0)="TRUE"),0,VLOOKUP(VALUE(L$44),'HR DATA'!$A$4:$AA$54,14,0))</f>
        <v>0</v>
      </c>
      <c r="M68" s="184">
        <f>IF(ISERR(VLOOKUP(VALUE(M$44),'HR DATA'!$A$4:$AA$54,14,0)="TRUE"),0,VLOOKUP(VALUE(M$44),'HR DATA'!$A$4:$AA$54,14,0))</f>
        <v>0</v>
      </c>
      <c r="N68" s="184">
        <f>IF(ISERR(VLOOKUP(VALUE(N$44),'HR DATA'!$A$4:$AA$54,14,0)="TRUE"),0,VLOOKUP(VALUE(N$44),'HR DATA'!$A$4:$AA$54,14,0))</f>
        <v>0</v>
      </c>
      <c r="O68" s="184">
        <f>IF(ISERR(VLOOKUP(VALUE(O$44),'HR DATA'!$A$4:$AA$54,14,0)="TRUE"),0,VLOOKUP(VALUE(O$44),'HR DATA'!$A$4:$AA$54,14,0))</f>
        <v>11176.75</v>
      </c>
      <c r="P68" s="184">
        <f>IF(ISERR(VLOOKUP(VALUE(P$44),'HR DATA'!$A$4:$AA$54,14,0)="TRUE"),0,VLOOKUP(VALUE(P$44),'HR DATA'!$A$4:$AA$54,14,0))</f>
        <v>1249480.82</v>
      </c>
      <c r="Q68" s="184">
        <f>IF(ISERR(VLOOKUP(VALUE(Q$44),'HR DATA'!$A$4:$AA$54,14,0)="TRUE"),0,VLOOKUP(VALUE(Q$44),'HR DATA'!$A$4:$AA$54,14,0))</f>
        <v>2706.04</v>
      </c>
      <c r="R68" s="184">
        <f>IF(ISERR(VLOOKUP(VALUE(R$44),'HR DATA'!$A$4:$AA$54,14,0)="TRUE"),0,VLOOKUP(VALUE(R$44),'HR DATA'!$A$4:$AA$54,14,0))</f>
        <v>2688.7999999999997</v>
      </c>
      <c r="S68" s="184">
        <f>IF(ISERR(VLOOKUP(VALUE(S$44),'HR DATA'!$A$4:$AA$54,14,0)="TRUE"),0,VLOOKUP(VALUE(S$44),'HR DATA'!$A$4:$AA$54,14,0))</f>
        <v>93710.36</v>
      </c>
      <c r="T68" s="184">
        <f>IF(ISERR(VLOOKUP(VALUE(T$44),'HR DATA'!$A$4:$AA$54,14,0)="TRUE"),0,VLOOKUP(VALUE(T$44),'HR DATA'!$A$4:$AA$54,14,0))</f>
        <v>0</v>
      </c>
      <c r="U68" s="184">
        <f>IF(ISERR(VLOOKUP(VALUE(U$44),'HR DATA'!$A$4:$AA$54,14,0)="TRUE"),0,VLOOKUP(VALUE(U$44),'HR DATA'!$A$4:$AA$54,14,0))</f>
        <v>72417.239999999991</v>
      </c>
      <c r="V68" s="184">
        <f>IF(ISERR(VLOOKUP(VALUE(V$44),'HR DATA'!$A$4:$AA$54,14,0)="TRUE"),0,VLOOKUP(VALUE(V$44),'HR DATA'!$A$4:$AA$54,14,0))</f>
        <v>0</v>
      </c>
      <c r="W68" s="184">
        <f>IF(ISERR(VLOOKUP(VALUE(W$44),'HR DATA'!$A$4:$AA$54,14,0)="TRUE"),0,VLOOKUP(VALUE(W$44),'HR DATA'!$A$4:$AA$54,14,0))</f>
        <v>1791.5</v>
      </c>
      <c r="X68" s="184">
        <f>IF(ISERR(VLOOKUP(VALUE(X$44),'HR DATA'!$A$4:$AA$54,14,0)="TRUE"),0,VLOOKUP(VALUE(X$44),'HR DATA'!$A$4:$AA$54,14,0))</f>
        <v>0</v>
      </c>
      <c r="Y68" s="184">
        <f>IF(ISERR(VLOOKUP(VALUE(Y$44),'HR DATA'!$A$4:$AA$54,14,0)="TRUE"),0,VLOOKUP(VALUE(Y$44),'HR DATA'!$A$4:$AA$54,14,0))</f>
        <v>1058104.2600000002</v>
      </c>
      <c r="Z68" s="184">
        <f>IF(ISERR(VLOOKUP(VALUE(Z$44),'HR DATA'!$A$4:$AA$54,14,0)="TRUE"),0,VLOOKUP(VALUE(Z$44),'HR DATA'!$A$4:$AA$54,14,0))</f>
        <v>9520.36</v>
      </c>
      <c r="AA68" s="184">
        <f>IF(ISERR(VLOOKUP(VALUE(AA$44),'HR DATA'!$A$4:$AA$54,14,0)="TRUE"),0,VLOOKUP(VALUE(AA$44),'HR DATA'!$A$4:$AA$54,14,0))</f>
        <v>401.86999999999995</v>
      </c>
      <c r="AB68" s="184">
        <f>IF(ISERR(VLOOKUP(VALUE(AB$44),'HR DATA'!$A$4:$AA$54,14,0)="TRUE"),0,VLOOKUP(VALUE(AB$44),'HR DATA'!$A$4:$AA$54,14,0))</f>
        <v>40686.969999999994</v>
      </c>
      <c r="AC68" s="184">
        <f>IF(ISERR(VLOOKUP(VALUE(AC$44),'HR DATA'!$A$4:$AA$54,14,0)="TRUE"),0,VLOOKUP(VALUE(AC$44),'HR DATA'!$A$4:$AA$54,14,0))</f>
        <v>312312.03999999998</v>
      </c>
      <c r="AD68" s="184">
        <f>IF(ISERR(VLOOKUP(VALUE(AD$44),'HR DATA'!$A$4:$AA$54,14,0)="TRUE"),0,VLOOKUP(VALUE(AD$44),'HR DATA'!$A$4:$AA$54,14,0))</f>
        <v>0</v>
      </c>
      <c r="AE68" s="184">
        <f>IF(ISERR(VLOOKUP(VALUE(AE$44),'HR DATA'!$A$4:$AA$54,14,0)="TRUE"),0,VLOOKUP(VALUE(AE$44),'HR DATA'!$A$4:$AA$54,14,0))</f>
        <v>326102.04000000004</v>
      </c>
      <c r="AF68" s="184">
        <f>IF(ISERR(VLOOKUP(VALUE(AF$44),'HR DATA'!$A$4:$AA$54,14,0)="TRUE"),0,VLOOKUP(VALUE(AF$44),'HR DATA'!$A$4:$AA$54,14,0))</f>
        <v>0</v>
      </c>
      <c r="AG68" s="184">
        <f>IF(ISERR(VLOOKUP(VALUE(AG$44),'HR DATA'!$A$4:$AA$54,14,0)="TRUE"),0,VLOOKUP(VALUE(AG$44),'HR DATA'!$A$4:$AA$54,14,0))</f>
        <v>24717.440000000002</v>
      </c>
      <c r="AH68" s="184">
        <f>IF(ISERR(VLOOKUP(VALUE(AH$44),'HR DATA'!$A$4:$AA$54,14,0)="TRUE"),0,VLOOKUP(VALUE(AH$44),'HR DATA'!$A$4:$AA$54,14,0))</f>
        <v>0</v>
      </c>
      <c r="AI68" s="184">
        <f>IF(ISERR(VLOOKUP(VALUE(AI$44),'HR DATA'!$A$4:$AA$54,14,0)="TRUE"),0,VLOOKUP(VALUE(AI$44),'HR DATA'!$A$4:$AA$54,14,0))</f>
        <v>0</v>
      </c>
      <c r="AJ68" s="184">
        <f>IF(ISERR(VLOOKUP(VALUE(AJ$44),'HR DATA'!$A$4:$AA$54,14,0)="TRUE"),0,VLOOKUP(VALUE(AJ$44),'HR DATA'!$A$4:$AA$54,14,0))</f>
        <v>8513056.2200000007</v>
      </c>
      <c r="AK68" s="184">
        <f>IF(ISERR(VLOOKUP(VALUE(AK$44),'HR DATA'!$A$4:$AA$54,14,0)="TRUE"),0,VLOOKUP(VALUE(AK$44),'HR DATA'!$A$4:$AA$54,14,0))</f>
        <v>151994.31999999998</v>
      </c>
      <c r="AL68" s="184">
        <f>IF(ISERR(VLOOKUP(VALUE(AL$44),'HR DATA'!$A$4:$AA$54,14,0)="TRUE"),0,VLOOKUP(VALUE(AL$44),'HR DATA'!$A$4:$AA$54,14,0))</f>
        <v>95746.78</v>
      </c>
      <c r="AM68" s="184">
        <f>IF(ISERR(VLOOKUP(VALUE(AM$44),'HR DATA'!$A$4:$AA$54,14,0)="TRUE"),0,VLOOKUP(VALUE(AM$44),'HR DATA'!$A$4:$AA$54,14,0))</f>
        <v>0</v>
      </c>
      <c r="AN68" s="184">
        <f>IF(ISERR(VLOOKUP(VALUE(AN$44),'HR DATA'!$A$4:$AA$54,14,0)="TRUE"),0,VLOOKUP(VALUE(AN$44),'HR DATA'!$A$4:$AA$54,14,0))</f>
        <v>0</v>
      </c>
      <c r="AO68" s="184">
        <f>IF(ISERR(VLOOKUP(VALUE(AO$44),'HR DATA'!$A$4:$AA$54,14,0)="TRUE"),0,VLOOKUP(VALUE(AO$44),'HR DATA'!$A$4:$AA$54,14,0))</f>
        <v>0</v>
      </c>
      <c r="AP68" s="184">
        <f>IF(ISERR(VLOOKUP(VALUE(AP$44),'HR DATA'!$A$4:$AA$54,14,0)="TRUE"),0,VLOOKUP(VALUE(AP$44),'HR DATA'!$A$4:$AA$54,14,0))</f>
        <v>650062.00000000012</v>
      </c>
      <c r="AQ68" s="184">
        <f>IF(ISERR(VLOOKUP(VALUE(AQ$44),'HR DATA'!$A$4:$AA$54,14,0)="TRUE"),0,VLOOKUP(VALUE(AQ$44),'HR DATA'!$A$4:$AA$54,14,0))</f>
        <v>0</v>
      </c>
      <c r="AR68" s="184">
        <f>IF(ISERR(VLOOKUP(VALUE(AR$44),'HR DATA'!$A$4:$AA$54,14,0)="TRUE"),0,VLOOKUP(VALUE(AR$44),'HR DATA'!$A$4:$AA$54,14,0))</f>
        <v>0</v>
      </c>
      <c r="AS68" s="184">
        <f>IF(ISERR(VLOOKUP(VALUE(AS$44),'HR DATA'!$A$4:$AA$54,14,0)="TRUE"),0,VLOOKUP(VALUE(AS$44),'HR DATA'!$A$4:$AA$54,14,0))</f>
        <v>0</v>
      </c>
      <c r="AT68" s="184">
        <f>IF(ISERR(VLOOKUP(VALUE(AT$44),'HR DATA'!$A$4:$AA$54,14,0)="TRUE"),0,VLOOKUP(VALUE(AT$44),'HR DATA'!$A$4:$AA$54,14,0))</f>
        <v>0</v>
      </c>
      <c r="AU68" s="184">
        <f>IF(ISERR(VLOOKUP(VALUE(AU$44),'HR DATA'!$A$4:$AA$54,14,0)="TRUE"),0,VLOOKUP(VALUE(AU$44),'HR DATA'!$A$4:$AA$54,14,0))</f>
        <v>0</v>
      </c>
      <c r="AV68" s="184">
        <f>IF(ISERR(VLOOKUP(VALUE(AV$44),'HR DATA'!$A$4:$AA$54,14,0)="TRUE"),0,VLOOKUP(VALUE(AV$44),'HR DATA'!$A$4:$AA$54,14,0))</f>
        <v>1908.3</v>
      </c>
      <c r="AW68" s="184">
        <f>IF(ISERR(VLOOKUP(VALUE(AW$44),'HR DATA'!$A$4:$AA$54,14,0)="TRUE"),0,VLOOKUP(VALUE(AW$44),'HR DATA'!$A$4:$AA$54,14,0))</f>
        <v>0</v>
      </c>
      <c r="AX68" s="184">
        <f>IF(ISERR(VLOOKUP(VALUE(AX$44),'HR DATA'!$A$4:$AA$54,14,0)="TRUE"),0,VLOOKUP(VALUE(AX$44),'HR DATA'!$A$4:$AA$54,14,0))</f>
        <v>0</v>
      </c>
      <c r="AY68" s="184">
        <f>IF(ISERR(VLOOKUP(VALUE(AY$44),'HR DATA'!$A$4:$AA$54,14,0)="TRUE"),0,VLOOKUP(VALUE(AY$44),'HR DATA'!$A$4:$AA$54,14,0))</f>
        <v>24417.970000000005</v>
      </c>
      <c r="AZ68" s="184">
        <f>IF(ISERR(VLOOKUP(VALUE(AZ$44),'HR DATA'!$A$4:$AA$54,14,0)="TRUE"),0,VLOOKUP(VALUE(AZ$44),'HR DATA'!$A$4:$AA$54,14,0))</f>
        <v>0</v>
      </c>
      <c r="BA68" s="184">
        <f>IF(ISERR(VLOOKUP(VALUE(BA$44),'HR DATA'!$A$4:$AA$54,14,0)="TRUE"),0,VLOOKUP(VALUE(BA$44),'HR DATA'!$A$4:$AA$54,14,0))</f>
        <v>0</v>
      </c>
      <c r="BB68" s="184">
        <f>IF(ISERR(VLOOKUP(VALUE(BB$44),'HR DATA'!$A$4:$AA$54,14,0)="TRUE"),0,VLOOKUP(VALUE(BB$44),'HR DATA'!$A$4:$AA$54,14,0))</f>
        <v>0</v>
      </c>
      <c r="BC68" s="184">
        <f>IF(ISERR(VLOOKUP(VALUE(BC$44),'HR DATA'!$A$4:$AA$54,14,0)="TRUE"),0,VLOOKUP(VALUE(BC$44),'HR DATA'!$A$4:$AA$54,14,0))</f>
        <v>1291.7800000000002</v>
      </c>
      <c r="BD68" s="184">
        <f>IF(ISERR(VLOOKUP(VALUE(BD$44),'HR DATA'!$A$4:$AA$54,14,0)="TRUE"),0,VLOOKUP(VALUE(BD$44),'HR DATA'!$A$4:$AA$54,14,0))</f>
        <v>473458.06000000006</v>
      </c>
      <c r="BE68" s="184">
        <f>IF(ISERR(VLOOKUP(VALUE(BE$44),'HR DATA'!$A$4:$AA$54,14,0)="TRUE"),0,VLOOKUP(VALUE(BE$44),'HR DATA'!$A$4:$AA$54,14,0))</f>
        <v>636774.41</v>
      </c>
      <c r="BF68" s="184">
        <f>IF(ISERR(VLOOKUP(VALUE(BF$44),'HR DATA'!$A$4:$AA$54,14,0)="TRUE"),0,VLOOKUP(VALUE(BF$44),'HR DATA'!$A$4:$AA$54,14,0))</f>
        <v>7720.3400000000011</v>
      </c>
      <c r="BG68" s="184">
        <f>IF(ISERR(VLOOKUP(VALUE(BG$44),'HR DATA'!$A$4:$AA$54,14,0)="TRUE"),0,VLOOKUP(VALUE(BG$44),'HR DATA'!$A$4:$AA$54,14,0))</f>
        <v>2456.3799999999997</v>
      </c>
      <c r="BH68" s="184">
        <f>IF(ISERR(VLOOKUP(VALUE(BH$44),'HR DATA'!$A$4:$AA$54,14,0)="TRUE"),0,VLOOKUP(VALUE(BH$44),'HR DATA'!$A$4:$AA$54,14,0))</f>
        <v>0</v>
      </c>
      <c r="BI68" s="184">
        <f>IF(ISERR(VLOOKUP(VALUE(BI$44),'HR DATA'!$A$4:$AA$54,14,0)="TRUE"),0,VLOOKUP(VALUE(BI$44),'HR DATA'!$A$4:$AA$54,14,0))</f>
        <v>21575.77</v>
      </c>
      <c r="BJ68" s="184">
        <f>IF(ISERR(VLOOKUP(VALUE(BJ$44),'HR DATA'!$A$4:$AA$54,14,0)="TRUE"),0,VLOOKUP(VALUE(BJ$44),'HR DATA'!$A$4:$AA$54,14,0))</f>
        <v>0</v>
      </c>
      <c r="BK68" s="184">
        <f>IF(ISERR(VLOOKUP(VALUE(BK$44),'HR DATA'!$A$4:$AA$54,14,0)="TRUE"),0,VLOOKUP(VALUE(BK$44),'HR DATA'!$A$4:$AA$54,14,0))</f>
        <v>15978.629999999997</v>
      </c>
      <c r="BL68" s="184">
        <f>IF(ISERR(VLOOKUP(VALUE(BL$44),'HR DATA'!$A$4:$AA$54,14,0)="TRUE"),0,VLOOKUP(VALUE(BL$44),'HR DATA'!$A$4:$AA$54,14,0))</f>
        <v>16414.64</v>
      </c>
      <c r="BM68" s="184">
        <f>IF(ISERR(VLOOKUP(VALUE(BM$44),'HR DATA'!$A$4:$AA$54,14,0)="TRUE"),0,VLOOKUP(VALUE(BM$44),'HR DATA'!$A$4:$AA$54,14,0))</f>
        <v>0</v>
      </c>
      <c r="BN68" s="184">
        <f>IF(ISERR(VLOOKUP(VALUE(BN$44),'HR DATA'!$A$4:$AA$54,14,0)="TRUE"),0,VLOOKUP(VALUE(BN$44),'HR DATA'!$A$4:$AA$54,14,0))</f>
        <v>595822.72</v>
      </c>
      <c r="BO68" s="184">
        <f>IF(ISERR(VLOOKUP(VALUE(BO$44),'HR DATA'!$A$4:$AA$54,14,0)="TRUE"),0,VLOOKUP(VALUE(BO$44),'HR DATA'!$A$4:$AA$54,14,0))</f>
        <v>0</v>
      </c>
      <c r="BP68" s="184">
        <f>IF(ISERR(VLOOKUP(VALUE(BP$44),'HR DATA'!$A$4:$AA$54,14,0)="TRUE"),0,VLOOKUP(VALUE(BP$44),'HR DATA'!$A$4:$AA$54,14,0))</f>
        <v>0</v>
      </c>
      <c r="BQ68" s="184">
        <f>IF(ISERR(VLOOKUP(VALUE(BQ$44),'HR DATA'!$A$4:$AA$54,14,0)="TRUE"),0,VLOOKUP(VALUE(BQ$44),'HR DATA'!$A$4:$AA$54,14,0))</f>
        <v>0</v>
      </c>
      <c r="BR68" s="184">
        <f>IF(ISERR(VLOOKUP(VALUE(BR$44),'HR DATA'!$A$4:$AA$54,14,0)="TRUE"),0,VLOOKUP(VALUE(BR$44),'HR DATA'!$A$4:$AA$54,14,0))</f>
        <v>0</v>
      </c>
      <c r="BS68" s="184">
        <f>IF(ISERR(VLOOKUP(VALUE(BS$44),'HR DATA'!$A$4:$AA$54,14,0)="TRUE"),0,VLOOKUP(VALUE(BS$44),'HR DATA'!$A$4:$AA$54,14,0))</f>
        <v>0</v>
      </c>
      <c r="BT68" s="184">
        <f>IF(ISERR(VLOOKUP(VALUE(BT$44),'HR DATA'!$A$4:$AA$54,14,0)="TRUE"),0,VLOOKUP(VALUE(BT$44),'HR DATA'!$A$4:$AA$54,14,0))</f>
        <v>0</v>
      </c>
      <c r="BU68" s="184">
        <f>IF(ISERR(VLOOKUP(VALUE(BU$44),'HR DATA'!$A$4:$AA$54,14,0)="TRUE"),0,VLOOKUP(VALUE(BU$44),'HR DATA'!$A$4:$AA$54,14,0))</f>
        <v>0</v>
      </c>
      <c r="BV68" s="184">
        <f>IF(ISERR(VLOOKUP(VALUE(BV$44),'HR DATA'!$A$4:$AA$54,14,0)="TRUE"),0,VLOOKUP(VALUE(BV$44),'HR DATA'!$A$4:$AA$54,14,0))</f>
        <v>11330.820000000002</v>
      </c>
      <c r="BW68" s="184">
        <f>IF(ISERR(VLOOKUP(VALUE(BW$44),'HR DATA'!$A$4:$AA$54,14,0)="TRUE"),0,VLOOKUP(VALUE(BW$44),'HR DATA'!$A$4:$AA$54,14,0))</f>
        <v>0</v>
      </c>
      <c r="BX68" s="184">
        <f>IF(ISERR(VLOOKUP(VALUE(BX$44),'HR DATA'!$A$4:$AA$54,14,0)="TRUE"),0,VLOOKUP(VALUE(BX$44),'HR DATA'!$A$4:$AA$54,14,0))</f>
        <v>0</v>
      </c>
      <c r="BY68" s="184">
        <f>IF(ISERR(VLOOKUP(VALUE(BY$44),'HR DATA'!$A$4:$AA$54,14,0)="TRUE"),0,VLOOKUP(VALUE(BY$44),'HR DATA'!$A$4:$AA$54,14,0))</f>
        <v>36652.35</v>
      </c>
      <c r="BZ68" s="184">
        <f>IF(ISERR(VLOOKUP(VALUE(BZ$44),'HR DATA'!$A$4:$AA$54,14,0)="TRUE"),0,VLOOKUP(VALUE(BZ$44),'HR DATA'!$A$4:$AA$54,14,0))</f>
        <v>0</v>
      </c>
      <c r="CA68" s="184">
        <f>IF(ISERR(VLOOKUP(VALUE(CA$44),'HR DATA'!$A$4:$AA$54,14,0)="TRUE"),0,VLOOKUP(VALUE(CA$44),'HR DATA'!$A$4:$AA$54,14,0))</f>
        <v>43155.679999999993</v>
      </c>
      <c r="CB68" s="184">
        <f>IF(ISERR(VLOOKUP(VALUE(CB$44),'HR DATA'!$A$4:$AA$54,14,0)="TRUE"),0,VLOOKUP(VALUE(CB$44),'HR DATA'!$A$4:$AA$54,14,0))</f>
        <v>0</v>
      </c>
      <c r="CC68" s="184">
        <f>IF(ISERR(VLOOKUP(VALUE(CC$44),'HR DATA'!$A$4:$AA$54,14,0)="TRUE"),0,VLOOKUP(VALUE(CC$44),'HR DATA'!$A$4:$AA$54,14,0))+26153.75</f>
        <v>605646.14999999991</v>
      </c>
      <c r="CD68" s="244" t="s">
        <v>221</v>
      </c>
      <c r="CE68" s="193">
        <f t="shared" si="0"/>
        <v>15174691.560000004</v>
      </c>
      <c r="CF68" s="247"/>
    </row>
    <row r="69" spans="1:84" ht="12.6" customHeight="1" x14ac:dyDescent="0.2">
      <c r="A69" s="171" t="s">
        <v>241</v>
      </c>
      <c r="B69" s="175"/>
      <c r="C69" s="184">
        <f>IF(ISERR(VLOOKUP(VALUE(C$44),'HR DATA'!$A$4:$AA$55,19,0)="TRUE"),0,VLOOKUP(VALUE(C$44),'HR DATA'!$A$4:$AA$54,19,0))</f>
        <v>1903.5</v>
      </c>
      <c r="D69" s="184">
        <f>IF(ISERR(VLOOKUP(VALUE(D$44),'HR DATA'!$A$4:$AA$55,19,0)="TRUE"),0,VLOOKUP(VALUE(D$44),'HR DATA'!$A$4:$AA$54,19,0))</f>
        <v>0</v>
      </c>
      <c r="E69" s="184">
        <f>IF(ISERR(VLOOKUP(VALUE(E$44),'HR DATA'!$A$4:$AA$55,19,0)="TRUE"),0,VLOOKUP(VALUE(E$44),'HR DATA'!$A$4:$AA$54,19,0))</f>
        <v>145922.38</v>
      </c>
      <c r="F69" s="184">
        <f>IF(ISERR(VLOOKUP(VALUE(F$44),'HR DATA'!$A$4:$AA$55,19,0)="TRUE"),0,VLOOKUP(VALUE(F$44),'HR DATA'!$A$4:$AA$54,19,0))</f>
        <v>0</v>
      </c>
      <c r="G69" s="184">
        <f>IF(ISERR(VLOOKUP(VALUE(G$44),'HR DATA'!$A$4:$AA$55,19,0)="TRUE"),0,VLOOKUP(VALUE(G$44),'HR DATA'!$A$4:$AA$54,19,0))</f>
        <v>0</v>
      </c>
      <c r="H69" s="184">
        <f>IF(ISERR(VLOOKUP(VALUE(H$44),'HR DATA'!$A$4:$AA$55,19,0)="TRUE"),0,VLOOKUP(VALUE(H$44),'HR DATA'!$A$4:$AA$54,19,0))</f>
        <v>0</v>
      </c>
      <c r="I69" s="184">
        <f>IF(ISERR(VLOOKUP(VALUE(I$44),'HR DATA'!$A$4:$AA$55,19,0)="TRUE"),0,VLOOKUP(VALUE(I$44),'HR DATA'!$A$4:$AA$54,19,0))</f>
        <v>0</v>
      </c>
      <c r="J69" s="184">
        <f>IF(ISERR(VLOOKUP(VALUE(J$44),'HR DATA'!$A$4:$AA$55,19,0)="TRUE"),0,VLOOKUP(VALUE(J$44),'HR DATA'!$A$4:$AA$54,19,0))</f>
        <v>0</v>
      </c>
      <c r="K69" s="184">
        <f>IF(ISERR(VLOOKUP(VALUE(K$44),'HR DATA'!$A$4:$AA$55,19,0)="TRUE"),0,VLOOKUP(VALUE(K$44),'HR DATA'!$A$4:$AA$54,19,0))</f>
        <v>0</v>
      </c>
      <c r="L69" s="184">
        <f>IF(ISERR(VLOOKUP(VALUE(L$44),'HR DATA'!$A$4:$AA$55,19,0)="TRUE"),0,VLOOKUP(VALUE(L$44),'HR DATA'!$A$4:$AA$54,19,0))</f>
        <v>0</v>
      </c>
      <c r="M69" s="184">
        <f>IF(ISERR(VLOOKUP(VALUE(M$44),'HR DATA'!$A$4:$AA$55,19,0)="TRUE"),0,VLOOKUP(VALUE(M$44),'HR DATA'!$A$4:$AA$54,19,0))</f>
        <v>0</v>
      </c>
      <c r="N69" s="184">
        <f>IF(ISERR(VLOOKUP(VALUE(N$44),'HR DATA'!$A$4:$AA$55,19,0)="TRUE"),0,VLOOKUP(VALUE(N$44),'HR DATA'!$A$4:$AA$54,19,0))</f>
        <v>0</v>
      </c>
      <c r="O69" s="184">
        <f>IF(ISERR(VLOOKUP(VALUE(O$44),'HR DATA'!$A$4:$AA$55,19,0)="TRUE"),0,VLOOKUP(VALUE(O$44),'HR DATA'!$A$4:$AA$54,19,0))</f>
        <v>32278.51</v>
      </c>
      <c r="P69" s="184">
        <f>IF(ISERR(VLOOKUP(VALUE(P$44),'HR DATA'!$A$4:$AA$55,19,0)="TRUE"),0,VLOOKUP(VALUE(P$44),'HR DATA'!$A$4:$AA$54,19,0))</f>
        <v>108136.71</v>
      </c>
      <c r="Q69" s="184">
        <f>IF(ISERR(VLOOKUP(VALUE(Q$44),'HR DATA'!$A$4:$AA$55,19,0)="TRUE"),0,VLOOKUP(VALUE(Q$44),'HR DATA'!$A$4:$AA$54,19,0))</f>
        <v>11484.279999999999</v>
      </c>
      <c r="R69" s="184">
        <f>IF(ISERR(VLOOKUP(VALUE(R$44),'HR DATA'!$A$4:$AA$55,19,0)="TRUE"),0,VLOOKUP(VALUE(R$44),'HR DATA'!$A$4:$AA$54,19,0))</f>
        <v>595</v>
      </c>
      <c r="S69" s="184">
        <f>IF(ISERR(VLOOKUP(VALUE(S$44),'HR DATA'!$A$4:$AA$55,19,0)="TRUE"),0,VLOOKUP(VALUE(S$44),'HR DATA'!$A$4:$AA$54,19,0))</f>
        <v>22972.11</v>
      </c>
      <c r="T69" s="184">
        <f>IF(ISERR(VLOOKUP(VALUE(T$44),'HR DATA'!$A$4:$AA$55,19,0)="TRUE"),0,VLOOKUP(VALUE(T$44),'HR DATA'!$A$4:$AA$54,19,0))</f>
        <v>0</v>
      </c>
      <c r="U69" s="184">
        <f>IF(ISERR(VLOOKUP(VALUE(U$44),'HR DATA'!$A$4:$AA$55,19,0)="TRUE"),0,VLOOKUP(VALUE(U$44),'HR DATA'!$A$4:$AA$54,19,0))</f>
        <v>120689.70999999999</v>
      </c>
      <c r="V69" s="184">
        <f>IF(ISERR(VLOOKUP(VALUE(V$44),'HR DATA'!$A$4:$AA$55,19,0)="TRUE"),0,VLOOKUP(VALUE(V$44),'HR DATA'!$A$4:$AA$54,19,0))</f>
        <v>0</v>
      </c>
      <c r="W69" s="184">
        <f>IF(ISERR(VLOOKUP(VALUE(W$44),'HR DATA'!$A$4:$AA$55,19,0)="TRUE"),0,VLOOKUP(VALUE(W$44),'HR DATA'!$A$4:$AA$54,19,0))</f>
        <v>659.23</v>
      </c>
      <c r="X69" s="184">
        <f>IF(ISERR(VLOOKUP(VALUE(X$44),'HR DATA'!$A$4:$AA$55,19,0)="TRUE"),0,VLOOKUP(VALUE(X$44),'HR DATA'!$A$4:$AA$54,19,0))</f>
        <v>0</v>
      </c>
      <c r="Y69" s="184">
        <f>IF(ISERR(VLOOKUP(VALUE(Y$44),'HR DATA'!$A$4:$AA$55,19,0)="TRUE"),0,VLOOKUP(VALUE(Y$44),'HR DATA'!$A$4:$AA$54,19,0))</f>
        <v>79693.25</v>
      </c>
      <c r="Z69" s="184">
        <f>IF(ISERR(VLOOKUP(VALUE(Z$44),'HR DATA'!$A$4:$AA$55,19,0)="TRUE"),0,VLOOKUP(VALUE(Z$44),'HR DATA'!$A$4:$AA$54,19,0))</f>
        <v>5459.5499999999993</v>
      </c>
      <c r="AA69" s="184">
        <f>IF(ISERR(VLOOKUP(VALUE(AA$44),'HR DATA'!$A$4:$AA$55,19,0)="TRUE"),0,VLOOKUP(VALUE(AA$44),'HR DATA'!$A$4:$AA$54,19,0))</f>
        <v>142.23000000000002</v>
      </c>
      <c r="AB69" s="184">
        <f>IF(ISERR(VLOOKUP(VALUE(AB$44),'HR DATA'!$A$4:$AA$55,19,0)="TRUE"),0,VLOOKUP(VALUE(AB$44),'HR DATA'!$A$4:$AA$54,19,0))</f>
        <v>65055.18</v>
      </c>
      <c r="AC69" s="184">
        <f>IF(ISERR(VLOOKUP(VALUE(AC$44),'HR DATA'!$A$4:$AA$55,19,0)="TRUE"),0,VLOOKUP(VALUE(AC$44),'HR DATA'!$A$4:$AA$54,19,0))</f>
        <v>19081.540000000005</v>
      </c>
      <c r="AD69" s="184">
        <f>IF(ISERR(VLOOKUP(VALUE(AD$44),'HR DATA'!$A$4:$AA$55,19,0)="TRUE"),0,VLOOKUP(VALUE(AD$44),'HR DATA'!$A$4:$AA$54,19,0))</f>
        <v>0</v>
      </c>
      <c r="AE69" s="184">
        <f>IF(ISERR(VLOOKUP(VALUE(AE$44),'HR DATA'!$A$4:$AA$55,19,0)="TRUE"),0,VLOOKUP(VALUE(AE$44),'HR DATA'!$A$4:$AA$54,19,0))</f>
        <v>7848.4600000000009</v>
      </c>
      <c r="AF69" s="184">
        <f>IF(ISERR(VLOOKUP(VALUE(AF$44),'HR DATA'!$A$4:$AA$55,19,0)="TRUE"),0,VLOOKUP(VALUE(AF$44),'HR DATA'!$A$4:$AA$54,19,0))</f>
        <v>0</v>
      </c>
      <c r="AG69" s="184">
        <f>IF(ISERR(VLOOKUP(VALUE(AG$44),'HR DATA'!$A$4:$AA$55,19,0)="TRUE"),0,VLOOKUP(VALUE(AG$44),'HR DATA'!$A$4:$AA$54,19,0))</f>
        <v>80682.36</v>
      </c>
      <c r="AH69" s="184">
        <f>IF(ISERR(VLOOKUP(VALUE(AH$44),'HR DATA'!$A$4:$AA$55,19,0)="TRUE"),0,VLOOKUP(VALUE(AH$44),'HR DATA'!$A$4:$AA$54,19,0))</f>
        <v>0</v>
      </c>
      <c r="AI69" s="184">
        <f>IF(ISERR(VLOOKUP(VALUE(AI$44),'HR DATA'!$A$4:$AA$55,19,0)="TRUE"),0,VLOOKUP(VALUE(AI$44),'HR DATA'!$A$4:$AA$54,19,0))</f>
        <v>0</v>
      </c>
      <c r="AJ69" s="184">
        <f>IF(ISERR(VLOOKUP(VALUE(AJ$44),'HR DATA'!$A$4:$AA$55,19,0)="TRUE"),0,VLOOKUP(VALUE(AJ$44),'HR DATA'!$A$4:$AA$54,19,0))</f>
        <v>3074901.9799999995</v>
      </c>
      <c r="AK69" s="184">
        <f>IF(ISERR(VLOOKUP(VALUE(AK$44),'HR DATA'!$A$4:$AA$55,19,0)="TRUE"),0,VLOOKUP(VALUE(AK$44),'HR DATA'!$A$4:$AA$54,19,0))</f>
        <v>1480.44</v>
      </c>
      <c r="AL69" s="184">
        <f>IF(ISERR(VLOOKUP(VALUE(AL$44),'HR DATA'!$A$4:$AA$55,19,0)="TRUE"),0,VLOOKUP(VALUE(AL$44),'HR DATA'!$A$4:$AA$54,19,0))</f>
        <v>1335.82</v>
      </c>
      <c r="AM69" s="184">
        <f>IF(ISERR(VLOOKUP(VALUE(AM$44),'HR DATA'!$A$4:$AA$55,19,0)="TRUE"),0,VLOOKUP(VALUE(AM$44),'HR DATA'!$A$4:$AA$54,19,0))</f>
        <v>0</v>
      </c>
      <c r="AN69" s="184">
        <f>IF(ISERR(VLOOKUP(VALUE(AN$44),'HR DATA'!$A$4:$AA$55,19,0)="TRUE"),0,VLOOKUP(VALUE(AN$44),'HR DATA'!$A$4:$AA$54,19,0))</f>
        <v>0</v>
      </c>
      <c r="AO69" s="184">
        <f>IF(ISERR(VLOOKUP(VALUE(AO$44),'HR DATA'!$A$4:$AA$55,19,0)="TRUE"),0,VLOOKUP(VALUE(AO$44),'HR DATA'!$A$4:$AA$54,19,0))</f>
        <v>0</v>
      </c>
      <c r="AP69" s="184">
        <f>IF(ISERR(VLOOKUP(VALUE(AP$44),'HR DATA'!$A$4:$AA$55,19,0)="TRUE"),0,VLOOKUP(VALUE(AP$44),'HR DATA'!$A$4:$AA$54,19,0))</f>
        <v>55695.01</v>
      </c>
      <c r="AQ69" s="184">
        <f>IF(ISERR(VLOOKUP(VALUE(AQ$44),'HR DATA'!$A$4:$AA$55,19,0)="TRUE"),0,VLOOKUP(VALUE(AQ$44),'HR DATA'!$A$4:$AA$54,19,0))</f>
        <v>0</v>
      </c>
      <c r="AR69" s="184">
        <f>IF(ISERR(VLOOKUP(VALUE(AR$44),'HR DATA'!$A$4:$AA$55,19,0)="TRUE"),0,VLOOKUP(VALUE(AR$44),'HR DATA'!$A$4:$AA$54,19,0))</f>
        <v>0</v>
      </c>
      <c r="AS69" s="184">
        <f>IF(ISERR(VLOOKUP(VALUE(AS$44),'HR DATA'!$A$4:$AA$55,19,0)="TRUE"),0,VLOOKUP(VALUE(AS$44),'HR DATA'!$A$4:$AA$54,19,0))</f>
        <v>0</v>
      </c>
      <c r="AT69" s="184">
        <f>IF(ISERR(VLOOKUP(VALUE(AT$44),'HR DATA'!$A$4:$AA$55,19,0)="TRUE"),0,VLOOKUP(VALUE(AT$44),'HR DATA'!$A$4:$AA$54,19,0))</f>
        <v>0</v>
      </c>
      <c r="AU69" s="184">
        <f>IF(ISERR(VLOOKUP(VALUE(AU$44),'HR DATA'!$A$4:$AA$55,19,0)="TRUE"),0,VLOOKUP(VALUE(AU$44),'HR DATA'!$A$4:$AA$54,19,0))</f>
        <v>0</v>
      </c>
      <c r="AV69" s="184">
        <f>IF(ISERR(VLOOKUP(VALUE(AV$44),'HR DATA'!$A$4:$AA$55,19,0)="TRUE"),0,VLOOKUP(VALUE(AV$44),'HR DATA'!$A$4:$AA$54,19,0))-280157</f>
        <v>-277220.34000000003</v>
      </c>
      <c r="AW69" s="184">
        <f>IF(ISERR(VLOOKUP(VALUE(AW$44),'HR DATA'!$A$4:$AA$55,19,0)="TRUE"),0,VLOOKUP(VALUE(AW$44),'HR DATA'!$A$4:$AA$54,19,0))</f>
        <v>0</v>
      </c>
      <c r="AX69" s="184">
        <f>IF(ISERR(VLOOKUP(VALUE(AX$44),'HR DATA'!$A$4:$AA$55,19,0)="TRUE"),0,VLOOKUP(VALUE(AX$44),'HR DATA'!$A$4:$AA$54,19,0))</f>
        <v>0</v>
      </c>
      <c r="AY69" s="184">
        <f>IF(ISERR(VLOOKUP(VALUE(AY$44),'HR DATA'!$A$4:$AA$55,19,0)="TRUE"),0,VLOOKUP(VALUE(AY$44),'HR DATA'!$A$4:$AA$54,19,0))</f>
        <v>39301.060000000005</v>
      </c>
      <c r="AZ69" s="184">
        <f>IF(ISERR(VLOOKUP(VALUE(AZ$44),'HR DATA'!$A$4:$AA$55,19,0)="TRUE"),0,VLOOKUP(VALUE(AZ$44),'HR DATA'!$A$4:$AA$54,19,0))</f>
        <v>0</v>
      </c>
      <c r="BA69" s="184">
        <f>IF(ISERR(VLOOKUP(VALUE(BA$44),'HR DATA'!$A$4:$AA$55,19,0)="TRUE"),0,VLOOKUP(VALUE(BA$44),'HR DATA'!$A$4:$AA$54,19,0))</f>
        <v>0</v>
      </c>
      <c r="BB69" s="184">
        <f>IF(ISERR(VLOOKUP(VALUE(BB$44),'HR DATA'!$A$4:$AA$55,19,0)="TRUE"),0,VLOOKUP(VALUE(BB$44),'HR DATA'!$A$4:$AA$54,19,0))</f>
        <v>0</v>
      </c>
      <c r="BC69" s="184">
        <f>IF(ISERR(VLOOKUP(VALUE(BC$44),'HR DATA'!$A$4:$AA$55,19,0)="TRUE"),0,VLOOKUP(VALUE(BC$44),'HR DATA'!$A$4:$AA$54,19,0))</f>
        <v>0</v>
      </c>
      <c r="BD69" s="184">
        <f>IF(ISERR(VLOOKUP(VALUE(BD$44),'HR DATA'!$A$4:$AA$55,19,0)="TRUE"),0,VLOOKUP(VALUE(BD$44),'HR DATA'!$A$4:$AA$54,19,0))</f>
        <v>0</v>
      </c>
      <c r="BE69" s="184">
        <f>IF(ISERR(VLOOKUP(VALUE(BE$44),'HR DATA'!$A$4:$AA$55,19,0)="TRUE"),0,VLOOKUP(VALUE(BE$44),'HR DATA'!$A$4:$AA$54,19,0))</f>
        <v>176906.56</v>
      </c>
      <c r="BF69" s="184">
        <f>IF(ISERR(VLOOKUP(VALUE(BF$44),'HR DATA'!$A$4:$AA$55,19,0)="TRUE"),0,VLOOKUP(VALUE(BF$44),'HR DATA'!$A$4:$AA$54,19,0))</f>
        <v>7988.8500000000013</v>
      </c>
      <c r="BG69" s="184">
        <f>IF(ISERR(VLOOKUP(VALUE(BG$44),'HR DATA'!$A$4:$AA$55,19,0)="TRUE"),0,VLOOKUP(VALUE(BG$44),'HR DATA'!$A$4:$AA$54,19,0))</f>
        <v>0</v>
      </c>
      <c r="BH69" s="184">
        <f>IF(ISERR(VLOOKUP(VALUE(BH$44),'HR DATA'!$A$4:$AA$55,19,0)="TRUE"),0,VLOOKUP(VALUE(BH$44),'HR DATA'!$A$4:$AA$54,19,0))</f>
        <v>0</v>
      </c>
      <c r="BI69" s="184">
        <f>IF(ISERR(VLOOKUP(VALUE(BI$44),'HR DATA'!$A$4:$AA$55,19,0)="TRUE"),0,VLOOKUP(VALUE(BI$44),'HR DATA'!$A$4:$AA$54,19,0))</f>
        <v>499.37</v>
      </c>
      <c r="BJ69" s="184">
        <f>IF(ISERR(VLOOKUP(VALUE(BJ$44),'HR DATA'!$A$4:$AA$55,19,0)="TRUE"),0,VLOOKUP(VALUE(BJ$44),'HR DATA'!$A$4:$AA$54,19,0))</f>
        <v>0</v>
      </c>
      <c r="BK69" s="184">
        <f>IF(ISERR(VLOOKUP(VALUE(BK$44),'HR DATA'!$A$4:$AA$55,19,0)="TRUE"),0,VLOOKUP(VALUE(BK$44),'HR DATA'!$A$4:$AA$54,19,0))</f>
        <v>0</v>
      </c>
      <c r="BL69" s="184">
        <f>IF(ISERR(VLOOKUP(VALUE(BL$44),'HR DATA'!$A$4:$AA$55,19,0)="TRUE"),0,VLOOKUP(VALUE(BL$44),'HR DATA'!$A$4:$AA$54,19,0))</f>
        <v>62.01</v>
      </c>
      <c r="BM69" s="184">
        <f>IF(ISERR(VLOOKUP(VALUE(BM$44),'HR DATA'!$A$4:$AA$55,19,0)="TRUE"),0,VLOOKUP(VALUE(BM$44),'HR DATA'!$A$4:$AA$54,19,0))</f>
        <v>0</v>
      </c>
      <c r="BN69" s="184">
        <f>IF(ISERR(VLOOKUP(VALUE(BN$44),'HR DATA'!$A$4:$AA$55,19,0)="TRUE"),0,VLOOKUP(VALUE(BN$44),'HR DATA'!$A$4:$AA$54,19,0))</f>
        <v>976733.24000000011</v>
      </c>
      <c r="BO69" s="184">
        <f>IF(ISERR(VLOOKUP(VALUE(BO$44),'HR DATA'!$A$4:$AA$55,19,0)="TRUE"),0,VLOOKUP(VALUE(BO$44),'HR DATA'!$A$4:$AA$54,19,0))</f>
        <v>0</v>
      </c>
      <c r="BP69" s="184">
        <f>IF(ISERR(VLOOKUP(VALUE(BP$44),'HR DATA'!$A$4:$AA$55,19,0)="TRUE"),0,VLOOKUP(VALUE(BP$44),'HR DATA'!$A$4:$AA$54,19,0))</f>
        <v>0</v>
      </c>
      <c r="BQ69" s="184">
        <f>IF(ISERR(VLOOKUP(VALUE(BQ$44),'HR DATA'!$A$4:$AA$55,19,0)="TRUE"),0,VLOOKUP(VALUE(BQ$44),'HR DATA'!$A$4:$AA$54,19,0))</f>
        <v>0</v>
      </c>
      <c r="BR69" s="184">
        <f>IF(ISERR(VLOOKUP(VALUE(BR$44),'HR DATA'!$A$4:$AA$55,19,0)="TRUE"),0,VLOOKUP(VALUE(BR$44),'HR DATA'!$A$4:$AA$54,19,0))</f>
        <v>273831.60000000003</v>
      </c>
      <c r="BS69" s="184">
        <f>IF(ISERR(VLOOKUP(VALUE(BS$44),'HR DATA'!$A$4:$AA$55,19,0)="TRUE"),0,VLOOKUP(VALUE(BS$44),'HR DATA'!$A$4:$AA$54,19,0))</f>
        <v>0</v>
      </c>
      <c r="BT69" s="184">
        <f>IF(ISERR(VLOOKUP(VALUE(BT$44),'HR DATA'!$A$4:$AA$55,19,0)="TRUE"),0,VLOOKUP(VALUE(BT$44),'HR DATA'!$A$4:$AA$54,19,0))</f>
        <v>0</v>
      </c>
      <c r="BU69" s="184">
        <f>IF(ISERR(VLOOKUP(VALUE(BU$44),'HR DATA'!$A$4:$AA$55,19,0)="TRUE"),0,VLOOKUP(VALUE(BU$44),'HR DATA'!$A$4:$AA$54,19,0))</f>
        <v>0</v>
      </c>
      <c r="BV69" s="184">
        <f>IF(ISERR(VLOOKUP(VALUE(BV$44),'HR DATA'!$A$4:$AA$55,19,0)="TRUE"),0,VLOOKUP(VALUE(BV$44),'HR DATA'!$A$4:$AA$54,19,0))</f>
        <v>0</v>
      </c>
      <c r="BW69" s="184">
        <f>IF(ISERR(VLOOKUP(VALUE(BW$44),'HR DATA'!$A$4:$AA$55,19,0)="TRUE"),0,VLOOKUP(VALUE(BW$44),'HR DATA'!$A$4:$AA$54,19,0))</f>
        <v>0</v>
      </c>
      <c r="BX69" s="184">
        <f>IF(ISERR(VLOOKUP(VALUE(BX$44),'HR DATA'!$A$4:$AA$55,19,0)="TRUE"),0,VLOOKUP(VALUE(BX$44),'HR DATA'!$A$4:$AA$54,19,0))</f>
        <v>0</v>
      </c>
      <c r="BY69" s="184">
        <f>IF(ISERR(VLOOKUP(VALUE(BY$44),'HR DATA'!$A$4:$AA$55,19,0)="TRUE"),0,VLOOKUP(VALUE(BY$44),'HR DATA'!$A$4:$AA$54,19,0))</f>
        <v>71450.970000000016</v>
      </c>
      <c r="BZ69" s="184">
        <f>IF(ISERR(VLOOKUP(VALUE(BZ$44),'HR DATA'!$A$4:$AA$55,19,0)="TRUE"),0,VLOOKUP(VALUE(BZ$44),'HR DATA'!$A$4:$AA$54,19,0))</f>
        <v>1631.16</v>
      </c>
      <c r="CA69" s="184">
        <f>IF(ISERR(VLOOKUP(VALUE(CA$44),'HR DATA'!$A$4:$AA$55,19,0)="TRUE"),0,VLOOKUP(VALUE(CA$44),'HR DATA'!$A$4:$AA$54,19,0))</f>
        <v>16067.099999999999</v>
      </c>
      <c r="CB69" s="184">
        <f>IF(ISERR(VLOOKUP(VALUE(CB$44),'HR DATA'!$A$4:$AA$55,19,0)="TRUE"),0,VLOOKUP(VALUE(CB$44),'HR DATA'!$A$4:$AA$54,19,0))</f>
        <v>0</v>
      </c>
      <c r="CC69" s="184">
        <f>IF(ISERR(VLOOKUP(VALUE(CC$44),'HR DATA'!$A$4:$AA$55,19,0)="TRUE"),0,VLOOKUP(VALUE(CC$44),'HR DATA'!$A$4:$AA$54,19,0))</f>
        <v>372.78</v>
      </c>
      <c r="CD69" s="184">
        <f>IF(ISERR(VLOOKUP(VALUE(CD$44),'HR DATA'!$A$4:$AA$55,19,0)="TRUE"),0,VLOOKUP(VALUE(CD$44),'HR DATA'!$A$4:$AA$54,19,0))+7840468.68+1800000+280157</f>
        <v>9920625.6799999997</v>
      </c>
      <c r="CE69" s="193">
        <f t="shared" si="0"/>
        <v>15044267.289999999</v>
      </c>
      <c r="CF69" s="247"/>
    </row>
    <row r="70" spans="1:84" ht="12.6" customHeight="1" x14ac:dyDescent="0.2">
      <c r="A70" s="171" t="s">
        <v>242</v>
      </c>
      <c r="B70" s="175"/>
      <c r="C70" s="184">
        <f>IF(ISERR(VLOOKUP(VALUE(C$44),'HR DATA'!$A$4:$AA$54,5,0)="TRUE"),0,VLOOKUP(VALUE(C$44),'HR DATA'!$A$4:$AA$54,5,0))</f>
        <v>0</v>
      </c>
      <c r="D70" s="184">
        <f>IF(ISERR(VLOOKUP(VALUE(D$44),'HR DATA'!$A$4:$AA$54,5,0)="TRUE"),0,VLOOKUP(VALUE(D$44),'HR DATA'!$A$4:$AA$54,5,0))</f>
        <v>0</v>
      </c>
      <c r="E70" s="184">
        <f>IF(ISERR(VLOOKUP(VALUE(E$44),'HR DATA'!$A$4:$AA$54,5,0)="TRUE"),0,VLOOKUP(VALUE(E$44),'HR DATA'!$A$4:$AA$54,5,0))</f>
        <v>0</v>
      </c>
      <c r="F70" s="184">
        <f>IF(ISERR(VLOOKUP(VALUE(F$44),'HR DATA'!$A$4:$AA$54,5,0)="TRUE"),0,VLOOKUP(VALUE(F$44),'HR DATA'!$A$4:$AA$54,5,0))</f>
        <v>0</v>
      </c>
      <c r="G70" s="184">
        <f>IF(ISERR(VLOOKUP(VALUE(G$44),'HR DATA'!$A$4:$AA$54,5,0)="TRUE"),0,VLOOKUP(VALUE(G$44),'HR DATA'!$A$4:$AA$54,5,0))</f>
        <v>0</v>
      </c>
      <c r="H70" s="184">
        <f>IF(ISERR(VLOOKUP(VALUE(H$44),'HR DATA'!$A$4:$AA$54,5,0)="TRUE"),0,VLOOKUP(VALUE(H$44),'HR DATA'!$A$4:$AA$54,5,0))</f>
        <v>0</v>
      </c>
      <c r="I70" s="184">
        <f>IF(ISERR(VLOOKUP(VALUE(I$44),'HR DATA'!$A$4:$AA$54,5,0)="TRUE"),0,VLOOKUP(VALUE(I$44),'HR DATA'!$A$4:$AA$54,5,0))</f>
        <v>0</v>
      </c>
      <c r="J70" s="184">
        <f>IF(ISERR(VLOOKUP(VALUE(J$44),'HR DATA'!$A$4:$AA$54,5,0)="TRUE"),0,VLOOKUP(VALUE(J$44),'HR DATA'!$A$4:$AA$54,5,0))</f>
        <v>0</v>
      </c>
      <c r="K70" s="184">
        <f>IF(ISERR(VLOOKUP(VALUE(K$44),'HR DATA'!$A$4:$AA$54,5,0)="TRUE"),0,VLOOKUP(VALUE(K$44),'HR DATA'!$A$4:$AA$54,5,0))</f>
        <v>0</v>
      </c>
      <c r="L70" s="184">
        <f>IF(ISERR(VLOOKUP(VALUE(L$44),'HR DATA'!$A$4:$AA$54,5,0)="TRUE"),0,VLOOKUP(VALUE(L$44),'HR DATA'!$A$4:$AA$54,5,0))</f>
        <v>0</v>
      </c>
      <c r="M70" s="184">
        <f>IF(ISERR(VLOOKUP(VALUE(M$44),'HR DATA'!$A$4:$AA$54,5,0)="TRUE"),0,VLOOKUP(VALUE(M$44),'HR DATA'!$A$4:$AA$54,5,0))</f>
        <v>0</v>
      </c>
      <c r="N70" s="184">
        <f>IF(ISERR(VLOOKUP(VALUE(N$44),'HR DATA'!$A$4:$AA$54,5,0)="TRUE"),0,VLOOKUP(VALUE(N$44),'HR DATA'!$A$4:$AA$54,5,0))</f>
        <v>0</v>
      </c>
      <c r="O70" s="184">
        <f>IF(ISERR(VLOOKUP(VALUE(O$44),'HR DATA'!$A$4:$AA$54,5,0)="TRUE"),0,VLOOKUP(VALUE(O$44),'HR DATA'!$A$4:$AA$54,5,0))</f>
        <v>1318.22</v>
      </c>
      <c r="P70" s="184">
        <f>IF(ISERR(VLOOKUP(VALUE(P$44),'HR DATA'!$A$4:$AA$54,5,0)="TRUE"),0,VLOOKUP(VALUE(P$44),'HR DATA'!$A$4:$AA$54,5,0))</f>
        <v>9058.5</v>
      </c>
      <c r="Q70" s="184">
        <f>IF(ISERR(VLOOKUP(VALUE(Q$44),'HR DATA'!$A$4:$AA$54,5,0)="TRUE"),0,VLOOKUP(VALUE(Q$44),'HR DATA'!$A$4:$AA$54,5,0))</f>
        <v>0</v>
      </c>
      <c r="R70" s="184">
        <f>IF(ISERR(VLOOKUP(VALUE(R$44),'HR DATA'!$A$4:$AA$54,5,0)="TRUE"),0,VLOOKUP(VALUE(R$44),'HR DATA'!$A$4:$AA$54,5,0))</f>
        <v>0</v>
      </c>
      <c r="S70" s="184">
        <f>IF(ISERR(VLOOKUP(VALUE(S$44),'HR DATA'!$A$4:$AA$54,5,0)="TRUE"),0,VLOOKUP(VALUE(S$44),'HR DATA'!$A$4:$AA$54,5,0))</f>
        <v>0</v>
      </c>
      <c r="T70" s="184">
        <f>IF(ISERR(VLOOKUP(VALUE(T$44),'HR DATA'!$A$4:$AA$54,5,0)="TRUE"),0,VLOOKUP(VALUE(T$44),'HR DATA'!$A$4:$AA$54,5,0))</f>
        <v>0</v>
      </c>
      <c r="U70" s="184">
        <f>IF(ISERR(VLOOKUP(VALUE(U$44),'HR DATA'!$A$4:$AA$54,5,0)="TRUE"),0,VLOOKUP(VALUE(U$44),'HR DATA'!$A$4:$AA$54,5,0))</f>
        <v>227251.84</v>
      </c>
      <c r="V70" s="184">
        <f>IF(ISERR(VLOOKUP(VALUE(V$44),'HR DATA'!$A$4:$AA$54,5,0)="TRUE"),0,VLOOKUP(VALUE(V$44),'HR DATA'!$A$4:$AA$54,5,0))</f>
        <v>0</v>
      </c>
      <c r="W70" s="184">
        <f>IF(ISERR(VLOOKUP(VALUE(W$44),'HR DATA'!$A$4:$AA$54,5,0)="TRUE"),0,VLOOKUP(VALUE(W$44),'HR DATA'!$A$4:$AA$54,5,0))</f>
        <v>0</v>
      </c>
      <c r="X70" s="184">
        <f>IF(ISERR(VLOOKUP(VALUE(X$44),'HR DATA'!$A$4:$AA$54,5,0)="TRUE"),0,VLOOKUP(VALUE(X$44),'HR DATA'!$A$4:$AA$54,5,0))</f>
        <v>0</v>
      </c>
      <c r="Y70" s="184">
        <f>IF(ISERR(VLOOKUP(VALUE(Y$44),'HR DATA'!$A$4:$AA$54,5,0)="TRUE"),0,VLOOKUP(VALUE(Y$44),'HR DATA'!$A$4:$AA$54,5,0))</f>
        <v>11319.81</v>
      </c>
      <c r="Z70" s="184">
        <f>IF(ISERR(VLOOKUP(VALUE(Z$44),'HR DATA'!$A$4:$AA$54,5,0)="TRUE"),0,VLOOKUP(VALUE(Z$44),'HR DATA'!$A$4:$AA$54,5,0))</f>
        <v>1725</v>
      </c>
      <c r="AA70" s="184">
        <f>IF(ISERR(VLOOKUP(VALUE(AA$44),'HR DATA'!$A$4:$AA$54,5,0)="TRUE"),0,VLOOKUP(VALUE(AA$44),'HR DATA'!$A$4:$AA$54,5,0))</f>
        <v>0</v>
      </c>
      <c r="AB70" s="184">
        <f>IF(ISERR(VLOOKUP(VALUE(AB$44),'HR DATA'!$A$4:$AA$54,5,0)="TRUE"),0,VLOOKUP(VALUE(AB$44),'HR DATA'!$A$4:$AA$54,5,0))</f>
        <v>0</v>
      </c>
      <c r="AC70" s="184">
        <f>IF(ISERR(VLOOKUP(VALUE(AC$44),'HR DATA'!$A$4:$AA$54,5,0)="TRUE"),0,VLOOKUP(VALUE(AC$44),'HR DATA'!$A$4:$AA$54,5,0))</f>
        <v>0</v>
      </c>
      <c r="AD70" s="184">
        <f>IF(ISERR(VLOOKUP(VALUE(AD$44),'HR DATA'!$A$4:$AA$54,5,0)="TRUE"),0,VLOOKUP(VALUE(AD$44),'HR DATA'!$A$4:$AA$54,5,0))</f>
        <v>12488.15</v>
      </c>
      <c r="AE70" s="184">
        <f>IF(ISERR(VLOOKUP(VALUE(AE$44),'HR DATA'!$A$4:$AA$54,5,0)="TRUE"),0,VLOOKUP(VALUE(AE$44),'HR DATA'!$A$4:$AA$54,5,0))</f>
        <v>3505.2299999999996</v>
      </c>
      <c r="AF70" s="184">
        <f>IF(ISERR(VLOOKUP(VALUE(AF$44),'HR DATA'!$A$4:$AA$54,5,0)="TRUE"),0,VLOOKUP(VALUE(AF$44),'HR DATA'!$A$4:$AA$54,5,0))</f>
        <v>0</v>
      </c>
      <c r="AG70" s="184">
        <f>IF(ISERR(VLOOKUP(VALUE(AG$44),'HR DATA'!$A$4:$AA$54,5,0)="TRUE"),0,VLOOKUP(VALUE(AG$44),'HR DATA'!$A$4:$AA$54,5,0))</f>
        <v>91000</v>
      </c>
      <c r="AH70" s="184">
        <f>IF(ISERR(VLOOKUP(VALUE(AH$44),'HR DATA'!$A$4:$AA$54,5,0)="TRUE"),0,VLOOKUP(VALUE(AH$44),'HR DATA'!$A$4:$AA$54,5,0))</f>
        <v>0</v>
      </c>
      <c r="AI70" s="184">
        <f>IF(ISERR(VLOOKUP(VALUE(AI$44),'HR DATA'!$A$4:$AA$54,5,0)="TRUE"),0,VLOOKUP(VALUE(AI$44),'HR DATA'!$A$4:$AA$54,5,0))</f>
        <v>0</v>
      </c>
      <c r="AJ70" s="184">
        <f>IF(ISERR(VLOOKUP(VALUE(AJ$44),'HR DATA'!$A$4:$AA$54,5,0)="TRUE"),0,VLOOKUP(VALUE(AJ$44),'HR DATA'!$A$4:$AA$54,5,0))</f>
        <v>4055980.94</v>
      </c>
      <c r="AK70" s="184">
        <f>IF(ISERR(VLOOKUP(VALUE(AK$44),'HR DATA'!$A$4:$AA$54,5,0)="TRUE"),0,VLOOKUP(VALUE(AK$44),'HR DATA'!$A$4:$AA$54,5,0))</f>
        <v>2961.67</v>
      </c>
      <c r="AL70" s="184">
        <f>IF(ISERR(VLOOKUP(VALUE(AL$44),'HR DATA'!$A$4:$AA$54,5,0)="TRUE"),0,VLOOKUP(VALUE(AL$44),'HR DATA'!$A$4:$AA$54,5,0))</f>
        <v>2000.08</v>
      </c>
      <c r="AM70" s="184">
        <f>IF(ISERR(VLOOKUP(VALUE(AM$44),'HR DATA'!$A$4:$AA$54,5,0)="TRUE"),0,VLOOKUP(VALUE(AM$44),'HR DATA'!$A$4:$AA$54,5,0))</f>
        <v>0</v>
      </c>
      <c r="AN70" s="184">
        <f>IF(ISERR(VLOOKUP(VALUE(AN$44),'HR DATA'!$A$4:$AA$54,5,0)="TRUE"),0,VLOOKUP(VALUE(AN$44),'HR DATA'!$A$4:$AA$54,5,0))</f>
        <v>0</v>
      </c>
      <c r="AO70" s="184">
        <f>IF(ISERR(VLOOKUP(VALUE(AO$44),'HR DATA'!$A$4:$AA$54,5,0)="TRUE"),0,VLOOKUP(VALUE(AO$44),'HR DATA'!$A$4:$AA$54,5,0))</f>
        <v>0</v>
      </c>
      <c r="AP70" s="184">
        <f>IF(ISERR(VLOOKUP(VALUE(AP$44),'HR DATA'!$A$4:$AA$54,5,0)="TRUE"),0,VLOOKUP(VALUE(AP$44),'HR DATA'!$A$4:$AA$54,5,0))</f>
        <v>1301689.73</v>
      </c>
      <c r="AQ70" s="184">
        <f>IF(ISERR(VLOOKUP(VALUE(AQ$44),'HR DATA'!$A$4:$AA$54,5,0)="TRUE"),0,VLOOKUP(VALUE(AQ$44),'HR DATA'!$A$4:$AA$54,5,0))</f>
        <v>0</v>
      </c>
      <c r="AR70" s="184">
        <f>IF(ISERR(VLOOKUP(VALUE(AR$44),'HR DATA'!$A$4:$AA$54,5,0)="TRUE"),0,VLOOKUP(VALUE(AR$44),'HR DATA'!$A$4:$AA$54,5,0))</f>
        <v>0</v>
      </c>
      <c r="AS70" s="184">
        <f>IF(ISERR(VLOOKUP(VALUE(AS$44),'HR DATA'!$A$4:$AA$54,5,0)="TRUE"),0,VLOOKUP(VALUE(AS$44),'HR DATA'!$A$4:$AA$54,5,0))</f>
        <v>0</v>
      </c>
      <c r="AT70" s="184">
        <f>IF(ISERR(VLOOKUP(VALUE(AT$44),'HR DATA'!$A$4:$AA$54,5,0)="TRUE"),0,VLOOKUP(VALUE(AT$44),'HR DATA'!$A$4:$AA$54,5,0))</f>
        <v>0</v>
      </c>
      <c r="AU70" s="184">
        <f>IF(ISERR(VLOOKUP(VALUE(AU$44),'HR DATA'!$A$4:$AA$54,5,0)="TRUE"),0,VLOOKUP(VALUE(AU$44),'HR DATA'!$A$4:$AA$54,5,0))</f>
        <v>0</v>
      </c>
      <c r="AV70" s="184">
        <f>IF(ISERR(VLOOKUP(VALUE(AV$44),'HR DATA'!$A$4:$AA$54,5,0)="TRUE"),0,VLOOKUP(VALUE(AV$44),'HR DATA'!$A$4:$AA$54,5,0))</f>
        <v>15408.13</v>
      </c>
      <c r="AW70" s="184">
        <f>IF(ISERR(VLOOKUP(VALUE(AW$44),'HR DATA'!$A$4:$AA$54,5,0)="TRUE"),0,VLOOKUP(VALUE(AW$44),'HR DATA'!$A$4:$AA$54,5,0))</f>
        <v>0</v>
      </c>
      <c r="AX70" s="184">
        <f>IF(ISERR(VLOOKUP(VALUE(AX$44),'HR DATA'!$A$4:$AA$54,5,0)="TRUE"),0,VLOOKUP(VALUE(AX$44),'HR DATA'!$A$4:$AA$54,5,0))</f>
        <v>0</v>
      </c>
      <c r="AY70" s="184">
        <f>IF(ISERR(VLOOKUP(VALUE(AY$44),'HR DATA'!$A$4:$AA$54,5,0)="TRUE"),0,VLOOKUP(VALUE(AY$44),'HR DATA'!$A$4:$AA$54,5,0))</f>
        <v>1765836.77</v>
      </c>
      <c r="AZ70" s="184">
        <f>IF(ISERR(VLOOKUP(VALUE(AZ$44),'HR DATA'!$A$4:$AA$54,5,0)="TRUE"),0,VLOOKUP(VALUE(AZ$44),'HR DATA'!$A$4:$AA$54,5,0))</f>
        <v>0</v>
      </c>
      <c r="BA70" s="184">
        <f>IF(ISERR(VLOOKUP(VALUE(BA$44),'HR DATA'!$A$4:$AA$54,5,0)="TRUE"),0,VLOOKUP(VALUE(BA$44),'HR DATA'!$A$4:$AA$54,5,0))</f>
        <v>0</v>
      </c>
      <c r="BB70" s="184">
        <f>IF(ISERR(VLOOKUP(VALUE(BB$44),'HR DATA'!$A$4:$AA$54,5,0)="TRUE"),0,VLOOKUP(VALUE(BB$44),'HR DATA'!$A$4:$AA$54,5,0))</f>
        <v>0</v>
      </c>
      <c r="BC70" s="184">
        <f>IF(ISERR(VLOOKUP(VALUE(BC$44),'HR DATA'!$A$4:$AA$54,5,0)="TRUE"),0,VLOOKUP(VALUE(BC$44),'HR DATA'!$A$4:$AA$54,5,0))</f>
        <v>0</v>
      </c>
      <c r="BD70" s="184">
        <f>IF(ISERR(VLOOKUP(VALUE(BD$44),'HR DATA'!$A$4:$AA$54,5,0)="TRUE"),0,VLOOKUP(VALUE(BD$44),'HR DATA'!$A$4:$AA$54,5,0))</f>
        <v>0</v>
      </c>
      <c r="BE70" s="184">
        <f>IF(ISERR(VLOOKUP(VALUE(BE$44),'HR DATA'!$A$4:$AA$54,5,0)="TRUE"),0,VLOOKUP(VALUE(BE$44),'HR DATA'!$A$4:$AA$54,5,0))</f>
        <v>0</v>
      </c>
      <c r="BF70" s="184">
        <f>IF(ISERR(VLOOKUP(VALUE(BF$44),'HR DATA'!$A$4:$AA$54,5,0)="TRUE"),0,VLOOKUP(VALUE(BF$44),'HR DATA'!$A$4:$AA$54,5,0))</f>
        <v>0</v>
      </c>
      <c r="BG70" s="184">
        <f>IF(ISERR(VLOOKUP(VALUE(BG$44),'HR DATA'!$A$4:$AA$54,5,0)="TRUE"),0,VLOOKUP(VALUE(BG$44),'HR DATA'!$A$4:$AA$54,5,0))</f>
        <v>0</v>
      </c>
      <c r="BH70" s="184">
        <f>IF(ISERR(VLOOKUP(VALUE(BH$44),'HR DATA'!$A$4:$AA$54,5,0)="TRUE"),0,VLOOKUP(VALUE(BH$44),'HR DATA'!$A$4:$AA$54,5,0))</f>
        <v>0</v>
      </c>
      <c r="BI70" s="184">
        <f>IF(ISERR(VLOOKUP(VALUE(BI$44),'HR DATA'!$A$4:$AA$54,5,0)="TRUE"),0,VLOOKUP(VALUE(BI$44),'HR DATA'!$A$4:$AA$54,5,0))</f>
        <v>146168.03</v>
      </c>
      <c r="BJ70" s="184">
        <f>IF(ISERR(VLOOKUP(VALUE(BJ$44),'HR DATA'!$A$4:$AA$54,5,0)="TRUE"),0,VLOOKUP(VALUE(BJ$44),'HR DATA'!$A$4:$AA$54,5,0))</f>
        <v>0</v>
      </c>
      <c r="BK70" s="184">
        <f>IF(ISERR(VLOOKUP(VALUE(BK$44),'HR DATA'!$A$4:$AA$54,5,0)="TRUE"),0,VLOOKUP(VALUE(BK$44),'HR DATA'!$A$4:$AA$54,5,0))</f>
        <v>0</v>
      </c>
      <c r="BL70" s="184">
        <f>IF(ISERR(VLOOKUP(VALUE(BL$44),'HR DATA'!$A$4:$AA$54,5,0)="TRUE"),0,VLOOKUP(VALUE(BL$44),'HR DATA'!$A$4:$AA$54,5,0))</f>
        <v>0</v>
      </c>
      <c r="BM70" s="184">
        <f>IF(ISERR(VLOOKUP(VALUE(BM$44),'HR DATA'!$A$4:$AA$54,5,0)="TRUE"),0,VLOOKUP(VALUE(BM$44),'HR DATA'!$A$4:$AA$54,5,0))</f>
        <v>0</v>
      </c>
      <c r="BN70" s="184">
        <f>IF(ISERR(VLOOKUP(VALUE(BN$44),'HR DATA'!$A$4:$AA$54,5,0)="TRUE"),0,VLOOKUP(VALUE(BN$44),'HR DATA'!$A$4:$AA$54,5,0))</f>
        <v>467947.37</v>
      </c>
      <c r="BO70" s="184">
        <f>IF(ISERR(VLOOKUP(VALUE(BO$44),'HR DATA'!$A$4:$AA$54,5,0)="TRUE"),0,VLOOKUP(VALUE(BO$44),'HR DATA'!$A$4:$AA$54,5,0))</f>
        <v>0</v>
      </c>
      <c r="BP70" s="184">
        <f>IF(ISERR(VLOOKUP(VALUE(BP$44),'HR DATA'!$A$4:$AA$54,5,0)="TRUE"),0,VLOOKUP(VALUE(BP$44),'HR DATA'!$A$4:$AA$54,5,0))</f>
        <v>0</v>
      </c>
      <c r="BQ70" s="184">
        <f>IF(ISERR(VLOOKUP(VALUE(BQ$44),'HR DATA'!$A$4:$AA$54,5,0)="TRUE"),0,VLOOKUP(VALUE(BQ$44),'HR DATA'!$A$4:$AA$54,5,0))</f>
        <v>0</v>
      </c>
      <c r="BR70" s="184">
        <f>IF(ISERR(VLOOKUP(VALUE(BR$44),'HR DATA'!$A$4:$AA$54,5,0)="TRUE"),0,VLOOKUP(VALUE(BR$44),'HR DATA'!$A$4:$AA$54,5,0))</f>
        <v>0</v>
      </c>
      <c r="BS70" s="184">
        <f>IF(ISERR(VLOOKUP(VALUE(BS$44),'HR DATA'!$A$4:$AA$54,5,0)="TRUE"),0,VLOOKUP(VALUE(BS$44),'HR DATA'!$A$4:$AA$54,5,0))</f>
        <v>0</v>
      </c>
      <c r="BT70" s="184">
        <f>IF(ISERR(VLOOKUP(VALUE(BT$44),'HR DATA'!$A$4:$AA$54,5,0)="TRUE"),0,VLOOKUP(VALUE(BT$44),'HR DATA'!$A$4:$AA$54,5,0))</f>
        <v>0</v>
      </c>
      <c r="BU70" s="184">
        <f>IF(ISERR(VLOOKUP(VALUE(BU$44),'HR DATA'!$A$4:$AA$54,5,0)="TRUE"),0,VLOOKUP(VALUE(BU$44),'HR DATA'!$A$4:$AA$54,5,0))</f>
        <v>0</v>
      </c>
      <c r="BV70" s="184">
        <f>IF(ISERR(VLOOKUP(VALUE(BV$44),'HR DATA'!$A$4:$AA$54,5,0)="TRUE"),0,VLOOKUP(VALUE(BV$44),'HR DATA'!$A$4:$AA$54,5,0))</f>
        <v>2791.59</v>
      </c>
      <c r="BW70" s="184">
        <f>IF(ISERR(VLOOKUP(VALUE(BW$44),'HR DATA'!$A$4:$AA$54,5,0)="TRUE"),0,VLOOKUP(VALUE(BW$44),'HR DATA'!$A$4:$AA$54,5,0))</f>
        <v>386391.15</v>
      </c>
      <c r="BX70" s="184">
        <f>IF(ISERR(VLOOKUP(VALUE(BX$44),'HR DATA'!$A$4:$AA$54,5,0)="TRUE"),0,VLOOKUP(VALUE(BX$44),'HR DATA'!$A$4:$AA$54,5,0))</f>
        <v>0</v>
      </c>
      <c r="BY70" s="184">
        <f>IF(ISERR(VLOOKUP(VALUE(BY$44),'HR DATA'!$A$4:$AA$54,5,0)="TRUE"),0,VLOOKUP(VALUE(BY$44),'HR DATA'!$A$4:$AA$54,5,0))</f>
        <v>352490.05</v>
      </c>
      <c r="BZ70" s="184">
        <f>IF(ISERR(VLOOKUP(VALUE(BZ$44),'HR DATA'!$A$4:$AA$54,5,0)="TRUE"),0,VLOOKUP(VALUE(BZ$44),'HR DATA'!$A$4:$AA$54,5,0))</f>
        <v>0</v>
      </c>
      <c r="CA70" s="184">
        <f>IF(ISERR(VLOOKUP(VALUE(CA$44),'HR DATA'!$A$4:$AA$54,5,0)="TRUE"),0,VLOOKUP(VALUE(CA$44),'HR DATA'!$A$4:$AA$54,5,0))</f>
        <v>35.000000000000007</v>
      </c>
      <c r="CB70" s="184">
        <f>IF(ISERR(VLOOKUP(VALUE(CB$44),'HR DATA'!$A$4:$AA$54,5,0)="TRUE"),0,VLOOKUP(VALUE(CB$44),'HR DATA'!$A$4:$AA$54,5,0))</f>
        <v>0</v>
      </c>
      <c r="CC70" s="184">
        <f>IF(ISERR(VLOOKUP(VALUE(CC$44),'HR DATA'!$A$4:$AA$54,5,0)="TRUE"),0,VLOOKUP(VALUE(CC$44),'HR DATA'!$A$4:$AA$54,5,0))</f>
        <v>74975</v>
      </c>
      <c r="CD70" s="184">
        <v>11946085.300000001</v>
      </c>
      <c r="CE70" s="193">
        <f t="shared" si="0"/>
        <v>20878427.560000002</v>
      </c>
      <c r="CF70" s="247"/>
    </row>
    <row r="71" spans="1:84" ht="12.6" customHeight="1" x14ac:dyDescent="0.2">
      <c r="A71" s="171" t="s">
        <v>243</v>
      </c>
      <c r="B71" s="175"/>
      <c r="C71" s="193">
        <f>SUM(C61:C68)+C69-C70</f>
        <v>10593458.529999999</v>
      </c>
      <c r="D71" s="193">
        <f t="shared" ref="D71:AI71" si="5">SUM(D61:D69)-D70</f>
        <v>0</v>
      </c>
      <c r="E71" s="193">
        <f t="shared" si="5"/>
        <v>58556441.150000013</v>
      </c>
      <c r="F71" s="193">
        <f t="shared" si="5"/>
        <v>0</v>
      </c>
      <c r="G71" s="193">
        <f t="shared" si="5"/>
        <v>0</v>
      </c>
      <c r="H71" s="193">
        <f t="shared" si="5"/>
        <v>715.07999999999993</v>
      </c>
      <c r="I71" s="193">
        <f t="shared" si="5"/>
        <v>0</v>
      </c>
      <c r="J71" s="193">
        <f t="shared" si="5"/>
        <v>0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13437668.41</v>
      </c>
      <c r="P71" s="193">
        <f t="shared" si="5"/>
        <v>45847889.230000004</v>
      </c>
      <c r="Q71" s="193">
        <f t="shared" si="5"/>
        <v>6985695.7000000011</v>
      </c>
      <c r="R71" s="193">
        <f t="shared" si="5"/>
        <v>1500047.3699999999</v>
      </c>
      <c r="S71" s="193">
        <f t="shared" si="5"/>
        <v>2081053.6243250007</v>
      </c>
      <c r="T71" s="193">
        <f t="shared" si="5"/>
        <v>0</v>
      </c>
      <c r="U71" s="193">
        <f t="shared" si="5"/>
        <v>15323169.450000001</v>
      </c>
      <c r="V71" s="193">
        <f t="shared" si="5"/>
        <v>1186698.48</v>
      </c>
      <c r="W71" s="193">
        <f t="shared" si="5"/>
        <v>924998.70000000007</v>
      </c>
      <c r="X71" s="193">
        <f t="shared" si="5"/>
        <v>0</v>
      </c>
      <c r="Y71" s="193">
        <f t="shared" si="5"/>
        <v>42045074.289999992</v>
      </c>
      <c r="Z71" s="193">
        <f t="shared" si="5"/>
        <v>4941343.43</v>
      </c>
      <c r="AA71" s="193">
        <f t="shared" si="5"/>
        <v>1149465.01</v>
      </c>
      <c r="AB71" s="193">
        <f t="shared" si="5"/>
        <v>20779029.439999998</v>
      </c>
      <c r="AC71" s="193">
        <f t="shared" si="5"/>
        <v>6879542.71</v>
      </c>
      <c r="AD71" s="193">
        <f t="shared" si="5"/>
        <v>1097548.7400000002</v>
      </c>
      <c r="AE71" s="193">
        <f t="shared" si="5"/>
        <v>4604051.4000000004</v>
      </c>
      <c r="AF71" s="193">
        <f t="shared" si="5"/>
        <v>0</v>
      </c>
      <c r="AG71" s="193">
        <f t="shared" si="5"/>
        <v>22025999.486168943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162600052.47999999</v>
      </c>
      <c r="AK71" s="193">
        <f t="shared" si="6"/>
        <v>1598237.19</v>
      </c>
      <c r="AL71" s="193">
        <f t="shared" si="6"/>
        <v>784227.79</v>
      </c>
      <c r="AM71" s="193">
        <f t="shared" si="6"/>
        <v>0</v>
      </c>
      <c r="AN71" s="193">
        <f t="shared" si="6"/>
        <v>0</v>
      </c>
      <c r="AO71" s="193">
        <f t="shared" si="6"/>
        <v>0</v>
      </c>
      <c r="AP71" s="193">
        <f t="shared" si="6"/>
        <v>51592031.570000008</v>
      </c>
      <c r="AQ71" s="193">
        <f t="shared" si="6"/>
        <v>0</v>
      </c>
      <c r="AR71" s="193">
        <f t="shared" si="6"/>
        <v>129810.49500000002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4868557.3</v>
      </c>
      <c r="AW71" s="193">
        <f t="shared" si="6"/>
        <v>0</v>
      </c>
      <c r="AX71" s="193">
        <f t="shared" si="6"/>
        <v>0</v>
      </c>
      <c r="AY71" s="193">
        <f t="shared" si="6"/>
        <v>6880304.4900000021</v>
      </c>
      <c r="AZ71" s="193">
        <f t="shared" si="6"/>
        <v>0</v>
      </c>
      <c r="BA71" s="193">
        <f t="shared" si="6"/>
        <v>318590.40999999997</v>
      </c>
      <c r="BB71" s="193">
        <f t="shared" si="6"/>
        <v>48268</v>
      </c>
      <c r="BC71" s="193">
        <f t="shared" si="6"/>
        <v>1257463.51</v>
      </c>
      <c r="BD71" s="193">
        <f t="shared" si="6"/>
        <v>2693387.06</v>
      </c>
      <c r="BE71" s="193">
        <f t="shared" si="6"/>
        <v>18189119.061999999</v>
      </c>
      <c r="BF71" s="193">
        <f t="shared" si="6"/>
        <v>5202055.2799999993</v>
      </c>
      <c r="BG71" s="193">
        <f t="shared" si="6"/>
        <v>349760.21</v>
      </c>
      <c r="BH71" s="193">
        <f t="shared" si="6"/>
        <v>0</v>
      </c>
      <c r="BI71" s="193">
        <f t="shared" si="6"/>
        <v>-29356.940000000002</v>
      </c>
      <c r="BJ71" s="193">
        <f t="shared" si="6"/>
        <v>0</v>
      </c>
      <c r="BK71" s="193">
        <f t="shared" si="6"/>
        <v>8002783.4777212506</v>
      </c>
      <c r="BL71" s="193">
        <f t="shared" si="6"/>
        <v>3876323.4587513171</v>
      </c>
      <c r="BM71" s="193">
        <f t="shared" si="6"/>
        <v>0</v>
      </c>
      <c r="BN71" s="193">
        <f t="shared" si="6"/>
        <v>11089485.128182502</v>
      </c>
      <c r="BO71" s="193">
        <f t="shared" si="6"/>
        <v>0</v>
      </c>
      <c r="BP71" s="193">
        <f t="shared" ref="BP71:CC71" si="7">SUM(BP61:BP69)-BP70</f>
        <v>0</v>
      </c>
      <c r="BQ71" s="193">
        <f t="shared" si="7"/>
        <v>0</v>
      </c>
      <c r="BR71" s="193">
        <f t="shared" si="7"/>
        <v>286666.22000000003</v>
      </c>
      <c r="BS71" s="193">
        <f t="shared" si="7"/>
        <v>179361</v>
      </c>
      <c r="BT71" s="193">
        <f t="shared" si="7"/>
        <v>0</v>
      </c>
      <c r="BU71" s="193">
        <f t="shared" si="7"/>
        <v>113414</v>
      </c>
      <c r="BV71" s="193">
        <f t="shared" si="7"/>
        <v>5520596.2093459489</v>
      </c>
      <c r="BW71" s="193">
        <f t="shared" si="7"/>
        <v>-119855.86619175004</v>
      </c>
      <c r="BX71" s="193">
        <f t="shared" si="7"/>
        <v>4797647.6230057497</v>
      </c>
      <c r="BY71" s="193">
        <f t="shared" si="7"/>
        <v>6250085.25</v>
      </c>
      <c r="BZ71" s="193">
        <f t="shared" si="7"/>
        <v>2942027.7100000004</v>
      </c>
      <c r="CA71" s="193">
        <f t="shared" si="7"/>
        <v>1591659.34</v>
      </c>
      <c r="CB71" s="193">
        <f t="shared" si="7"/>
        <v>0</v>
      </c>
      <c r="CC71" s="193">
        <f t="shared" si="7"/>
        <v>63166719.053662755</v>
      </c>
      <c r="CD71" s="240">
        <f>CD69-CD70</f>
        <v>-2025459.620000001</v>
      </c>
      <c r="CE71" s="193">
        <f>SUM(CE61:CE69)-CE70</f>
        <v>622113851.12197161</v>
      </c>
      <c r="CF71" s="247"/>
    </row>
    <row r="72" spans="1:84" ht="12.6" customHeight="1" x14ac:dyDescent="0.2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6"/>
      <c r="CF72" s="247"/>
    </row>
    <row r="73" spans="1:84" ht="12.6" customHeight="1" x14ac:dyDescent="0.2">
      <c r="A73" s="171" t="s">
        <v>245</v>
      </c>
      <c r="B73" s="175"/>
      <c r="C73" s="184">
        <f>IF(ISERR(VLOOKUP(VALUE(C$44),'HR DATA'!$A$4:$AA$54,3,0)="TRUE"),0,VLOOKUP(VALUE(C$44),'HR DATA'!$A$4:$AA$54,3,0))</f>
        <v>39803770.270000003</v>
      </c>
      <c r="D73" s="184">
        <f>IF(ISERR(VLOOKUP(VALUE(D$44),'HR DATA'!$A$4:$AA$54,3,0)="TRUE"),0,VLOOKUP(VALUE(D$44),'HR DATA'!$A$4:$AA$54,3,0))</f>
        <v>0</v>
      </c>
      <c r="E73" s="184">
        <f>IF(ISERR(VLOOKUP(VALUE(E$44),'HR DATA'!$A$4:$AA$54,3,0)="TRUE"),0,VLOOKUP(VALUE(E$44),'HR DATA'!$A$4:$AA$54,3,0))</f>
        <v>221202881.27999991</v>
      </c>
      <c r="F73" s="184">
        <f>IF(ISERR(VLOOKUP(VALUE(F$44),'HR DATA'!$A$4:$AA$54,3,0)="TRUE"),0,VLOOKUP(VALUE(F$44),'HR DATA'!$A$4:$AA$54,3,0))</f>
        <v>0</v>
      </c>
      <c r="G73" s="184">
        <f>IF(ISERR(VLOOKUP(VALUE(G$44),'HR DATA'!$A$4:$AA$54,3,0)="TRUE"),0,VLOOKUP(VALUE(G$44),'HR DATA'!$A$4:$AA$54,3,0))</f>
        <v>0</v>
      </c>
      <c r="H73" s="184">
        <f>IF(ISERR(VLOOKUP(VALUE(H$44),'HR DATA'!$A$4:$AA$54,3,0)="TRUE"),0,VLOOKUP(VALUE(H$44),'HR DATA'!$A$4:$AA$54,3,0))</f>
        <v>0</v>
      </c>
      <c r="I73" s="184">
        <f>IF(ISERR(VLOOKUP(VALUE(I$44),'HR DATA'!$A$4:$AA$54,3,0)="TRUE"),0,VLOOKUP(VALUE(I$44),'HR DATA'!$A$4:$AA$54,3,0))</f>
        <v>0</v>
      </c>
      <c r="J73" s="184">
        <f>IF(ISERR(VLOOKUP(VALUE(J$44),'HR DATA'!$A$4:$AA$54,3,0)="TRUE"),0,VLOOKUP(VALUE(J$44),'HR DATA'!$A$4:$AA$54,3,0))</f>
        <v>0</v>
      </c>
      <c r="K73" s="184">
        <f>IF(ISERR(VLOOKUP(VALUE(K$44),'HR DATA'!$A$4:$AA$54,3,0)="TRUE"),0,VLOOKUP(VALUE(K$44),'HR DATA'!$A$4:$AA$54,3,0))</f>
        <v>0</v>
      </c>
      <c r="L73" s="184">
        <f>IF(ISERR(VLOOKUP(VALUE(L$44),'HR DATA'!$A$4:$AA$54,3,0)="TRUE"),0,VLOOKUP(VALUE(L$44),'HR DATA'!$A$4:$AA$54,3,0))</f>
        <v>0</v>
      </c>
      <c r="M73" s="184">
        <f>IF(ISERR(VLOOKUP(VALUE(M$44),'HR DATA'!$A$4:$AA$54,3,0)="TRUE"),0,VLOOKUP(VALUE(M$44),'HR DATA'!$A$4:$AA$54,3,0))</f>
        <v>0</v>
      </c>
      <c r="N73" s="184">
        <f>IF(ISERR(VLOOKUP(VALUE(N$44),'HR DATA'!$A$4:$AA$54,3,0)="TRUE"),0,VLOOKUP(VALUE(N$44),'HR DATA'!$A$4:$AA$54,3,0))</f>
        <v>0</v>
      </c>
      <c r="O73" s="184">
        <f>IF(ISERR(VLOOKUP(VALUE(O$44),'HR DATA'!$A$4:$AA$54,3,0)="TRUE"),0,VLOOKUP(VALUE(O$44),'HR DATA'!$A$4:$AA$54,3,0))</f>
        <v>58976022.239999995</v>
      </c>
      <c r="P73" s="184">
        <f>IF(ISERR(VLOOKUP(VALUE(P$44),'HR DATA'!$A$4:$AA$54,3,0)="TRUE"),0,VLOOKUP(VALUE(P$44),'HR DATA'!$A$4:$AA$54,3,0))</f>
        <v>211206944.19999999</v>
      </c>
      <c r="Q73" s="184">
        <f>IF(ISERR(VLOOKUP(VALUE(Q$44),'HR DATA'!$A$4:$AA$54,3,0)="TRUE"),0,VLOOKUP(VALUE(Q$44),'HR DATA'!$A$4:$AA$54,3,0))</f>
        <v>15260116.159999998</v>
      </c>
      <c r="R73" s="184">
        <f>IF(ISERR(VLOOKUP(VALUE(R$44),'HR DATA'!$A$4:$AA$54,3,0)="TRUE"),0,VLOOKUP(VALUE(R$44),'HR DATA'!$A$4:$AA$54,3,0))</f>
        <v>7092955.6000000006</v>
      </c>
      <c r="S73" s="184">
        <f>IF(ISERR(VLOOKUP(VALUE(S$44),'HR DATA'!$A$4:$AA$54,3,0)="TRUE"),0,VLOOKUP(VALUE(S$44),'HR DATA'!$A$4:$AA$54,3,0))</f>
        <v>0</v>
      </c>
      <c r="T73" s="184">
        <f>IF(ISERR(VLOOKUP(VALUE(T$44),'HR DATA'!$A$4:$AA$54,3,0)="TRUE"),0,VLOOKUP(VALUE(T$44),'HR DATA'!$A$4:$AA$54,3,0))</f>
        <v>0</v>
      </c>
      <c r="U73" s="184">
        <f>IF(ISERR(VLOOKUP(VALUE(U$44),'HR DATA'!$A$4:$AA$54,3,0)="TRUE"),0,VLOOKUP(VALUE(U$44),'HR DATA'!$A$4:$AA$54,3,0))</f>
        <v>68906934.230000004</v>
      </c>
      <c r="V73" s="184">
        <f>IF(ISERR(VLOOKUP(VALUE(V$44),'HR DATA'!$A$4:$AA$54,3,0)="TRUE"),0,VLOOKUP(VALUE(V$44),'HR DATA'!$A$4:$AA$54,3,0))</f>
        <v>23204151.43</v>
      </c>
      <c r="W73" s="184">
        <f>IF(ISERR(VLOOKUP(VALUE(W$44),'HR DATA'!$A$4:$AA$54,3,0)="TRUE"),0,VLOOKUP(VALUE(W$44),'HR DATA'!$A$4:$AA$54,3,0))</f>
        <v>7016612.0300000012</v>
      </c>
      <c r="X73" s="184">
        <f>IF(ISERR(VLOOKUP(VALUE(X$44),'HR DATA'!$A$4:$AA$54,3,0)="TRUE"),0,VLOOKUP(VALUE(X$44),'HR DATA'!$A$4:$AA$54,3,0))</f>
        <v>0</v>
      </c>
      <c r="Y73" s="184">
        <f>IF(ISERR(VLOOKUP(VALUE(Y$44),'HR DATA'!$A$4:$AA$54,3,0)="TRUE"),0,VLOOKUP(VALUE(Y$44),'HR DATA'!$A$4:$AA$54,3,0))</f>
        <v>177825251.30999997</v>
      </c>
      <c r="Z73" s="184">
        <f>IF(ISERR(VLOOKUP(VALUE(Z$44),'HR DATA'!$A$4:$AA$54,3,0)="TRUE"),0,VLOOKUP(VALUE(Z$44),'HR DATA'!$A$4:$AA$54,3,0))</f>
        <v>2622770.1800000002</v>
      </c>
      <c r="AA73" s="184">
        <f>IF(ISERR(VLOOKUP(VALUE(AA$44),'HR DATA'!$A$4:$AA$54,3,0)="TRUE"),0,VLOOKUP(VALUE(AA$44),'HR DATA'!$A$4:$AA$54,3,0))</f>
        <v>5811664.0700000003</v>
      </c>
      <c r="AB73" s="184">
        <f>IF(ISERR(VLOOKUP(VALUE(AB$44),'HR DATA'!$A$4:$AA$54,3,0)="TRUE"),0,VLOOKUP(VALUE(AB$44),'HR DATA'!$A$4:$AA$54,3,0))</f>
        <v>151028761.21000007</v>
      </c>
      <c r="AC73" s="184">
        <f>IF(ISERR(VLOOKUP(VALUE(AC$44),'HR DATA'!$A$4:$AA$54,3,0)="TRUE"),0,VLOOKUP(VALUE(AC$44),'HR DATA'!$A$4:$AA$54,3,0))</f>
        <v>41236474.899999999</v>
      </c>
      <c r="AD73" s="184">
        <f>IF(ISERR(VLOOKUP(VALUE(AD$44),'HR DATA'!$A$4:$AA$54,3,0)="TRUE"),0,VLOOKUP(VALUE(AD$44),'HR DATA'!$A$4:$AA$54,3,0))</f>
        <v>3805030.09</v>
      </c>
      <c r="AE73" s="184">
        <f>IF(ISERR(VLOOKUP(VALUE(AE$44),'HR DATA'!$A$4:$AA$54,3,0)="TRUE"),0,VLOOKUP(VALUE(AE$44),'HR DATA'!$A$4:$AA$54,3,0))</f>
        <v>5454932.4399999995</v>
      </c>
      <c r="AF73" s="184">
        <f>IF(ISERR(VLOOKUP(VALUE(AF$44),'HR DATA'!$A$4:$AA$54,3,0)="TRUE"),0,VLOOKUP(VALUE(AF$44),'HR DATA'!$A$4:$AA$54,3,0))</f>
        <v>0</v>
      </c>
      <c r="AG73" s="184">
        <f>IF(ISERR(VLOOKUP(VALUE(AG$44),'HR DATA'!$A$4:$AA$54,3,0)="TRUE"),0,VLOOKUP(VALUE(AG$44),'HR DATA'!$A$4:$AA$54,3,0))</f>
        <v>54646880.149999999</v>
      </c>
      <c r="AH73" s="184">
        <f>IF(ISERR(VLOOKUP(VALUE(AH$44),'HR DATA'!$A$4:$AA$54,3,0)="TRUE"),0,VLOOKUP(VALUE(AH$44),'HR DATA'!$A$4:$AA$54,3,0))</f>
        <v>0</v>
      </c>
      <c r="AI73" s="184">
        <f>IF(ISERR(VLOOKUP(VALUE(AI$44),'HR DATA'!$A$4:$AA$54,3,0)="TRUE"),0,VLOOKUP(VALUE(AI$44),'HR DATA'!$A$4:$AA$54,3,0))</f>
        <v>0</v>
      </c>
      <c r="AJ73" s="184">
        <f>IF(ISERR(VLOOKUP(VALUE(AJ$44),'HR DATA'!$A$4:$AA$54,3,0)="TRUE"),0,VLOOKUP(VALUE(AJ$44),'HR DATA'!$A$4:$AA$54,3,0))</f>
        <v>1073443.8199999998</v>
      </c>
      <c r="AK73" s="184">
        <f>IF(ISERR(VLOOKUP(VALUE(AK$44),'HR DATA'!$A$4:$AA$54,3,0)="TRUE"),0,VLOOKUP(VALUE(AK$44),'HR DATA'!$A$4:$AA$54,3,0))</f>
        <v>3626879.7</v>
      </c>
      <c r="AL73" s="184">
        <f>IF(ISERR(VLOOKUP(VALUE(AL$44),'HR DATA'!$A$4:$AA$54,3,0)="TRUE"),0,VLOOKUP(VALUE(AL$44),'HR DATA'!$A$4:$AA$54,3,0))</f>
        <v>1585841.9799999995</v>
      </c>
      <c r="AM73" s="184">
        <f>IF(ISERR(VLOOKUP(VALUE(AM$44),'HR DATA'!$A$4:$AA$54,3,0)="TRUE"),0,VLOOKUP(VALUE(AM$44),'HR DATA'!$A$4:$AA$54,3,0))</f>
        <v>0</v>
      </c>
      <c r="AN73" s="184">
        <f>IF(ISERR(VLOOKUP(VALUE(AN$44),'HR DATA'!$A$4:$AA$54,3,0)="TRUE"),0,VLOOKUP(VALUE(AN$44),'HR DATA'!$A$4:$AA$54,3,0))</f>
        <v>0</v>
      </c>
      <c r="AO73" s="184">
        <f>IF(ISERR(VLOOKUP(VALUE(AO$44),'HR DATA'!$A$4:$AA$54,3,0)="TRUE"),0,VLOOKUP(VALUE(AO$44),'HR DATA'!$A$4:$AA$54,3,0))</f>
        <v>0</v>
      </c>
      <c r="AP73" s="184">
        <f>IF(ISERR(VLOOKUP(VALUE(AP$44),'HR DATA'!$A$4:$AA$54,3,0)="TRUE"),0,VLOOKUP(VALUE(AP$44),'HR DATA'!$A$4:$AA$54,3,0))</f>
        <v>805266</v>
      </c>
      <c r="AQ73" s="184">
        <f>IF(ISERR(VLOOKUP(VALUE(AQ$44),'HR DATA'!$A$4:$AA$54,3,0)="TRUE"),0,VLOOKUP(VALUE(AQ$44),'HR DATA'!$A$4:$AA$54,3,0))</f>
        <v>0</v>
      </c>
      <c r="AR73" s="184">
        <f>IF(ISERR(VLOOKUP(VALUE(AR$44),'HR DATA'!$A$4:$AA$54,3,0)="TRUE"),0,VLOOKUP(VALUE(AR$44),'HR DATA'!$A$4:$AA$54,3,0))</f>
        <v>0</v>
      </c>
      <c r="AS73" s="184">
        <f>IF(ISERR(VLOOKUP(VALUE(AS$44),'HR DATA'!$A$4:$AA$54,3,0)="TRUE"),0,VLOOKUP(VALUE(AS$44),'HR DATA'!$A$4:$AA$54,3,0))</f>
        <v>0</v>
      </c>
      <c r="AT73" s="184">
        <f>IF(ISERR(VLOOKUP(VALUE(AT$44),'HR DATA'!$A$4:$AA$54,3,0)="TRUE"),0,VLOOKUP(VALUE(AT$44),'HR DATA'!$A$4:$AA$54,3,0))</f>
        <v>0</v>
      </c>
      <c r="AU73" s="184">
        <f>IF(ISERR(VLOOKUP(VALUE(AU$44),'HR DATA'!$A$4:$AA$54,3,0)="TRUE"),0,VLOOKUP(VALUE(AU$44),'HR DATA'!$A$4:$AA$54,3,0))</f>
        <v>0</v>
      </c>
      <c r="AV73" s="184">
        <f>IF(ISERR(VLOOKUP(VALUE(AV$44),'HR DATA'!$A$4:$AA$54,3,0)="TRUE"),0,VLOOKUP(VALUE(AV$44),'HR DATA'!$A$4:$AA$54,3,0))</f>
        <v>0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3">
        <f t="shared" ref="CE73:CE80" si="8">SUM(C73:CD73)</f>
        <v>1102193583.29</v>
      </c>
      <c r="CF73" s="247"/>
    </row>
    <row r="74" spans="1:84" ht="12.6" customHeight="1" x14ac:dyDescent="0.2">
      <c r="A74" s="171" t="s">
        <v>246</v>
      </c>
      <c r="B74" s="175"/>
      <c r="C74" s="184">
        <f>IF(ISERR(VLOOKUP(VALUE(C$44),'HR DATA'!$A$4:$AA$54,4,0)="TRUE"),0,VLOOKUP(VALUE(C$44),'HR DATA'!$A$4:$AA$54,4,0))</f>
        <v>180852.16</v>
      </c>
      <c r="D74" s="184">
        <f>IF(ISERR(VLOOKUP(VALUE(D$44),'HR DATA'!$A$4:$AA$54,4,0)="TRUE"),0,VLOOKUP(VALUE(D$44),'HR DATA'!$A$4:$AA$54,4,0))</f>
        <v>0</v>
      </c>
      <c r="E74" s="184">
        <f>IF(ISERR(VLOOKUP(VALUE(E$44),'HR DATA'!$A$4:$AA$54,4,0)="TRUE"),0,VLOOKUP(VALUE(E$44),'HR DATA'!$A$4:$AA$54,4,0))</f>
        <v>23071082.07</v>
      </c>
      <c r="F74" s="184">
        <f>IF(ISERR(VLOOKUP(VALUE(F$44),'HR DATA'!$A$4:$AA$54,4,0)="TRUE"),0,VLOOKUP(VALUE(F$44),'HR DATA'!$A$4:$AA$54,4,0))</f>
        <v>0</v>
      </c>
      <c r="G74" s="184">
        <f>IF(ISERR(VLOOKUP(VALUE(G$44),'HR DATA'!$A$4:$AA$54,4,0)="TRUE"),0,VLOOKUP(VALUE(G$44),'HR DATA'!$A$4:$AA$54,4,0))</f>
        <v>0</v>
      </c>
      <c r="H74" s="184">
        <f>IF(ISERR(VLOOKUP(VALUE(H$44),'HR DATA'!$A$4:$AA$54,4,0)="TRUE"),0,VLOOKUP(VALUE(H$44),'HR DATA'!$A$4:$AA$54,4,0))</f>
        <v>0</v>
      </c>
      <c r="I74" s="184">
        <f>IF(ISERR(VLOOKUP(VALUE(I$44),'HR DATA'!$A$4:$AA$54,4,0)="TRUE"),0,VLOOKUP(VALUE(I$44),'HR DATA'!$A$4:$AA$54,4,0))</f>
        <v>0</v>
      </c>
      <c r="J74" s="184">
        <f>IF(ISERR(VLOOKUP(VALUE(J$44),'HR DATA'!$A$4:$AA$54,4,0)="TRUE"),0,VLOOKUP(VALUE(J$44),'HR DATA'!$A$4:$AA$54,4,0))</f>
        <v>0</v>
      </c>
      <c r="K74" s="184">
        <f>IF(ISERR(VLOOKUP(VALUE(K$44),'HR DATA'!$A$4:$AA$54,4,0)="TRUE"),0,VLOOKUP(VALUE(K$44),'HR DATA'!$A$4:$AA$54,4,0))</f>
        <v>0</v>
      </c>
      <c r="L74" s="184">
        <f>IF(ISERR(VLOOKUP(VALUE(L$44),'HR DATA'!$A$4:$AA$54,4,0)="TRUE"),0,VLOOKUP(VALUE(L$44),'HR DATA'!$A$4:$AA$54,4,0))</f>
        <v>0</v>
      </c>
      <c r="M74" s="184">
        <f>IF(ISERR(VLOOKUP(VALUE(M$44),'HR DATA'!$A$4:$AA$54,4,0)="TRUE"),0,VLOOKUP(VALUE(M$44),'HR DATA'!$A$4:$AA$54,4,0))</f>
        <v>0</v>
      </c>
      <c r="N74" s="184">
        <f>IF(ISERR(VLOOKUP(VALUE(N$44),'HR DATA'!$A$4:$AA$54,4,0)="TRUE"),0,VLOOKUP(VALUE(N$44),'HR DATA'!$A$4:$AA$54,4,0))</f>
        <v>0</v>
      </c>
      <c r="O74" s="184">
        <f>IF(ISERR(VLOOKUP(VALUE(O$44),'HR DATA'!$A$4:$AA$54,4,0)="TRUE"),0,VLOOKUP(VALUE(O$44),'HR DATA'!$A$4:$AA$54,4,0))</f>
        <v>3552385.26</v>
      </c>
      <c r="P74" s="184">
        <f>IF(ISERR(VLOOKUP(VALUE(P$44),'HR DATA'!$A$4:$AA$54,4,0)="TRUE"),0,VLOOKUP(VALUE(P$44),'HR DATA'!$A$4:$AA$54,4,0))</f>
        <v>210767062.53000003</v>
      </c>
      <c r="Q74" s="184">
        <f>IF(ISERR(VLOOKUP(VALUE(Q$44),'HR DATA'!$A$4:$AA$54,4,0)="TRUE"),0,VLOOKUP(VALUE(Q$44),'HR DATA'!$A$4:$AA$54,4,0))</f>
        <v>36829100.350000001</v>
      </c>
      <c r="R74" s="184">
        <f>IF(ISERR(VLOOKUP(VALUE(R$44),'HR DATA'!$A$4:$AA$54,4,0)="TRUE"),0,VLOOKUP(VALUE(R$44),'HR DATA'!$A$4:$AA$54,4,0))</f>
        <v>13695580.390000001</v>
      </c>
      <c r="S74" s="184">
        <f>IF(ISERR(VLOOKUP(VALUE(S$44),'HR DATA'!$A$4:$AA$54,4,0)="TRUE"),0,VLOOKUP(VALUE(S$44),'HR DATA'!$A$4:$AA$54,4,0))</f>
        <v>0</v>
      </c>
      <c r="T74" s="184">
        <f>IF(ISERR(VLOOKUP(VALUE(T$44),'HR DATA'!$A$4:$AA$54,4,0)="TRUE"),0,VLOOKUP(VALUE(T$44),'HR DATA'!$A$4:$AA$54,4,0))</f>
        <v>0</v>
      </c>
      <c r="U74" s="184">
        <f>IF(ISERR(VLOOKUP(VALUE(U$44),'HR DATA'!$A$4:$AA$54,4,0)="TRUE"),0,VLOOKUP(VALUE(U$44),'HR DATA'!$A$4:$AA$54,4,0))</f>
        <v>38613515.379999995</v>
      </c>
      <c r="V74" s="184">
        <f>IF(ISERR(VLOOKUP(VALUE(V$44),'HR DATA'!$A$4:$AA$54,4,0)="TRUE"),0,VLOOKUP(VALUE(V$44),'HR DATA'!$A$4:$AA$54,4,0))</f>
        <v>13102001.069999998</v>
      </c>
      <c r="W74" s="184">
        <f>IF(ISERR(VLOOKUP(VALUE(W$44),'HR DATA'!$A$4:$AA$54,4,0)="TRUE"),0,VLOOKUP(VALUE(W$44),'HR DATA'!$A$4:$AA$54,4,0))</f>
        <v>14154411.440000001</v>
      </c>
      <c r="X74" s="184">
        <f>IF(ISERR(VLOOKUP(VALUE(X$44),'HR DATA'!$A$4:$AA$54,4,0)="TRUE"),0,VLOOKUP(VALUE(X$44),'HR DATA'!$A$4:$AA$54,4,0))</f>
        <v>0</v>
      </c>
      <c r="Y74" s="184">
        <f>IF(ISERR(VLOOKUP(VALUE(Y$44),'HR DATA'!$A$4:$AA$54,4,0)="TRUE"),0,VLOOKUP(VALUE(Y$44),'HR DATA'!$A$4:$AA$54,4,0))</f>
        <v>291202978.75</v>
      </c>
      <c r="Z74" s="184">
        <f>IF(ISERR(VLOOKUP(VALUE(Z$44),'HR DATA'!$A$4:$AA$54,4,0)="TRUE"),0,VLOOKUP(VALUE(Z$44),'HR DATA'!$A$4:$AA$54,4,0))</f>
        <v>43752212</v>
      </c>
      <c r="AA74" s="184">
        <f>IF(ISERR(VLOOKUP(VALUE(AA$44),'HR DATA'!$A$4:$AA$54,4,0)="TRUE"),0,VLOOKUP(VALUE(AA$44),'HR DATA'!$A$4:$AA$54,4,0))</f>
        <v>11598172.32</v>
      </c>
      <c r="AB74" s="184">
        <f>IF(ISERR(VLOOKUP(VALUE(AB$44),'HR DATA'!$A$4:$AA$54,4,0)="TRUE"),0,VLOOKUP(VALUE(AB$44),'HR DATA'!$A$4:$AA$54,4,0))</f>
        <v>106127689.60000001</v>
      </c>
      <c r="AC74" s="184">
        <f>IF(ISERR(VLOOKUP(VALUE(AC$44),'HR DATA'!$A$4:$AA$54,4,0)="TRUE"),0,VLOOKUP(VALUE(AC$44),'HR DATA'!$A$4:$AA$54,4,0))</f>
        <v>9804891.6899999995</v>
      </c>
      <c r="AD74" s="184">
        <f>IF(ISERR(VLOOKUP(VALUE(AD$44),'HR DATA'!$A$4:$AA$54,4,0)="TRUE"),0,VLOOKUP(VALUE(AD$44),'HR DATA'!$A$4:$AA$54,4,0))</f>
        <v>207248.34999999998</v>
      </c>
      <c r="AE74" s="184">
        <f>IF(ISERR(VLOOKUP(VALUE(AE$44),'HR DATA'!$A$4:$AA$54,4,0)="TRUE"),0,VLOOKUP(VALUE(AE$44),'HR DATA'!$A$4:$AA$54,4,0))</f>
        <v>7669402.3600000013</v>
      </c>
      <c r="AF74" s="184">
        <f>IF(ISERR(VLOOKUP(VALUE(AF$44),'HR DATA'!$A$4:$AA$54,4,0)="TRUE"),0,VLOOKUP(VALUE(AF$44),'HR DATA'!$A$4:$AA$54,4,0))</f>
        <v>0</v>
      </c>
      <c r="AG74" s="184">
        <f>IF(ISERR(VLOOKUP(VALUE(AG$44),'HR DATA'!$A$4:$AA$54,4,0)="TRUE"),0,VLOOKUP(VALUE(AG$44),'HR DATA'!$A$4:$AA$54,4,0))</f>
        <v>206281095.30999997</v>
      </c>
      <c r="AH74" s="184">
        <f>IF(ISERR(VLOOKUP(VALUE(AH$44),'HR DATA'!$A$4:$AA$54,4,0)="TRUE"),0,VLOOKUP(VALUE(AH$44),'HR DATA'!$A$4:$AA$54,4,0))</f>
        <v>0</v>
      </c>
      <c r="AI74" s="184">
        <f>IF(ISERR(VLOOKUP(VALUE(AI$44),'HR DATA'!$A$4:$AA$54,4,0)="TRUE"),0,VLOOKUP(VALUE(AI$44),'HR DATA'!$A$4:$AA$54,4,0))</f>
        <v>0</v>
      </c>
      <c r="AJ74" s="184">
        <f>IF(ISERR(VLOOKUP(VALUE(AJ$44),'HR DATA'!$A$4:$AA$54,4,0)="TRUE"),0,VLOOKUP(VALUE(AJ$44),'HR DATA'!$A$4:$AA$54,4,0))</f>
        <v>269019550.50999999</v>
      </c>
      <c r="AK74" s="184">
        <f>IF(ISERR(VLOOKUP(VALUE(AK$44),'HR DATA'!$A$4:$AA$54,4,0)="TRUE"),0,VLOOKUP(VALUE(AK$44),'HR DATA'!$A$4:$AA$54,4,0))</f>
        <v>3298096.92</v>
      </c>
      <c r="AL74" s="184">
        <f>IF(ISERR(VLOOKUP(VALUE(AL$44),'HR DATA'!$A$4:$AA$54,4,0)="TRUE"),0,VLOOKUP(VALUE(AL$44),'HR DATA'!$A$4:$AA$54,4,0))</f>
        <v>1854787.7899999996</v>
      </c>
      <c r="AM74" s="184">
        <f>IF(ISERR(VLOOKUP(VALUE(AM$44),'HR DATA'!$A$4:$AA$54,4,0)="TRUE"),0,VLOOKUP(VALUE(AM$44),'HR DATA'!$A$4:$AA$54,4,0))</f>
        <v>0</v>
      </c>
      <c r="AN74" s="184">
        <f>IF(ISERR(VLOOKUP(VALUE(AN$44),'HR DATA'!$A$4:$AA$54,4,0)="TRUE"),0,VLOOKUP(VALUE(AN$44),'HR DATA'!$A$4:$AA$54,4,0))</f>
        <v>0</v>
      </c>
      <c r="AO74" s="184">
        <f>IF(ISERR(VLOOKUP(VALUE(AO$44),'HR DATA'!$A$4:$AA$54,4,0)="TRUE"),0,VLOOKUP(VALUE(AO$44),'HR DATA'!$A$4:$AA$54,4,0))</f>
        <v>0</v>
      </c>
      <c r="AP74" s="184">
        <f>IF(ISERR(VLOOKUP(VALUE(AP$44),'HR DATA'!$A$4:$AA$54,4,0)="TRUE"),0,VLOOKUP(VALUE(AP$44),'HR DATA'!$A$4:$AA$54,4,0))</f>
        <v>393340809.79000008</v>
      </c>
      <c r="AQ74" s="184">
        <f>IF(ISERR(VLOOKUP(VALUE(AQ$44),'HR DATA'!$A$4:$AA$54,4,0)="TRUE"),0,VLOOKUP(VALUE(AQ$44),'HR DATA'!$A$4:$AA$54,4,0))</f>
        <v>0</v>
      </c>
      <c r="AR74" s="184">
        <f>IF(ISERR(VLOOKUP(VALUE(AR$44),'HR DATA'!$A$4:$AA$54,4,0)="TRUE"),0,VLOOKUP(VALUE(AR$44),'HR DATA'!$A$4:$AA$54,4,0))</f>
        <v>0</v>
      </c>
      <c r="AS74" s="184">
        <f>IF(ISERR(VLOOKUP(VALUE(AS$44),'HR DATA'!$A$4:$AA$54,4,0)="TRUE"),0,VLOOKUP(VALUE(AS$44),'HR DATA'!$A$4:$AA$54,4,0))</f>
        <v>0</v>
      </c>
      <c r="AT74" s="184">
        <f>IF(ISERR(VLOOKUP(VALUE(AT$44),'HR DATA'!$A$4:$AA$54,4,0)="TRUE"),0,VLOOKUP(VALUE(AT$44),'HR DATA'!$A$4:$AA$54,4,0))</f>
        <v>0</v>
      </c>
      <c r="AU74" s="184">
        <f>IF(ISERR(VLOOKUP(VALUE(AU$44),'HR DATA'!$A$4:$AA$54,4,0)="TRUE"),0,VLOOKUP(VALUE(AU$44),'HR DATA'!$A$4:$AA$54,4,0))</f>
        <v>0</v>
      </c>
      <c r="AV74" s="184">
        <f>IF(ISERR(VLOOKUP(VALUE(AV$44),'HR DATA'!$A$4:$AA$54,4,0)="TRUE"),0,VLOOKUP(VALUE(AV$44),'HR DATA'!$A$4:$AA$54,4,0))+4245764</f>
        <v>4245764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3">
        <f t="shared" si="8"/>
        <v>1702368690.0400004</v>
      </c>
      <c r="CF74" s="247"/>
    </row>
    <row r="75" spans="1:84" ht="12.6" customHeight="1" x14ac:dyDescent="0.2">
      <c r="A75" s="171" t="s">
        <v>247</v>
      </c>
      <c r="B75" s="175"/>
      <c r="C75" s="193">
        <f t="shared" ref="C75:AV75" si="9">SUM(C73:C74)</f>
        <v>39984622.43</v>
      </c>
      <c r="D75" s="193">
        <f t="shared" si="9"/>
        <v>0</v>
      </c>
      <c r="E75" s="193">
        <f t="shared" si="9"/>
        <v>244273963.3499999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0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62528407.499999993</v>
      </c>
      <c r="P75" s="193">
        <f t="shared" si="9"/>
        <v>421974006.73000002</v>
      </c>
      <c r="Q75" s="193">
        <f t="shared" si="9"/>
        <v>52089216.509999998</v>
      </c>
      <c r="R75" s="193">
        <f t="shared" si="9"/>
        <v>20788535.990000002</v>
      </c>
      <c r="S75" s="193">
        <f t="shared" si="9"/>
        <v>0</v>
      </c>
      <c r="T75" s="193">
        <f t="shared" si="9"/>
        <v>0</v>
      </c>
      <c r="U75" s="193">
        <f t="shared" si="9"/>
        <v>107520449.61</v>
      </c>
      <c r="V75" s="193">
        <f t="shared" si="9"/>
        <v>36306152.5</v>
      </c>
      <c r="W75" s="193">
        <f t="shared" si="9"/>
        <v>21171023.470000003</v>
      </c>
      <c r="X75" s="193">
        <f t="shared" si="9"/>
        <v>0</v>
      </c>
      <c r="Y75" s="193">
        <f t="shared" si="9"/>
        <v>469028230.05999994</v>
      </c>
      <c r="Z75" s="193">
        <f t="shared" si="9"/>
        <v>46374982.18</v>
      </c>
      <c r="AA75" s="193">
        <f t="shared" si="9"/>
        <v>17409836.390000001</v>
      </c>
      <c r="AB75" s="193">
        <f t="shared" si="9"/>
        <v>257156450.81000006</v>
      </c>
      <c r="AC75" s="193">
        <f t="shared" si="9"/>
        <v>51041366.589999996</v>
      </c>
      <c r="AD75" s="193">
        <f t="shared" si="9"/>
        <v>4012278.44</v>
      </c>
      <c r="AE75" s="193">
        <f t="shared" si="9"/>
        <v>13124334.800000001</v>
      </c>
      <c r="AF75" s="193">
        <f t="shared" si="9"/>
        <v>0</v>
      </c>
      <c r="AG75" s="193">
        <f t="shared" si="9"/>
        <v>260927975.45999998</v>
      </c>
      <c r="AH75" s="193">
        <f t="shared" si="9"/>
        <v>0</v>
      </c>
      <c r="AI75" s="193">
        <f t="shared" si="9"/>
        <v>0</v>
      </c>
      <c r="AJ75" s="193">
        <f t="shared" si="9"/>
        <v>270092994.32999998</v>
      </c>
      <c r="AK75" s="193">
        <f t="shared" si="9"/>
        <v>6924976.6200000001</v>
      </c>
      <c r="AL75" s="193">
        <f t="shared" si="9"/>
        <v>3440629.7699999991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394146075.79000008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4245764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3">
        <f t="shared" si="8"/>
        <v>2804562273.3299999</v>
      </c>
      <c r="CF75" s="247"/>
    </row>
    <row r="76" spans="1:84" ht="12.6" customHeight="1" x14ac:dyDescent="0.2">
      <c r="A76" s="171" t="s">
        <v>248</v>
      </c>
      <c r="B76" s="175"/>
      <c r="C76" s="184">
        <f>IF(ISERR(VLOOKUP(VALUE(C$44),'HR DATA'!$F$68:$AA$144,4,0)="TRUE"),0,VLOOKUP(VALUE(C$44),'HR DATA'!$F$68:$AA$144,4,0))</f>
        <v>8800</v>
      </c>
      <c r="D76" s="184">
        <f>IF(ISERR(VLOOKUP(VALUE(D$44),'HR DATA'!$F$68:$AA$144,4,0)="TRUE"),0,VLOOKUP(VALUE(D$44),'HR DATA'!$F$68:$AA$144,4,0))</f>
        <v>0</v>
      </c>
      <c r="E76" s="184">
        <f>IF(ISERR(VLOOKUP(VALUE(E$44),'HR DATA'!$F$68:$AA$144,4,0)="TRUE"),0,VLOOKUP(VALUE(E$44),'HR DATA'!$F$68:$AA$144,4,0))</f>
        <v>90290</v>
      </c>
      <c r="F76" s="184">
        <f>IF(ISERR(VLOOKUP(VALUE(F$44),'HR DATA'!$F$68:$AA$144,4,0)="TRUE"),0,VLOOKUP(VALUE(F$44),'HR DATA'!$F$68:$AA$144,4,0))</f>
        <v>0</v>
      </c>
      <c r="G76" s="184">
        <f>IF(ISERR(VLOOKUP(VALUE(G$44),'HR DATA'!$F$68:$AA$144,4,0)="TRUE"),0,VLOOKUP(VALUE(G$44),'HR DATA'!$F$68:$AA$144,4,0))</f>
        <v>0</v>
      </c>
      <c r="H76" s="184">
        <f>IF(ISERR(VLOOKUP(VALUE(H$44),'HR DATA'!$F$68:$AA$144,4,0)="TRUE"),0,VLOOKUP(VALUE(H$44),'HR DATA'!$F$68:$AA$144,4,0))</f>
        <v>0</v>
      </c>
      <c r="I76" s="184">
        <f>IF(ISERR(VLOOKUP(VALUE(I$44),'HR DATA'!$F$68:$AA$144,4,0)="TRUE"),0,VLOOKUP(VALUE(I$44),'HR DATA'!$F$68:$AA$144,4,0))</f>
        <v>0</v>
      </c>
      <c r="J76" s="184">
        <f>IF(ISERR(VLOOKUP(VALUE(J$44),'HR DATA'!$F$68:$AA$144,4,0)="TRUE"),0,VLOOKUP(VALUE(J$44),'HR DATA'!$F$68:$AA$144,4,0))</f>
        <v>0</v>
      </c>
      <c r="K76" s="184">
        <f>IF(ISERR(VLOOKUP(VALUE(K$44),'HR DATA'!$F$68:$AA$144,4,0)="TRUE"),0,VLOOKUP(VALUE(K$44),'HR DATA'!$F$68:$AA$144,4,0))</f>
        <v>0</v>
      </c>
      <c r="L76" s="184">
        <f>IF(ISERR(VLOOKUP(VALUE(L$44),'HR DATA'!$F$68:$AA$144,4,0)="TRUE"),0,VLOOKUP(VALUE(L$44),'HR DATA'!$F$68:$AA$144,4,0))</f>
        <v>0</v>
      </c>
      <c r="M76" s="184">
        <f>IF(ISERR(VLOOKUP(VALUE(M$44),'HR DATA'!$F$68:$AA$144,4,0)="TRUE"),0,VLOOKUP(VALUE(M$44),'HR DATA'!$F$68:$AA$144,4,0))</f>
        <v>0</v>
      </c>
      <c r="N76" s="184">
        <f>IF(ISERR(VLOOKUP(VALUE(N$44),'HR DATA'!$F$68:$AA$144,4,0)="TRUE"),0,VLOOKUP(VALUE(N$44),'HR DATA'!$F$68:$AA$144,4,0))</f>
        <v>0</v>
      </c>
      <c r="O76" s="184">
        <f>IF(ISERR(VLOOKUP(VALUE(O$44),'HR DATA'!$F$68:$AA$144,4,0)="TRUE"),0,VLOOKUP(VALUE(O$44),'HR DATA'!$F$68:$AA$144,4,0))</f>
        <v>16041</v>
      </c>
      <c r="P76" s="184">
        <f>IF(ISERR(VLOOKUP(VALUE(P$44),'HR DATA'!$F$68:$AA$144,4,0)="TRUE"),0,VLOOKUP(VALUE(P$44),'HR DATA'!$F$68:$AA$144,4,0))</f>
        <v>58788</v>
      </c>
      <c r="Q76" s="184">
        <f>IF(ISERR(VLOOKUP(VALUE(Q$44),'HR DATA'!$F$68:$AA$144,4,0)="TRUE"),0,VLOOKUP(VALUE(Q$44),'HR DATA'!$F$68:$AA$144,4,0))</f>
        <v>8627</v>
      </c>
      <c r="R76" s="184">
        <f>IF(ISERR(VLOOKUP(VALUE(R$44),'HR DATA'!$F$68:$AA$144,4,0)="TRUE"),0,VLOOKUP(VALUE(R$44),'HR DATA'!$F$68:$AA$144,4,0))</f>
        <v>116</v>
      </c>
      <c r="S76" s="184">
        <f>IF(ISERR(VLOOKUP(VALUE(S$44),'HR DATA'!$F$68:$AA$144,4,0)="TRUE"),0,VLOOKUP(VALUE(S$44),'HR DATA'!$F$68:$AA$144,4,0))</f>
        <v>8419</v>
      </c>
      <c r="T76" s="184">
        <f>IF(ISERR(VLOOKUP(VALUE(T$44),'HR DATA'!$F$68:$AA$144,4,0)="TRUE"),0,VLOOKUP(VALUE(T$44),'HR DATA'!$F$68:$AA$144,4,0))</f>
        <v>0</v>
      </c>
      <c r="U76" s="184">
        <f>IF(ISERR(VLOOKUP(VALUE(U$44),'HR DATA'!$F$68:$AA$144,4,0)="TRUE"),0,VLOOKUP(VALUE(U$44),'HR DATA'!$F$68:$AA$144,4,0))</f>
        <v>13374</v>
      </c>
      <c r="V76" s="184">
        <f>IF(ISERR(VLOOKUP(VALUE(V$44),'HR DATA'!$F$68:$AA$144,4,0)="TRUE"),0,VLOOKUP(VALUE(V$44),'HR DATA'!$F$68:$AA$144,4,0))</f>
        <v>0</v>
      </c>
      <c r="W76" s="184">
        <f>IF(ISERR(VLOOKUP(VALUE(W$44),'HR DATA'!$F$68:$AA$144,4,0)="TRUE"),0,VLOOKUP(VALUE(W$44),'HR DATA'!$F$68:$AA$144,4,0))</f>
        <v>2192</v>
      </c>
      <c r="X76" s="184">
        <f>IF(ISERR(VLOOKUP(VALUE(X$44),'HR DATA'!$F$68:$AA$144,4,0)="TRUE"),0,VLOOKUP(VALUE(X$44),'HR DATA'!$F$68:$AA$144,4,0))</f>
        <v>0</v>
      </c>
      <c r="Y76" s="184">
        <f>IF(ISERR(VLOOKUP(VALUE(Y$44),'HR DATA'!$F$68:$AA$144,4,0)="TRUE"),0,VLOOKUP(VALUE(Y$44),'HR DATA'!$F$68:$AA$144,4,0))</f>
        <v>23073</v>
      </c>
      <c r="Z76" s="184">
        <f>IF(ISERR(VLOOKUP(VALUE(Z$44),'HR DATA'!$F$68:$AA$144,4,0)="TRUE"),0,VLOOKUP(VALUE(Z$44),'HR DATA'!$F$68:$AA$144,4,0))</f>
        <v>11773</v>
      </c>
      <c r="AA76" s="184">
        <f>IF(ISERR(VLOOKUP(VALUE(AA$44),'HR DATA'!$F$68:$AA$144,4,0)="TRUE"),0,VLOOKUP(VALUE(AA$44),'HR DATA'!$F$68:$AA$144,4,0))</f>
        <v>0</v>
      </c>
      <c r="AB76" s="184">
        <f>IF(ISERR(VLOOKUP(VALUE(AB$44),'HR DATA'!$F$68:$AA$144,4,0)="TRUE"),0,VLOOKUP(VALUE(AB$44),'HR DATA'!$F$68:$AA$144,4,0))</f>
        <v>5552</v>
      </c>
      <c r="AC76" s="184">
        <f>IF(ISERR(VLOOKUP(VALUE(AC$44),'HR DATA'!$F$68:$AA$144,4,0)="TRUE"),0,VLOOKUP(VALUE(AC$44),'HR DATA'!$F$68:$AA$144,4,0))</f>
        <v>7609</v>
      </c>
      <c r="AD76" s="184">
        <f>IF(ISERR(VLOOKUP(VALUE(AD$44),'HR DATA'!$F$68:$AA$144,4,0)="TRUE"),0,VLOOKUP(VALUE(AD$44),'HR DATA'!$F$68:$AA$144,4,0))</f>
        <v>810</v>
      </c>
      <c r="AE76" s="184">
        <f>IF(ISERR(VLOOKUP(VALUE(AE$44),'HR DATA'!$F$68:$AA$144,4,0)="TRUE"),0,VLOOKUP(VALUE(AE$44),'HR DATA'!$F$68:$AA$144,4,0))</f>
        <v>21850</v>
      </c>
      <c r="AF76" s="184">
        <f>IF(ISERR(VLOOKUP(VALUE(AF$44),'HR DATA'!$F$68:$AA$144,4,0)="TRUE"),0,VLOOKUP(VALUE(AF$44),'HR DATA'!$F$68:$AA$144,4,0))</f>
        <v>0</v>
      </c>
      <c r="AG76" s="184">
        <f>IF(ISERR(VLOOKUP(VALUE(AG$44),'HR DATA'!$F$68:$AA$144,4,0)="TRUE"),0,VLOOKUP(VALUE(AG$44),'HR DATA'!$F$68:$AA$144,4,0))</f>
        <v>28510</v>
      </c>
      <c r="AH76" s="184">
        <f>IF(ISERR(VLOOKUP(VALUE(AH$44),'HR DATA'!$F$68:$AA$144,4,0)="TRUE"),0,VLOOKUP(VALUE(AH$44),'HR DATA'!$F$68:$AA$144,4,0))</f>
        <v>0</v>
      </c>
      <c r="AI76" s="184">
        <f>IF(ISERR(VLOOKUP(VALUE(AI$44),'HR DATA'!$F$68:$AA$144,4,0)="TRUE"),0,VLOOKUP(VALUE(AI$44),'HR DATA'!$F$68:$AA$144,4,0))</f>
        <v>0</v>
      </c>
      <c r="AJ76" s="184">
        <f>IF(ISERR(VLOOKUP(VALUE(AJ$44),'HR DATA'!$F$68:$AA$144,4,0)="TRUE"),0,VLOOKUP(VALUE(AJ$44),'HR DATA'!$F$68:$AA$144,4,0))</f>
        <v>0</v>
      </c>
      <c r="AK76" s="184">
        <f>IF(ISERR(VLOOKUP(VALUE(AK$44),'HR DATA'!$F$68:$AA$144,4,0)="TRUE"),0,VLOOKUP(VALUE(AK$44),'HR DATA'!$F$68:$AA$144,4,0))</f>
        <v>4681</v>
      </c>
      <c r="AL76" s="184">
        <f>IF(ISERR(VLOOKUP(VALUE(AL$44),'HR DATA'!$F$68:$AA$144,4,0)="TRUE"),0,VLOOKUP(VALUE(AL$44),'HR DATA'!$F$68:$AA$144,4,0))</f>
        <v>1540</v>
      </c>
      <c r="AM76" s="184">
        <f>IF(ISERR(VLOOKUP(VALUE(AM$44),'HR DATA'!$F$68:$AA$144,4,0)="TRUE"),0,VLOOKUP(VALUE(AM$44),'HR DATA'!$F$68:$AA$144,4,0))</f>
        <v>0</v>
      </c>
      <c r="AN76" s="184">
        <f>IF(ISERR(VLOOKUP(VALUE(AN$44),'HR DATA'!$F$68:$AA$144,4,0)="TRUE"),0,VLOOKUP(VALUE(AN$44),'HR DATA'!$F$68:$AA$144,4,0))</f>
        <v>0</v>
      </c>
      <c r="AO76" s="184">
        <f>IF(ISERR(VLOOKUP(VALUE(AO$44),'HR DATA'!$F$68:$AA$144,4,0)="TRUE"),0,VLOOKUP(VALUE(AO$44),'HR DATA'!$F$68:$AA$144,4,0))</f>
        <v>0</v>
      </c>
      <c r="AP76" s="184">
        <f>IF(ISERR(VLOOKUP(VALUE(AP$44),'HR DATA'!$F$68:$AA$144,4,0)="TRUE"),0,VLOOKUP(VALUE(AP$44),'HR DATA'!$F$68:$AA$144,4,0))</f>
        <v>63472</v>
      </c>
      <c r="AQ76" s="184">
        <f>IF(ISERR(VLOOKUP(VALUE(AQ$44),'HR DATA'!$F$68:$AA$144,4,0)="TRUE"),0,VLOOKUP(VALUE(AQ$44),'HR DATA'!$F$68:$AA$144,4,0))</f>
        <v>0</v>
      </c>
      <c r="AR76" s="184">
        <f>IF(ISERR(VLOOKUP(VALUE(AR$44),'HR DATA'!$F$68:$AA$144,4,0)="TRUE"),0,VLOOKUP(VALUE(AR$44),'HR DATA'!$F$68:$AA$144,4,0))</f>
        <v>0</v>
      </c>
      <c r="AS76" s="184">
        <f>IF(ISERR(VLOOKUP(VALUE(AS$44),'HR DATA'!$F$68:$AA$144,4,0)="TRUE"),0,VLOOKUP(VALUE(AS$44),'HR DATA'!$F$68:$AA$144,4,0))</f>
        <v>0</v>
      </c>
      <c r="AT76" s="184">
        <f>IF(ISERR(VLOOKUP(VALUE(AT$44),'HR DATA'!$F$68:$AA$144,4,0)="TRUE"),0,VLOOKUP(VALUE(AT$44),'HR DATA'!$F$68:$AA$144,4,0))</f>
        <v>0</v>
      </c>
      <c r="AU76" s="184">
        <f>IF(ISERR(VLOOKUP(VALUE(AU$44),'HR DATA'!$F$68:$AA$144,4,0)="TRUE"),0,VLOOKUP(VALUE(AU$44),'HR DATA'!$F$68:$AA$144,4,0))</f>
        <v>0</v>
      </c>
      <c r="AV76" s="184">
        <f>IF(ISERR(VLOOKUP(VALUE(AV$44),'HR DATA'!$F$68:$AA$144,4,0)="TRUE"),0,VLOOKUP(VALUE(AV$44),'HR DATA'!$F$68:$AA$144,4,0))</f>
        <v>3169</v>
      </c>
      <c r="AW76" s="184">
        <f>IF(ISERR(VLOOKUP(VALUE(AW$44),'HR DATA'!$F$68:$AA$144,4,0)="TRUE"),0,VLOOKUP(VALUE(AW$44),'HR DATA'!$F$68:$AA$144,4,0))</f>
        <v>0</v>
      </c>
      <c r="AX76" s="184">
        <f>IF(ISERR(VLOOKUP(VALUE(AX$44),'HR DATA'!$F$68:$AA$144,4,0)="TRUE"),0,VLOOKUP(VALUE(AX$44),'HR DATA'!$F$68:$AA$144,4,0))</f>
        <v>0</v>
      </c>
      <c r="AY76" s="184">
        <f>IF(ISERR(VLOOKUP(VALUE(AY$44),'HR DATA'!$F$68:$AA$144,4,0)="TRUE"),0,VLOOKUP(VALUE(AY$44),'HR DATA'!$F$68:$AA$144,4,0))</f>
        <v>19152</v>
      </c>
      <c r="AZ76" s="184">
        <f>IF(ISERR(VLOOKUP(VALUE(AZ$44),'HR DATA'!$F$68:$AA$144,4,0)="TRUE"),0,VLOOKUP(VALUE(AZ$44),'HR DATA'!$F$68:$AA$144,4,0))</f>
        <v>0</v>
      </c>
      <c r="BA76" s="184">
        <f>IF(ISERR(VLOOKUP(VALUE(BA$44),'HR DATA'!$F$68:$AA$144,4,0)="TRUE"),0,VLOOKUP(VALUE(BA$44),'HR DATA'!$F$68:$AA$144,4,0))</f>
        <v>3718</v>
      </c>
      <c r="BB76" s="184">
        <f>IF(ISERR(VLOOKUP(VALUE(BB$44),'HR DATA'!$F$68:$AA$144,4,0)="TRUE"),0,VLOOKUP(VALUE(BB$44),'HR DATA'!$F$68:$AA$144,4,0))</f>
        <v>1144</v>
      </c>
      <c r="BC76" s="184">
        <f>IF(ISERR(VLOOKUP(VALUE(BC$44),'HR DATA'!$F$68:$AA$144,4,0)="TRUE"),0,VLOOKUP(VALUE(BC$44),'HR DATA'!$F$68:$AA$144,4,0))</f>
        <v>0</v>
      </c>
      <c r="BD76" s="184">
        <f>IF(ISERR(VLOOKUP(VALUE(BD$44),'HR DATA'!$F$68:$AA$144,4,0)="TRUE"),0,VLOOKUP(VALUE(BD$44),'HR DATA'!$F$68:$AA$144,4,0))</f>
        <v>52614</v>
      </c>
      <c r="BE76" s="184">
        <f>IF(ISERR(VLOOKUP(VALUE(BE$44),'HR DATA'!$F$68:$AA$144,4,0)="TRUE"),0,VLOOKUP(VALUE(BE$44),'HR DATA'!$F$68:$AA$144,4,0))</f>
        <v>81349</v>
      </c>
      <c r="BF76" s="184">
        <f>IF(ISERR(VLOOKUP(VALUE(BF$44),'HR DATA'!$F$68:$AA$144,4,0)="TRUE"),0,VLOOKUP(VALUE(BF$44),'HR DATA'!$F$68:$AA$144,4,0))</f>
        <v>10852</v>
      </c>
      <c r="BG76" s="184">
        <f>IF(ISERR(VLOOKUP(VALUE(BG$44),'HR DATA'!$F$68:$AA$144,4,0)="TRUE"),0,VLOOKUP(VALUE(BG$44),'HR DATA'!$F$68:$AA$144,4,0))</f>
        <v>0</v>
      </c>
      <c r="BH76" s="184">
        <f>IF(ISERR(VLOOKUP(VALUE(BH$44),'HR DATA'!$F$68:$AA$144,4,0)="TRUE"),0,VLOOKUP(VALUE(BH$44),'HR DATA'!$F$68:$AA$144,4,0))</f>
        <v>0</v>
      </c>
      <c r="BI76" s="184">
        <f>IF(ISERR(VLOOKUP(VALUE(BI$44),'HR DATA'!$F$68:$AA$144,4,0)="TRUE"),0,VLOOKUP(VALUE(BI$44),'HR DATA'!$F$68:$AA$144,4,0))</f>
        <v>0</v>
      </c>
      <c r="BJ76" s="184">
        <f>IF(ISERR(VLOOKUP(VALUE(BJ$44),'HR DATA'!$F$68:$AA$144,4,0)="TRUE"),0,VLOOKUP(VALUE(BJ$44),'HR DATA'!$F$68:$AA$144,4,0))</f>
        <v>0</v>
      </c>
      <c r="BK76" s="184">
        <f>IF(ISERR(VLOOKUP(VALUE(BK$44),'HR DATA'!$F$68:$AA$144,4,0)="TRUE"),0,VLOOKUP(VALUE(BK$44),'HR DATA'!$F$68:$AA$144,4,0))</f>
        <v>0</v>
      </c>
      <c r="BL76" s="184">
        <f>IF(ISERR(VLOOKUP(VALUE(BL$44),'HR DATA'!$F$68:$AA$144,4,0)="TRUE"),0,VLOOKUP(VALUE(BL$44),'HR DATA'!$F$68:$AA$144,4,0))</f>
        <v>0</v>
      </c>
      <c r="BM76" s="184">
        <f>IF(ISERR(VLOOKUP(VALUE(BM$44),'HR DATA'!$F$68:$AA$144,4,0)="TRUE"),0,VLOOKUP(VALUE(BM$44),'HR DATA'!$F$68:$AA$144,4,0))</f>
        <v>0</v>
      </c>
      <c r="BN76" s="184">
        <f>IF(ISERR(VLOOKUP(VALUE(BN$44),'HR DATA'!$F$68:$AA$144,4,0)="TRUE"),0,VLOOKUP(VALUE(BN$44),'HR DATA'!$F$68:$AA$144,4,0))</f>
        <v>10802</v>
      </c>
      <c r="BO76" s="184">
        <f>IF(ISERR(VLOOKUP(VALUE(BO$44),'HR DATA'!$F$68:$AA$144,4,0)="TRUE"),0,VLOOKUP(VALUE(BO$44),'HR DATA'!$F$68:$AA$144,4,0))</f>
        <v>0</v>
      </c>
      <c r="BP76" s="184">
        <f>IF(ISERR(VLOOKUP(VALUE(BP$44),'HR DATA'!$F$68:$AA$144,4,0)="TRUE"),0,VLOOKUP(VALUE(BP$44),'HR DATA'!$F$68:$AA$144,4,0))</f>
        <v>0</v>
      </c>
      <c r="BQ76" s="184">
        <f>IF(ISERR(VLOOKUP(VALUE(BQ$44),'HR DATA'!$F$68:$AA$144,4,0)="TRUE"),0,VLOOKUP(VALUE(BQ$44),'HR DATA'!$F$68:$AA$144,4,0))</f>
        <v>0</v>
      </c>
      <c r="BR76" s="184">
        <f>IF(ISERR(VLOOKUP(VALUE(BR$44),'HR DATA'!$F$68:$AA$144,4,0)="TRUE"),0,VLOOKUP(VALUE(BR$44),'HR DATA'!$F$68:$AA$144,4,0))-3982</f>
        <v>0</v>
      </c>
      <c r="BS76" s="184">
        <f>IF(ISERR(VLOOKUP(VALUE(BS$44),'HR DATA'!$F$68:$AA$144,4,0)="TRUE"),0,VLOOKUP(VALUE(BS$44),'HR DATA'!$F$68:$AA$144,4,0))</f>
        <v>4251</v>
      </c>
      <c r="BT76" s="184">
        <f>IF(ISERR(VLOOKUP(VALUE(BT$44),'HR DATA'!$F$68:$AA$144,4,0)="TRUE"),0,VLOOKUP(VALUE(BT$44),'HR DATA'!$F$68:$AA$144,4,0))</f>
        <v>0</v>
      </c>
      <c r="BU76" s="184">
        <f>IF(ISERR(VLOOKUP(VALUE(BU$44),'HR DATA'!$F$68:$AA$144,4,0)="TRUE"),0,VLOOKUP(VALUE(BU$44),'HR DATA'!$F$68:$AA$144,4,0))</f>
        <v>2688</v>
      </c>
      <c r="BV76" s="184">
        <f>IF(ISERR(VLOOKUP(VALUE(BV$44),'HR DATA'!$F$68:$AA$144,4,0)="TRUE"),0,VLOOKUP(VALUE(BV$44),'HR DATA'!$F$68:$AA$144,4,0))</f>
        <v>7535</v>
      </c>
      <c r="BW76" s="184">
        <f>IF(ISERR(VLOOKUP(VALUE(BW$44),'HR DATA'!$F$68:$AA$144,4,0)="TRUE"),0,VLOOKUP(VALUE(BW$44),'HR DATA'!$F$68:$AA$144,4,0))</f>
        <v>0</v>
      </c>
      <c r="BX76" s="184">
        <f>IF(ISERR(VLOOKUP(VALUE(BX$44),'HR DATA'!$F$68:$AA$144,4,0)="TRUE"),0,VLOOKUP(VALUE(BX$44),'HR DATA'!$F$68:$AA$144,4,0))</f>
        <v>0</v>
      </c>
      <c r="BY76" s="184">
        <f>IF(ISERR(VLOOKUP(VALUE(BY$44),'HR DATA'!$F$68:$AA$144,4,0)="TRUE"),0,VLOOKUP(VALUE(BY$44),'HR DATA'!$F$68:$AA$144,4,0))</f>
        <v>2637</v>
      </c>
      <c r="BZ76" s="184">
        <f>IF(ISERR(VLOOKUP(VALUE(BZ$44),'HR DATA'!$F$68:$AA$144,4,0)="TRUE"),0,VLOOKUP(VALUE(BZ$44),'HR DATA'!$F$68:$AA$144,4,0))</f>
        <v>0</v>
      </c>
      <c r="CA76" s="184">
        <f>IF(ISERR(VLOOKUP(VALUE(CA$44),'HR DATA'!$F$68:$AA$144,4,0)="TRUE"),0,VLOOKUP(VALUE(CA$44),'HR DATA'!$F$68:$AA$144,4,0))</f>
        <v>1853</v>
      </c>
      <c r="CB76" s="184">
        <f>IF(ISERR(VLOOKUP(VALUE(CB$44),'HR DATA'!$F$68:$AA$144,4,0)="TRUE"),0,VLOOKUP(VALUE(CB$44),'HR DATA'!$F$68:$AA$144,4,0))</f>
        <v>0</v>
      </c>
      <c r="CC76" s="184">
        <f>IF(ISERR(VLOOKUP(VALUE(CC$44),'HR DATA'!$F$68:$AA$144,4,0)="TRUE"),0,VLOOKUP(VALUE(CC$44),'HR DATA'!$F$68:$AA$144,4,0))</f>
        <v>0</v>
      </c>
      <c r="CD76" s="244" t="s">
        <v>221</v>
      </c>
      <c r="CE76" s="193">
        <f t="shared" si="8"/>
        <v>577281</v>
      </c>
      <c r="CF76" s="193">
        <f>BE59-CE76</f>
        <v>0</v>
      </c>
    </row>
    <row r="77" spans="1:84" ht="12.6" customHeight="1" x14ac:dyDescent="0.2">
      <c r="A77" s="171" t="s">
        <v>249</v>
      </c>
      <c r="B77" s="175"/>
      <c r="C77" s="184">
        <v>6172</v>
      </c>
      <c r="D77" s="184">
        <v>0</v>
      </c>
      <c r="E77" s="184">
        <v>172250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10268</v>
      </c>
      <c r="P77" s="184">
        <v>5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11807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4" t="s">
        <v>221</v>
      </c>
      <c r="AY77" s="244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4" t="s">
        <v>221</v>
      </c>
      <c r="BE77" s="244" t="s">
        <v>221</v>
      </c>
      <c r="BF77" s="184">
        <v>0</v>
      </c>
      <c r="BG77" s="244" t="s">
        <v>221</v>
      </c>
      <c r="BH77" s="184">
        <v>0</v>
      </c>
      <c r="BI77" s="184">
        <v>0</v>
      </c>
      <c r="BJ77" s="244" t="s">
        <v>221</v>
      </c>
      <c r="BK77" s="184">
        <v>0</v>
      </c>
      <c r="BL77" s="184">
        <v>0</v>
      </c>
      <c r="BM77" s="184">
        <v>0</v>
      </c>
      <c r="BN77" s="244" t="s">
        <v>221</v>
      </c>
      <c r="BO77" s="244" t="s">
        <v>221</v>
      </c>
      <c r="BP77" s="244" t="s">
        <v>221</v>
      </c>
      <c r="BQ77" s="244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4" t="s">
        <v>221</v>
      </c>
      <c r="CD77" s="244" t="s">
        <v>221</v>
      </c>
      <c r="CE77" s="193">
        <f>SUM(C77:CD77)</f>
        <v>200502</v>
      </c>
      <c r="CF77" s="193">
        <f>AY59-CE77</f>
        <v>0</v>
      </c>
    </row>
    <row r="78" spans="1:84" ht="12.6" customHeight="1" x14ac:dyDescent="0.2">
      <c r="A78" s="171" t="s">
        <v>250</v>
      </c>
      <c r="B78" s="175"/>
      <c r="C78" s="184">
        <f>IF(ISERR(VLOOKUP(VALUE(C$44),'HR DATA'!$F$152:$AA$228,3,0)="TRUE"),0,VLOOKUP(VALUE(C$44),'HR DATA'!$F$152:$AA$228,3,0))</f>
        <v>2532.0644949715784</v>
      </c>
      <c r="D78" s="184">
        <f>IF(ISERR(VLOOKUP(VALUE(D$44),'HR DATA'!$F$152:$AA$228,3,0)="TRUE"),0,VLOOKUP(VALUE(D$44),'HR DATA'!$F$152:$AA$228,3,0))</f>
        <v>0</v>
      </c>
      <c r="E78" s="184">
        <f>IF(ISERR(VLOOKUP(VALUE(E$44),'HR DATA'!$F$152:$AA$228,3,0)="TRUE"),0,VLOOKUP(VALUE(E$44),'HR DATA'!$F$152:$AA$228,3,0))</f>
        <v>25979.557187611797</v>
      </c>
      <c r="F78" s="184">
        <f>IF(ISERR(VLOOKUP(VALUE(F$44),'HR DATA'!$F$152:$AA$228,3,0)="TRUE"),0,VLOOKUP(VALUE(F$44),'HR DATA'!$F$152:$AA$228,3,0))</f>
        <v>0</v>
      </c>
      <c r="G78" s="184">
        <f>IF(ISERR(VLOOKUP(VALUE(G$44),'HR DATA'!$F$152:$AA$228,3,0)="TRUE"),0,VLOOKUP(VALUE(G$44),'HR DATA'!$F$152:$AA$228,3,0))</f>
        <v>0</v>
      </c>
      <c r="H78" s="184">
        <f>IF(ISERR(VLOOKUP(VALUE(H$44),'HR DATA'!$F$152:$AA$228,3,0)="TRUE"),0,VLOOKUP(VALUE(H$44),'HR DATA'!$F$152:$AA$228,3,0))</f>
        <v>0</v>
      </c>
      <c r="I78" s="184">
        <f>IF(ISERR(VLOOKUP(VALUE(I$44),'HR DATA'!$F$152:$AA$228,3,0)="TRUE"),0,VLOOKUP(VALUE(I$44),'HR DATA'!$F$152:$AA$228,3,0))</f>
        <v>0</v>
      </c>
      <c r="J78" s="184">
        <f>IF(ISERR(VLOOKUP(VALUE(J$44),'HR DATA'!$F$152:$AA$228,3,0)="TRUE"),0,VLOOKUP(VALUE(J$44),'HR DATA'!$F$152:$AA$228,3,0))</f>
        <v>0</v>
      </c>
      <c r="K78" s="184">
        <f>IF(ISERR(VLOOKUP(VALUE(K$44),'HR DATA'!$F$152:$AA$228,3,0)="TRUE"),0,VLOOKUP(VALUE(K$44),'HR DATA'!$F$152:$AA$228,3,0))</f>
        <v>0</v>
      </c>
      <c r="L78" s="184">
        <f>IF(ISERR(VLOOKUP(VALUE(L$44),'HR DATA'!$F$152:$AA$228,3,0)="TRUE"),0,VLOOKUP(VALUE(L$44),'HR DATA'!$F$152:$AA$228,3,0))</f>
        <v>0</v>
      </c>
      <c r="M78" s="184">
        <f>IF(ISERR(VLOOKUP(VALUE(M$44),'HR DATA'!$F$152:$AA$228,3,0)="TRUE"),0,VLOOKUP(VALUE(M$44),'HR DATA'!$F$152:$AA$228,3,0))</f>
        <v>0</v>
      </c>
      <c r="N78" s="184">
        <f>IF(ISERR(VLOOKUP(VALUE(N$44),'HR DATA'!$F$152:$AA$228,3,0)="TRUE"),0,VLOOKUP(VALUE(N$44),'HR DATA'!$F$152:$AA$228,3,0))</f>
        <v>0</v>
      </c>
      <c r="O78" s="184">
        <f>IF(ISERR(VLOOKUP(VALUE(O$44),'HR DATA'!$F$152:$AA$228,3,0)="TRUE"),0,VLOOKUP(VALUE(O$44),'HR DATA'!$F$152:$AA$228,3,0))</f>
        <v>4616</v>
      </c>
      <c r="P78" s="184">
        <f>IF(ISERR(VLOOKUP(VALUE(P$44),'HR DATA'!$F$152:$AA$228,3,0)="TRUE"),0,VLOOKUP(VALUE(P$44),'HR DATA'!$F$152:$AA$228,3,0))</f>
        <v>16915.341764816945</v>
      </c>
      <c r="Q78" s="184">
        <f>IF(ISERR(VLOOKUP(VALUE(Q$44),'HR DATA'!$F$152:$AA$228,3,0)="TRUE"),0,VLOOKUP(VALUE(Q$44),'HR DATA'!$F$152:$AA$228,3,0))</f>
        <v>2482.2864088772508</v>
      </c>
      <c r="R78" s="184">
        <f>IF(ISERR(VLOOKUP(VALUE(R$44),'HR DATA'!$F$152:$AA$228,3,0)="TRUE"),0,VLOOKUP(VALUE(R$44),'HR DATA'!$F$152:$AA$228,3,0))</f>
        <v>33.377213797352617</v>
      </c>
      <c r="S78" s="184">
        <f>IF(ISERR(VLOOKUP(VALUE(S$44),'HR DATA'!$F$152:$AA$228,3,0)="TRUE"),0,VLOOKUP(VALUE(S$44),'HR DATA'!$F$152:$AA$228,3,0))</f>
        <v>2422.4376117233769</v>
      </c>
      <c r="T78" s="184">
        <f>IF(ISERR(VLOOKUP(VALUE(T$44),'HR DATA'!$F$152:$AA$228,3,0)="TRUE"),0,VLOOKUP(VALUE(T$44),'HR DATA'!$F$152:$AA$228,3,0))</f>
        <v>0</v>
      </c>
      <c r="U78" s="184">
        <f>IF(ISERR(VLOOKUP(VALUE(U$44),'HR DATA'!$F$152:$AA$228,3,0)="TRUE"),0,VLOOKUP(VALUE(U$44),'HR DATA'!$F$152:$AA$228,3,0))</f>
        <v>3848.1625631533966</v>
      </c>
      <c r="V78" s="184">
        <f>IF(ISERR(VLOOKUP(VALUE(V$44),'HR DATA'!$F$152:$AA$228,3,0)="TRUE"),0,VLOOKUP(VALUE(V$44),'HR DATA'!$F$152:$AA$228,3,0))</f>
        <v>0</v>
      </c>
      <c r="W78" s="184">
        <f>IF(ISERR(VLOOKUP(VALUE(W$44),'HR DATA'!$F$152:$AA$228,3,0)="TRUE"),0,VLOOKUP(VALUE(W$44),'HR DATA'!$F$152:$AA$228,3,0))</f>
        <v>630.71424692928406</v>
      </c>
      <c r="X78" s="184">
        <f>IF(ISERR(VLOOKUP(VALUE(X$44),'HR DATA'!$F$152:$AA$228,3,0)="TRUE"),0,VLOOKUP(VALUE(X$44),'HR DATA'!$F$152:$AA$228,3,0))</f>
        <v>0</v>
      </c>
      <c r="Y78" s="184">
        <f>IF(ISERR(VLOOKUP(VALUE(Y$44),'HR DATA'!$F$152:$AA$228,3,0)="TRUE"),0,VLOOKUP(VALUE(Y$44),'HR DATA'!$F$152:$AA$228,3,0))</f>
        <v>6638.9004650544575</v>
      </c>
      <c r="Z78" s="184">
        <f>IF(ISERR(VLOOKUP(VALUE(Z$44),'HR DATA'!$F$152:$AA$228,3,0)="TRUE"),0,VLOOKUP(VALUE(Z$44),'HR DATA'!$F$152:$AA$228,3,0))</f>
        <v>3387.49946582959</v>
      </c>
      <c r="AA78" s="184">
        <f>IF(ISERR(VLOOKUP(VALUE(AA$44),'HR DATA'!$F$152:$AA$228,3,0)="TRUE"),0,VLOOKUP(VALUE(AA$44),'HR DATA'!$F$152:$AA$228,3,0))</f>
        <v>0</v>
      </c>
      <c r="AB78" s="184">
        <f>IF(ISERR(VLOOKUP(VALUE(AB$44),'HR DATA'!$F$152:$AA$228,3,0)="TRUE"),0,VLOOKUP(VALUE(AB$44),'HR DATA'!$F$152:$AA$228,3,0))</f>
        <v>1597.5025086457049</v>
      </c>
      <c r="AC78" s="184">
        <f>IF(ISERR(VLOOKUP(VALUE(AC$44),'HR DATA'!$F$152:$AA$228,3,0)="TRUE"),0,VLOOKUP(VALUE(AC$44),'HR DATA'!$F$152:$AA$228,3,0))</f>
        <v>2189.3725843453112</v>
      </c>
      <c r="AD78" s="184">
        <f>IF(ISERR(VLOOKUP(VALUE(AD$44),'HR DATA'!$F$152:$AA$228,3,0)="TRUE"),0,VLOOKUP(VALUE(AD$44),'HR DATA'!$F$152:$AA$228,3,0))</f>
        <v>233.06502737806576</v>
      </c>
      <c r="AE78" s="184">
        <f>IF(ISERR(VLOOKUP(VALUE(AE$44),'HR DATA'!$F$152:$AA$228,3,0)="TRUE"),0,VLOOKUP(VALUE(AE$44),'HR DATA'!$F$152:$AA$228,3,0))</f>
        <v>6287.0010471737487</v>
      </c>
      <c r="AF78" s="184">
        <f>IF(ISERR(VLOOKUP(VALUE(AF$44),'HR DATA'!$F$152:$AA$228,3,0)="TRUE"),0,VLOOKUP(VALUE(AF$44),'HR DATA'!$F$152:$AA$228,3,0))</f>
        <v>0</v>
      </c>
      <c r="AG78" s="184">
        <f>IF(ISERR(VLOOKUP(VALUE(AG$44),'HR DATA'!$F$152:$AA$228,3,0)="TRUE"),0,VLOOKUP(VALUE(AG$44),'HR DATA'!$F$152:$AA$228,3,0))</f>
        <v>8203.3134945045094</v>
      </c>
      <c r="AH78" s="184">
        <f>IF(ISERR(VLOOKUP(VALUE(AH$44),'HR DATA'!$F$152:$AA$228,3,0)="TRUE"),0,VLOOKUP(VALUE(AH$44),'HR DATA'!$F$152:$AA$228,3,0))</f>
        <v>0</v>
      </c>
      <c r="AI78" s="184">
        <f>IF(ISERR(VLOOKUP(VALUE(AI$44),'HR DATA'!$F$152:$AA$228,3,0)="TRUE"),0,VLOOKUP(VALUE(AI$44),'HR DATA'!$F$152:$AA$228,3,0))</f>
        <v>0</v>
      </c>
      <c r="AJ78" s="184">
        <f>IF(ISERR(VLOOKUP(VALUE(AJ$44),'HR DATA'!$F$152:$AA$228,3,0)="TRUE"),0,VLOOKUP(VALUE(AJ$44),'HR DATA'!$F$152:$AA$228,3,0))</f>
        <v>0</v>
      </c>
      <c r="AK78" s="184">
        <f>IF(ISERR(VLOOKUP(VALUE(AK$44),'HR DATA'!$F$152:$AA$228,3,0)="TRUE"),0,VLOOKUP(VALUE(AK$44),'HR DATA'!$F$152:$AA$228,3,0))</f>
        <v>1346.8856705638589</v>
      </c>
      <c r="AL78" s="184">
        <f>IF(ISERR(VLOOKUP(VALUE(AL$44),'HR DATA'!$F$152:$AA$228,3,0)="TRUE"),0,VLOOKUP(VALUE(AL$44),'HR DATA'!$F$152:$AA$228,3,0))</f>
        <v>443.11128662002619</v>
      </c>
      <c r="AM78" s="184">
        <f>IF(ISERR(VLOOKUP(VALUE(AM$44),'HR DATA'!$F$152:$AA$228,3,0)="TRUE"),0,VLOOKUP(VALUE(AM$44),'HR DATA'!$F$152:$AA$228,3,0))</f>
        <v>0</v>
      </c>
      <c r="AN78" s="184">
        <f>IF(ISERR(VLOOKUP(VALUE(AN$44),'HR DATA'!$F$152:$AA$228,3,0)="TRUE"),0,VLOOKUP(VALUE(AN$44),'HR DATA'!$F$152:$AA$228,3,0))</f>
        <v>0</v>
      </c>
      <c r="AO78" s="184">
        <f>IF(ISERR(VLOOKUP(VALUE(AO$44),'HR DATA'!$F$152:$AA$228,3,0)="TRUE"),0,VLOOKUP(VALUE(AO$44),'HR DATA'!$F$152:$AA$228,3,0))</f>
        <v>0</v>
      </c>
      <c r="AP78" s="184">
        <f>IF(ISERR(VLOOKUP(VALUE(AP$44),'HR DATA'!$F$152:$AA$228,3,0)="TRUE"),0,VLOOKUP(VALUE(AP$44),'HR DATA'!$F$152:$AA$228,3,0))</f>
        <v>18263.09063918591</v>
      </c>
      <c r="AQ78" s="184">
        <f>IF(ISERR(VLOOKUP(VALUE(AQ$44),'HR DATA'!$F$152:$AA$228,3,0)="TRUE"),0,VLOOKUP(VALUE(AQ$44),'HR DATA'!$F$152:$AA$228,3,0))</f>
        <v>0</v>
      </c>
      <c r="AR78" s="184">
        <f>IF(ISERR(VLOOKUP(VALUE(AR$44),'HR DATA'!$F$152:$AA$228,3,0)="TRUE"),0,VLOOKUP(VALUE(AR$44),'HR DATA'!$F$152:$AA$228,3,0))</f>
        <v>0</v>
      </c>
      <c r="AS78" s="184">
        <f>IF(ISERR(VLOOKUP(VALUE(AS$44),'HR DATA'!$F$152:$AA$228,3,0)="TRUE"),0,VLOOKUP(VALUE(AS$44),'HR DATA'!$F$152:$AA$228,3,0))</f>
        <v>0</v>
      </c>
      <c r="AT78" s="184">
        <f>IF(ISERR(VLOOKUP(VALUE(AT$44),'HR DATA'!$F$152:$AA$228,3,0)="TRUE"),0,VLOOKUP(VALUE(AT$44),'HR DATA'!$F$152:$AA$228,3,0))</f>
        <v>0</v>
      </c>
      <c r="AU78" s="184">
        <f>IF(ISERR(VLOOKUP(VALUE(AU$44),'HR DATA'!$F$152:$AA$228,3,0)="TRUE"),0,VLOOKUP(VALUE(AU$44),'HR DATA'!$F$152:$AA$228,3,0))</f>
        <v>0</v>
      </c>
      <c r="AV78" s="184">
        <f>IF(ISERR(VLOOKUP(VALUE(AV$44),'HR DATA'!$F$152:$AA$228,3,0)="TRUE"),0,VLOOKUP(VALUE(AV$44),'HR DATA'!$F$152:$AA$228,3,0))</f>
        <v>911.8309527914696</v>
      </c>
      <c r="AW78" s="184">
        <f>IF(ISERR(VLOOKUP(VALUE(AW$44),'HR DATA'!$F$152:$AA$228,3,0)="TRUE"),0,VLOOKUP(VALUE(AW$44),'HR DATA'!$F$152:$AA$228,3,0))</f>
        <v>0</v>
      </c>
      <c r="AX78" s="244" t="s">
        <v>221</v>
      </c>
      <c r="AY78" s="244" t="s">
        <v>221</v>
      </c>
      <c r="AZ78" s="244" t="s">
        <v>221</v>
      </c>
      <c r="BA78" s="184">
        <f>IF(ISERR(VLOOKUP(VALUE(BA$44),'HR DATA'!$F$152:$AA$228,3,0)="TRUE"),0,VLOOKUP(VALUE(BA$44),'HR DATA'!$F$152:$AA$228,3,0))</f>
        <v>1069.7972491254918</v>
      </c>
      <c r="BB78" s="184">
        <f>IF(ISERR(VLOOKUP(VALUE(BB$44),'HR DATA'!$F$152:$AA$228,3,0)="TRUE"),0,VLOOKUP(VALUE(BB$44),'HR DATA'!$F$152:$AA$228,3,0))</f>
        <v>329.16838434630517</v>
      </c>
      <c r="BC78" s="184">
        <f>IF(ISERR(VLOOKUP(VALUE(BC$44),'HR DATA'!$F$152:$AA$228,3,0)="TRUE"),0,VLOOKUP(VALUE(BC$44),'HR DATA'!$F$152:$AA$228,3,0))</f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f>IF(ISERR(VLOOKUP(VALUE(BH$44),'HR DATA'!$F$152:$AA$228,3,0)="TRUE"),0,VLOOKUP(VALUE(BH$44),'HR DATA'!$F$152:$AA$228,3,0))</f>
        <v>0</v>
      </c>
      <c r="BI78" s="184">
        <f>IF(ISERR(VLOOKUP(VALUE(BI$44),'HR DATA'!$F$152:$AA$228,3,0)="TRUE"),0,VLOOKUP(VALUE(BI$44),'HR DATA'!$F$152:$AA$228,3,0))</f>
        <v>0</v>
      </c>
      <c r="BJ78" s="244" t="s">
        <v>221</v>
      </c>
      <c r="BK78" s="184">
        <f>IF(ISERR(VLOOKUP(VALUE(BK$44),'HR DATA'!$F$152:$AA$228,3,0)="TRUE"),0,VLOOKUP(VALUE(BK$44),'HR DATA'!$F$152:$AA$228,3,0))</f>
        <v>0</v>
      </c>
      <c r="BL78" s="184">
        <f>IF(ISERR(VLOOKUP(VALUE(BL$44),'HR DATA'!$F$152:$AA$228,3,0)="TRUE"),0,VLOOKUP(VALUE(BL$44),'HR DATA'!$F$152:$AA$228,3,0))</f>
        <v>0</v>
      </c>
      <c r="BM78" s="184">
        <f>IF(ISERR(VLOOKUP(VALUE(BM$44),'HR DATA'!$F$152:$AA$228,3,0)="TRUE"),0,VLOOKUP(VALUE(BM$44),'HR DATA'!$F$152:$AA$228,3,0))</f>
        <v>0</v>
      </c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>
        <f>IF(ISERR(VLOOKUP(VALUE(BS$44),'HR DATA'!$F$152:$AA$228,3,0)="TRUE"),0,VLOOKUP(VALUE(BS$44),'HR DATA'!$F$152:$AA$228,3,0))</f>
        <v>1223.159791832293</v>
      </c>
      <c r="BT78" s="184">
        <f>IF(ISERR(VLOOKUP(VALUE(BT$44),'HR DATA'!$F$152:$AA$228,3,0)="TRUE"),0,VLOOKUP(VALUE(BT$44),'HR DATA'!$F$152:$AA$228,3,0))</f>
        <v>0</v>
      </c>
      <c r="BU78" s="184">
        <f>IF(ISERR(VLOOKUP(VALUE(BU$44),'HR DATA'!$F$152:$AA$228,3,0)="TRUE"),0,VLOOKUP(VALUE(BU$44),'HR DATA'!$F$152:$AA$228,3,0))</f>
        <v>773.43060937313669</v>
      </c>
      <c r="BV78" s="184">
        <f>IF(ISERR(VLOOKUP(VALUE(BV$44),'HR DATA'!$F$152:$AA$228,3,0)="TRUE"),0,VLOOKUP(VALUE(BV$44),'HR DATA'!$F$152:$AA$228,3,0))</f>
        <v>2168.0802238194137</v>
      </c>
      <c r="BW78" s="184">
        <f>IF(ISERR(VLOOKUP(VALUE(BW$44),'HR DATA'!$F$152:$AA$228,3,0)="TRUE"),0,VLOOKUP(VALUE(BW$44),'HR DATA'!$F$152:$AA$228,3,0))</f>
        <v>0</v>
      </c>
      <c r="BX78" s="184">
        <f>IF(ISERR(VLOOKUP(VALUE(BX$44),'HR DATA'!$F$152:$AA$228,3,0)="TRUE"),0,VLOOKUP(VALUE(BX$44),'HR DATA'!$F$152:$AA$228,3,0))</f>
        <v>0</v>
      </c>
      <c r="BY78" s="184">
        <f>IF(ISERR(VLOOKUP(VALUE(BY$44),'HR DATA'!$F$152:$AA$228,3,0)="TRUE"),0,VLOOKUP(VALUE(BY$44),'HR DATA'!$F$152:$AA$228,3,0))</f>
        <v>758.75614468636945</v>
      </c>
      <c r="BZ78" s="184">
        <f>IF(ISERR(VLOOKUP(VALUE(BZ$44),'HR DATA'!$F$152:$AA$228,3,0)="TRUE"),0,VLOOKUP(VALUE(BZ$44),'HR DATA'!$F$152:$AA$228,3,0))</f>
        <v>0</v>
      </c>
      <c r="CA78" s="184">
        <f>IF(ISERR(VLOOKUP(VALUE(CA$44),'HR DATA'!$F$152:$AA$228,3,0)="TRUE"),0,VLOOKUP(VALUE(CA$44),'HR DATA'!$F$152:$AA$228,3,0))</f>
        <v>533.17221695253795</v>
      </c>
      <c r="CB78" s="184">
        <f>IF(ISERR(VLOOKUP(VALUE(CB$44),'HR DATA'!$F$152:$AA$228,3,0)="TRUE"),0,VLOOKUP(VALUE(CB$44),'HR DATA'!$F$152:$AA$228,3,0))</f>
        <v>0</v>
      </c>
      <c r="CC78" s="244" t="s">
        <v>221</v>
      </c>
      <c r="CD78" s="244" t="s">
        <v>221</v>
      </c>
      <c r="CE78" s="193">
        <f t="shared" si="8"/>
        <v>115817.07925410918</v>
      </c>
      <c r="CF78" s="193"/>
    </row>
    <row r="79" spans="1:84" ht="12.6" customHeight="1" x14ac:dyDescent="0.2">
      <c r="A79" s="171" t="s">
        <v>251</v>
      </c>
      <c r="B79" s="175"/>
      <c r="C79" s="221">
        <v>61803</v>
      </c>
      <c r="D79" s="184">
        <v>0</v>
      </c>
      <c r="E79" s="184">
        <v>639100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56644</v>
      </c>
      <c r="P79" s="184">
        <f>65680+253789</f>
        <v>319469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96370</v>
      </c>
      <c r="Z79" s="184">
        <v>27548</v>
      </c>
      <c r="AA79" s="184">
        <v>0</v>
      </c>
      <c r="AB79" s="184">
        <v>0</v>
      </c>
      <c r="AC79" s="184">
        <v>15229</v>
      </c>
      <c r="AD79" s="184">
        <v>0</v>
      </c>
      <c r="AE79" s="184">
        <f>183+23012</f>
        <v>23195</v>
      </c>
      <c r="AF79" s="184">
        <v>0</v>
      </c>
      <c r="AG79" s="184">
        <f>372779+110568</f>
        <v>483347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6612</v>
      </c>
      <c r="AW79" s="184">
        <v>0</v>
      </c>
      <c r="AX79" s="244" t="s">
        <v>221</v>
      </c>
      <c r="AY79" s="244" t="s">
        <v>221</v>
      </c>
      <c r="AZ79" s="244" t="s">
        <v>221</v>
      </c>
      <c r="BA79" s="244" t="s">
        <v>221</v>
      </c>
      <c r="BB79" s="184">
        <v>22</v>
      </c>
      <c r="BC79" s="184">
        <v>0</v>
      </c>
      <c r="BD79" s="244" t="s">
        <v>221</v>
      </c>
      <c r="BE79" s="244" t="s">
        <v>221</v>
      </c>
      <c r="BF79" s="244" t="s">
        <v>221</v>
      </c>
      <c r="BG79" s="244" t="s">
        <v>221</v>
      </c>
      <c r="BH79" s="184">
        <v>0</v>
      </c>
      <c r="BI79" s="184">
        <v>0</v>
      </c>
      <c r="BJ79" s="244" t="s">
        <v>221</v>
      </c>
      <c r="BK79" s="184">
        <v>0</v>
      </c>
      <c r="BL79" s="184">
        <v>0</v>
      </c>
      <c r="BM79" s="184">
        <v>0</v>
      </c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4" t="s">
        <v>221</v>
      </c>
      <c r="CD79" s="244" t="s">
        <v>221</v>
      </c>
      <c r="CE79" s="193">
        <f t="shared" si="8"/>
        <v>1729339</v>
      </c>
      <c r="CF79" s="193">
        <f>BA59</f>
        <v>0</v>
      </c>
    </row>
    <row r="80" spans="1:84" ht="21" customHeight="1" x14ac:dyDescent="0.2">
      <c r="A80" s="171" t="s">
        <v>252</v>
      </c>
      <c r="B80" s="175"/>
      <c r="C80" s="184">
        <f>IF(ISERR(VLOOKUP(VALUE(C$44),'HR DATA'!$A$68:$AB$102,3,0)="TRUE"),0,VLOOKUP(VALUE(C$44),'HR DATA'!$A$68:$AB$102,3,0))</f>
        <v>36.788572796934865</v>
      </c>
      <c r="D80" s="184">
        <f>IF(ISERR(VLOOKUP(VALUE(D$44),'HR DATA'!$A$68:$AB$102,3,0)="TRUE"),0,VLOOKUP(VALUE(D$44),'HR DATA'!$A$68:$AB$102,3,0))</f>
        <v>0</v>
      </c>
      <c r="E80" s="184">
        <f>IF(ISERR(VLOOKUP(VALUE(E$44),'HR DATA'!$A$68:$AB$102,3,0)="TRUE"),0,VLOOKUP(VALUE(E$44),'HR DATA'!$A$68:$AB$102,3,0))</f>
        <v>220.00319444444443</v>
      </c>
      <c r="F80" s="184">
        <f>IF(ISERR(VLOOKUP(VALUE(F$44),'HR DATA'!$A$68:$AB$102,3,0)="TRUE"),0,VLOOKUP(VALUE(F$44),'HR DATA'!$A$68:$AB$102,3,0))</f>
        <v>0</v>
      </c>
      <c r="G80" s="184">
        <f>IF(ISERR(VLOOKUP(VALUE(G$44),'HR DATA'!$A$68:$AB$102,3,0)="TRUE"),0,VLOOKUP(VALUE(G$44),'HR DATA'!$A$68:$AB$102,3,0))</f>
        <v>0</v>
      </c>
      <c r="H80" s="184">
        <f>IF(ISERR(VLOOKUP(VALUE(H$44),'HR DATA'!$A$68:$AB$102,3,0)="TRUE"),0,VLOOKUP(VALUE(H$44),'HR DATA'!$A$68:$AB$102,3,0))</f>
        <v>0</v>
      </c>
      <c r="I80" s="184">
        <f>IF(ISERR(VLOOKUP(VALUE(I$44),'HR DATA'!$A$68:$AB$102,3,0)="TRUE"),0,VLOOKUP(VALUE(I$44),'HR DATA'!$A$68:$AB$102,3,0))</f>
        <v>0</v>
      </c>
      <c r="J80" s="184">
        <f>IF(ISERR(VLOOKUP(VALUE(J$44),'HR DATA'!$A$68:$AB$102,3,0)="TRUE"),0,VLOOKUP(VALUE(J$44),'HR DATA'!$A$68:$AB$102,3,0))</f>
        <v>0</v>
      </c>
      <c r="K80" s="184">
        <f>IF(ISERR(VLOOKUP(VALUE(K$44),'HR DATA'!$A$68:$AB$102,3,0)="TRUE"),0,VLOOKUP(VALUE(K$44),'HR DATA'!$A$68:$AB$102,3,0))</f>
        <v>0</v>
      </c>
      <c r="L80" s="184">
        <f>IF(ISERR(VLOOKUP(VALUE(L$44),'HR DATA'!$A$68:$AB$102,3,0)="TRUE"),0,VLOOKUP(VALUE(L$44),'HR DATA'!$A$68:$AB$102,3,0))</f>
        <v>0</v>
      </c>
      <c r="M80" s="184">
        <f>IF(ISERR(VLOOKUP(VALUE(M$44),'HR DATA'!$A$68:$AB$102,3,0)="TRUE"),0,VLOOKUP(VALUE(M$44),'HR DATA'!$A$68:$AB$102,3,0))</f>
        <v>0</v>
      </c>
      <c r="N80" s="184">
        <f>IF(ISERR(VLOOKUP(VALUE(N$44),'HR DATA'!$A$68:$AB$102,3,0)="TRUE"),0,VLOOKUP(VALUE(N$44),'HR DATA'!$A$68:$AB$102,3,0))</f>
        <v>0</v>
      </c>
      <c r="O80" s="184">
        <f>IF(ISERR(VLOOKUP(VALUE(O$44),'HR DATA'!$A$68:$AB$102,3,0)="TRUE"),0,VLOOKUP(VALUE(O$44),'HR DATA'!$A$68:$AB$102,3,0))</f>
        <v>48.905287356321843</v>
      </c>
      <c r="P80" s="184">
        <f>IF(ISERR(VLOOKUP(VALUE(P$44),'HR DATA'!$A$68:$AB$102,3,0)="TRUE"),0,VLOOKUP(VALUE(P$44),'HR DATA'!$A$68:$AB$102,3,0))</f>
        <v>27.713711685823757</v>
      </c>
      <c r="Q80" s="184">
        <f>IF(ISERR(VLOOKUP(VALUE(Q$44),'HR DATA'!$A$68:$AB$102,3,0)="TRUE"),0,VLOOKUP(VALUE(Q$44),'HR DATA'!$A$68:$AB$102,3,0))</f>
        <v>30.36102011494253</v>
      </c>
      <c r="R80" s="184">
        <f>IF(ISERR(VLOOKUP(VALUE(R$44),'HR DATA'!$A$68:$AB$102,3,0)="TRUE"),0,VLOOKUP(VALUE(R$44),'HR DATA'!$A$68:$AB$102,3,0))</f>
        <v>2.5108572796934867</v>
      </c>
      <c r="S80" s="184">
        <f>IF(ISERR(VLOOKUP(VALUE(S$44),'HR DATA'!$A$68:$AB$102,3,0)="TRUE"),0,VLOOKUP(VALUE(S$44),'HR DATA'!$A$68:$AB$102,3,0))</f>
        <v>0</v>
      </c>
      <c r="T80" s="184">
        <f>IF(ISERR(VLOOKUP(VALUE(T$44),'HR DATA'!$A$68:$AB$102,3,0)="TRUE"),0,VLOOKUP(VALUE(T$44),'HR DATA'!$A$68:$AB$102,3,0))</f>
        <v>0</v>
      </c>
      <c r="U80" s="184">
        <f>IF(ISERR(VLOOKUP(VALUE(U$44),'HR DATA'!$A$68:$AB$102,3,0)="TRUE"),0,VLOOKUP(VALUE(U$44),'HR DATA'!$A$68:$AB$102,3,0))</f>
        <v>0</v>
      </c>
      <c r="V80" s="184">
        <f>IF(ISERR(VLOOKUP(VALUE(V$44),'HR DATA'!$A$68:$AB$102,3,0)="TRUE"),0,VLOOKUP(VALUE(V$44),'HR DATA'!$A$68:$AB$102,3,0))</f>
        <v>0</v>
      </c>
      <c r="W80" s="184">
        <f>IF(ISERR(VLOOKUP(VALUE(W$44),'HR DATA'!$A$68:$AB$102,3,0)="TRUE"),0,VLOOKUP(VALUE(W$44),'HR DATA'!$A$68:$AB$102,3,0))</f>
        <v>0</v>
      </c>
      <c r="X80" s="184">
        <f>IF(ISERR(VLOOKUP(VALUE(X$44),'HR DATA'!$A$68:$AB$102,3,0)="TRUE"),0,VLOOKUP(VALUE(X$44),'HR DATA'!$A$68:$AB$102,3,0))</f>
        <v>0</v>
      </c>
      <c r="Y80" s="184">
        <f>IF(ISERR(VLOOKUP(VALUE(Y$44),'HR DATA'!$A$68:$AB$102,3,0)="TRUE"),0,VLOOKUP(VALUE(Y$44),'HR DATA'!$A$68:$AB$102,3,0))</f>
        <v>18.808328544061304</v>
      </c>
      <c r="Z80" s="184">
        <f>IF(ISERR(VLOOKUP(VALUE(Z$44),'HR DATA'!$A$68:$AB$102,3,0)="TRUE"),0,VLOOKUP(VALUE(Z$44),'HR DATA'!$A$68:$AB$102,3,0))</f>
        <v>2.2849760536398467</v>
      </c>
      <c r="AA80" s="184">
        <f>IF(ISERR(VLOOKUP(VALUE(AA$44),'HR DATA'!$A$68:$AB$102,3,0)="TRUE"),0,VLOOKUP(VALUE(AA$44),'HR DATA'!$A$68:$AB$102,3,0))</f>
        <v>0</v>
      </c>
      <c r="AB80" s="184">
        <f>IF(ISERR(VLOOKUP(VALUE(AB$44),'HR DATA'!$A$68:$AB$102,3,0)="TRUE"),0,VLOOKUP(VALUE(AB$44),'HR DATA'!$A$68:$AB$102,3,0))</f>
        <v>0</v>
      </c>
      <c r="AC80" s="184">
        <f>IF(ISERR(VLOOKUP(VALUE(AC$44),'HR DATA'!$A$68:$AB$102,3,0)="TRUE"),0,VLOOKUP(VALUE(AC$44),'HR DATA'!$A$68:$AB$102,3,0))</f>
        <v>1.5444971264367815</v>
      </c>
      <c r="AD80" s="184">
        <f>IF(ISERR(VLOOKUP(VALUE(AD$44),'HR DATA'!$A$68:$AB$102,3,0)="TRUE"),0,VLOOKUP(VALUE(AD$44),'HR DATA'!$A$68:$AB$102,3,0))</f>
        <v>0</v>
      </c>
      <c r="AE80" s="184">
        <f>IF(ISERR(VLOOKUP(VALUE(AE$44),'HR DATA'!$A$68:$AB$102,3,0)="TRUE"),0,VLOOKUP(VALUE(AE$44),'HR DATA'!$A$68:$AB$102,3,0))</f>
        <v>0</v>
      </c>
      <c r="AF80" s="184">
        <f>IF(ISERR(VLOOKUP(VALUE(AF$44),'HR DATA'!$A$68:$AB$102,3,0)="TRUE"),0,VLOOKUP(VALUE(AF$44),'HR DATA'!$A$68:$AB$102,3,0))</f>
        <v>0</v>
      </c>
      <c r="AG80" s="184">
        <f>IF(ISERR(VLOOKUP(VALUE(AG$44),'HR DATA'!$A$68:$AB$102,3,0)="TRUE"),0,VLOOKUP(VALUE(AG$44),'HR DATA'!$A$68:$AB$102,3,0))</f>
        <v>48.765124521072792</v>
      </c>
      <c r="AH80" s="184">
        <f>IF(ISERR(VLOOKUP(VALUE(AH$44),'HR DATA'!$A$68:$AB$102,3,0)="TRUE"),0,VLOOKUP(VALUE(AH$44),'HR DATA'!$A$68:$AB$102,3,0))</f>
        <v>0</v>
      </c>
      <c r="AI80" s="184">
        <f>IF(ISERR(VLOOKUP(VALUE(AI$44),'HR DATA'!$A$68:$AB$102,3,0)="TRUE"),0,VLOOKUP(VALUE(AI$44),'HR DATA'!$A$68:$AB$102,3,0))</f>
        <v>0</v>
      </c>
      <c r="AJ80" s="184">
        <f>IF(ISERR(VLOOKUP(VALUE(AJ$44),'HR DATA'!$A$68:$AB$102,3,0)="TRUE"),0,VLOOKUP(VALUE(AJ$44),'HR DATA'!$A$68:$AB$102,3,0))</f>
        <v>53.141511825817901</v>
      </c>
      <c r="AK80" s="184">
        <f>IF(ISERR(VLOOKUP(VALUE(AK$44),'HR DATA'!$A$68:$AB$102,3,0)="TRUE"),0,VLOOKUP(VALUE(AK$44),'HR DATA'!$A$68:$AB$102,3,0))</f>
        <v>0</v>
      </c>
      <c r="AL80" s="184">
        <f>IF(ISERR(VLOOKUP(VALUE(AL$44),'HR DATA'!$A$68:$AB$102,3,0)="TRUE"),0,VLOOKUP(VALUE(AL$44),'HR DATA'!$A$68:$AB$102,3,0))</f>
        <v>0</v>
      </c>
      <c r="AM80" s="184">
        <f>IF(ISERR(VLOOKUP(VALUE(AM$44),'HR DATA'!$A$68:$AB$102,3,0)="TRUE"),0,VLOOKUP(VALUE(AM$44),'HR DATA'!$A$68:$AB$102,3,0))</f>
        <v>0</v>
      </c>
      <c r="AN80" s="184">
        <f>IF(ISERR(VLOOKUP(VALUE(AN$44),'HR DATA'!$A$68:$AB$102,3,0)="TRUE"),0,VLOOKUP(VALUE(AN$44),'HR DATA'!$A$68:$AB$102,3,0))</f>
        <v>0</v>
      </c>
      <c r="AO80" s="184">
        <f>IF(ISERR(VLOOKUP(VALUE(AO$44),'HR DATA'!$A$68:$AB$102,3,0)="TRUE"),0,VLOOKUP(VALUE(AO$44),'HR DATA'!$A$68:$AB$102,3,0))</f>
        <v>0</v>
      </c>
      <c r="AP80" s="184">
        <f>IF(ISERR(VLOOKUP(VALUE(AP$44),'HR DATA'!$A$68:$AB$102,3,0)="TRUE"),0,VLOOKUP(VALUE(AP$44),'HR DATA'!$A$68:$AB$102,3,0))</f>
        <v>31.363146551724135</v>
      </c>
      <c r="AQ80" s="184">
        <f>IF(ISERR(VLOOKUP(VALUE(AQ$44),'HR DATA'!$A$68:$AB$102,3,0)="TRUE"),0,VLOOKUP(VALUE(AQ$44),'HR DATA'!$A$68:$AB$102,3,0))</f>
        <v>0</v>
      </c>
      <c r="AR80" s="184">
        <f>IF(ISERR(VLOOKUP(VALUE(AR$44),'HR DATA'!$A$68:$AB$102,3,0)="TRUE"),0,VLOOKUP(VALUE(AR$44),'HR DATA'!$A$68:$AB$102,3,0))</f>
        <v>0</v>
      </c>
      <c r="AS80" s="184">
        <f>IF(ISERR(VLOOKUP(VALUE(AS$44),'HR DATA'!$A$68:$AB$102,3,0)="TRUE"),0,VLOOKUP(VALUE(AS$44),'HR DATA'!$A$68:$AB$102,3,0))</f>
        <v>0</v>
      </c>
      <c r="AT80" s="184">
        <f>IF(ISERR(VLOOKUP(VALUE(AT$44),'HR DATA'!$A$68:$AB$102,3,0)="TRUE"),0,VLOOKUP(VALUE(AT$44),'HR DATA'!$A$68:$AB$102,3,0))</f>
        <v>0</v>
      </c>
      <c r="AU80" s="184">
        <f>IF(ISERR(VLOOKUP(VALUE(AU$44),'HR DATA'!$A$68:$AB$102,3,0)="TRUE"),0,VLOOKUP(VALUE(AU$44),'HR DATA'!$A$68:$AB$102,3,0))</f>
        <v>0</v>
      </c>
      <c r="AV80" s="184">
        <f>IF(ISERR(VLOOKUP(VALUE(AV$44),'HR DATA'!$A$68:$AB$102,3,0)="TRUE"),0,VLOOKUP(VALUE(AV$44),'HR DATA'!$A$68:$AB$102,3,0))</f>
        <v>12.668400383141762</v>
      </c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534.85862868405536</v>
      </c>
      <c r="CF80" s="250"/>
    </row>
    <row r="81" spans="1:5" ht="12.6" customHeight="1" x14ac:dyDescent="0.2">
      <c r="A81" s="206" t="s">
        <v>253</v>
      </c>
      <c r="B81" s="206"/>
      <c r="C81" s="206"/>
      <c r="D81" s="206"/>
      <c r="E81" s="206"/>
    </row>
    <row r="82" spans="1:5" ht="12.6" customHeight="1" x14ac:dyDescent="0.2">
      <c r="A82" s="171" t="s">
        <v>254</v>
      </c>
      <c r="B82" s="172"/>
      <c r="C82" s="276" t="s">
        <v>1265</v>
      </c>
      <c r="D82" s="251"/>
      <c r="E82" s="175"/>
    </row>
    <row r="83" spans="1:5" ht="12.6" customHeight="1" x14ac:dyDescent="0.2">
      <c r="A83" s="173" t="s">
        <v>255</v>
      </c>
      <c r="B83" s="172" t="s">
        <v>256</v>
      </c>
      <c r="C83" s="222" t="s">
        <v>1273</v>
      </c>
      <c r="D83" s="251"/>
      <c r="E83" s="175"/>
    </row>
    <row r="84" spans="1:5" ht="12.6" customHeight="1" x14ac:dyDescent="0.2">
      <c r="A84" s="173" t="s">
        <v>257</v>
      </c>
      <c r="B84" s="172" t="s">
        <v>256</v>
      </c>
      <c r="C84" s="225" t="s">
        <v>1282</v>
      </c>
      <c r="D84" s="203"/>
      <c r="E84" s="202"/>
    </row>
    <row r="85" spans="1:5" ht="12.6" customHeight="1" x14ac:dyDescent="0.2">
      <c r="A85" s="173" t="s">
        <v>1251</v>
      </c>
      <c r="B85" s="172"/>
      <c r="C85" s="265" t="s">
        <v>1275</v>
      </c>
      <c r="D85" s="203"/>
      <c r="E85" s="202"/>
    </row>
    <row r="86" spans="1:5" ht="12.6" customHeight="1" x14ac:dyDescent="0.2">
      <c r="A86" s="173" t="s">
        <v>1252</v>
      </c>
      <c r="B86" s="172" t="s">
        <v>256</v>
      </c>
      <c r="C86" s="226" t="s">
        <v>1275</v>
      </c>
      <c r="D86" s="203"/>
      <c r="E86" s="202"/>
    </row>
    <row r="87" spans="1:5" ht="12.6" customHeight="1" x14ac:dyDescent="0.2">
      <c r="A87" s="173" t="s">
        <v>258</v>
      </c>
      <c r="B87" s="172" t="s">
        <v>256</v>
      </c>
      <c r="C87" s="225" t="s">
        <v>1276</v>
      </c>
      <c r="D87" s="203"/>
      <c r="E87" s="202"/>
    </row>
    <row r="88" spans="1:5" ht="12.6" customHeight="1" x14ac:dyDescent="0.2">
      <c r="A88" s="173" t="s">
        <v>259</v>
      </c>
      <c r="B88" s="172" t="s">
        <v>256</v>
      </c>
      <c r="C88" s="225" t="s">
        <v>1277</v>
      </c>
      <c r="D88" s="203"/>
      <c r="E88" s="202"/>
    </row>
    <row r="89" spans="1:5" ht="12.6" customHeight="1" x14ac:dyDescent="0.2">
      <c r="A89" s="173" t="s">
        <v>260</v>
      </c>
      <c r="B89" s="172" t="s">
        <v>256</v>
      </c>
      <c r="C89" s="222" t="s">
        <v>1268</v>
      </c>
      <c r="D89" s="203"/>
      <c r="E89" s="202"/>
    </row>
    <row r="90" spans="1:5" ht="12.6" customHeight="1" x14ac:dyDescent="0.2">
      <c r="A90" s="173" t="s">
        <v>261</v>
      </c>
      <c r="B90" s="172" t="s">
        <v>256</v>
      </c>
      <c r="C90" s="222" t="s">
        <v>1269</v>
      </c>
      <c r="D90" s="203"/>
      <c r="E90" s="202"/>
    </row>
    <row r="91" spans="1:5" ht="12.6" customHeight="1" x14ac:dyDescent="0.2">
      <c r="A91" s="173" t="s">
        <v>262</v>
      </c>
      <c r="B91" s="172" t="s">
        <v>256</v>
      </c>
      <c r="C91" s="222" t="s">
        <v>1398</v>
      </c>
      <c r="D91" s="203"/>
      <c r="E91" s="202"/>
    </row>
    <row r="92" spans="1:5" ht="12.6" customHeight="1" x14ac:dyDescent="0.2">
      <c r="A92" s="173" t="s">
        <v>263</v>
      </c>
      <c r="B92" s="172" t="s">
        <v>256</v>
      </c>
      <c r="C92" s="222" t="s">
        <v>1271</v>
      </c>
      <c r="D92" s="251"/>
      <c r="E92" s="175"/>
    </row>
    <row r="93" spans="1:5" ht="12.6" customHeight="1" x14ac:dyDescent="0.2">
      <c r="A93" s="173" t="s">
        <v>264</v>
      </c>
      <c r="B93" s="172" t="s">
        <v>256</v>
      </c>
      <c r="C93" s="222" t="s">
        <v>1272</v>
      </c>
      <c r="D93" s="251"/>
      <c r="E93" s="175"/>
    </row>
    <row r="94" spans="1:5" ht="12.6" customHeight="1" x14ac:dyDescent="0.2">
      <c r="A94" s="173"/>
      <c r="B94" s="173"/>
      <c r="C94" s="189"/>
      <c r="D94" s="175"/>
      <c r="E94" s="175"/>
    </row>
    <row r="95" spans="1:5" ht="12.6" customHeight="1" x14ac:dyDescent="0.2">
      <c r="A95" s="206" t="s">
        <v>265</v>
      </c>
      <c r="B95" s="206"/>
      <c r="C95" s="206"/>
      <c r="D95" s="206"/>
      <c r="E95" s="206"/>
    </row>
    <row r="96" spans="1:5" ht="12.6" customHeight="1" x14ac:dyDescent="0.2">
      <c r="A96" s="252" t="s">
        <v>266</v>
      </c>
      <c r="B96" s="252"/>
      <c r="C96" s="252"/>
      <c r="D96" s="252"/>
      <c r="E96" s="252"/>
    </row>
    <row r="97" spans="1:5" ht="12.6" customHeight="1" x14ac:dyDescent="0.2">
      <c r="A97" s="173" t="s">
        <v>267</v>
      </c>
      <c r="B97" s="172" t="s">
        <v>256</v>
      </c>
      <c r="C97" s="187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7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7"/>
      <c r="D99" s="175"/>
      <c r="E99" s="175"/>
    </row>
    <row r="100" spans="1:5" ht="12.6" customHeight="1" x14ac:dyDescent="0.2">
      <c r="A100" s="252" t="s">
        <v>269</v>
      </c>
      <c r="B100" s="252"/>
      <c r="C100" s="252"/>
      <c r="D100" s="252"/>
      <c r="E100" s="252"/>
    </row>
    <row r="101" spans="1:5" ht="12.6" customHeight="1" x14ac:dyDescent="0.2">
      <c r="A101" s="173" t="s">
        <v>270</v>
      </c>
      <c r="B101" s="172" t="s">
        <v>256</v>
      </c>
      <c r="C101" s="21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19"/>
      <c r="D102" s="175"/>
      <c r="E102" s="175"/>
    </row>
    <row r="103" spans="1:5" ht="12.6" customHeight="1" x14ac:dyDescent="0.2">
      <c r="A103" s="252" t="s">
        <v>271</v>
      </c>
      <c r="B103" s="252"/>
      <c r="C103" s="252"/>
      <c r="D103" s="252"/>
      <c r="E103" s="252"/>
    </row>
    <row r="104" spans="1:5" ht="12.6" customHeight="1" x14ac:dyDescent="0.2">
      <c r="A104" s="173" t="s">
        <v>272</v>
      </c>
      <c r="B104" s="172" t="s">
        <v>256</v>
      </c>
      <c r="C104" s="187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7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7"/>
      <c r="D106" s="175"/>
      <c r="E106" s="175"/>
    </row>
    <row r="107" spans="1:5" ht="21.75" customHeight="1" x14ac:dyDescent="0.2">
      <c r="A107" s="173"/>
      <c r="B107" s="172"/>
      <c r="C107" s="188"/>
      <c r="D107" s="175"/>
      <c r="E107" s="175"/>
    </row>
    <row r="108" spans="1:5" ht="13.5" customHeight="1" x14ac:dyDescent="0.2">
      <c r="A108" s="205" t="s">
        <v>275</v>
      </c>
      <c r="B108" s="206"/>
      <c r="C108" s="206"/>
      <c r="D108" s="206"/>
      <c r="E108" s="206"/>
    </row>
    <row r="109" spans="1:5" ht="13.5" customHeight="1" x14ac:dyDescent="0.2">
      <c r="A109" s="173"/>
      <c r="B109" s="172"/>
      <c r="C109" s="188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7">
        <v>12581</v>
      </c>
      <c r="D111" s="174">
        <v>61948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 x14ac:dyDescent="0.2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 x14ac:dyDescent="0.2">
      <c r="A114" s="173" t="s">
        <v>281</v>
      </c>
      <c r="B114" s="172" t="s">
        <v>256</v>
      </c>
      <c r="C114" s="187">
        <v>1753</v>
      </c>
      <c r="D114" s="174">
        <v>2689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7">
        <v>20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7">
        <v>56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7">
        <v>192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7">
        <v>20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 x14ac:dyDescent="0.2">
      <c r="A124" s="173" t="s">
        <v>289</v>
      </c>
      <c r="B124" s="172"/>
      <c r="C124" s="187">
        <v>0</v>
      </c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7">
        <v>10</v>
      </c>
      <c r="D126" s="175"/>
      <c r="E126" s="175"/>
    </row>
    <row r="127" spans="1:5" ht="12.6" customHeight="1" x14ac:dyDescent="0.2">
      <c r="A127" s="173" t="s">
        <v>291</v>
      </c>
      <c r="B127" s="175"/>
      <c r="C127" s="189"/>
      <c r="D127" s="175"/>
      <c r="E127" s="175">
        <f>SUM(C116:C126)</f>
        <v>298</v>
      </c>
    </row>
    <row r="128" spans="1:5" ht="12.6" customHeight="1" x14ac:dyDescent="0.2">
      <c r="A128" s="173" t="s">
        <v>292</v>
      </c>
      <c r="B128" s="172" t="s">
        <v>256</v>
      </c>
      <c r="C128" s="187">
        <v>336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7">
        <v>22</v>
      </c>
      <c r="D129" s="175"/>
      <c r="E129" s="175"/>
    </row>
    <row r="130" spans="1:6" ht="12.6" customHeight="1" x14ac:dyDescent="0.2">
      <c r="A130" s="173"/>
      <c r="B130" s="175"/>
      <c r="C130" s="189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 x14ac:dyDescent="0.2">
      <c r="A132" s="173"/>
      <c r="B132" s="173"/>
      <c r="C132" s="189"/>
      <c r="D132" s="175"/>
      <c r="E132" s="175"/>
    </row>
    <row r="133" spans="1:6" ht="12.6" customHeight="1" x14ac:dyDescent="0.2">
      <c r="A133" s="173"/>
      <c r="B133" s="173"/>
      <c r="C133" s="189"/>
      <c r="D133" s="175"/>
      <c r="E133" s="175"/>
    </row>
    <row r="134" spans="1:6" ht="12.6" customHeight="1" x14ac:dyDescent="0.2">
      <c r="A134" s="173"/>
      <c r="B134" s="173"/>
      <c r="C134" s="189"/>
      <c r="D134" s="175"/>
      <c r="E134" s="175"/>
    </row>
    <row r="135" spans="1:6" ht="18" customHeight="1" x14ac:dyDescent="0.2">
      <c r="A135" s="173"/>
      <c r="B135" s="173"/>
      <c r="C135" s="189"/>
      <c r="D135" s="175"/>
      <c r="E135" s="175"/>
    </row>
    <row r="136" spans="1:6" ht="12.6" customHeight="1" x14ac:dyDescent="0.2">
      <c r="A136" s="206" t="s">
        <v>1240</v>
      </c>
      <c r="B136" s="205"/>
      <c r="C136" s="205"/>
      <c r="D136" s="205"/>
      <c r="E136" s="205"/>
    </row>
    <row r="137" spans="1:6" ht="12.6" customHeight="1" x14ac:dyDescent="0.2">
      <c r="A137" s="253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f>5330+1512</f>
        <v>6842</v>
      </c>
      <c r="C138" s="187">
        <f>265+1922</f>
        <v>2187</v>
      </c>
      <c r="D138" s="174">
        <f>45+2573+34+902+113-115</f>
        <v>3552</v>
      </c>
      <c r="E138" s="175">
        <f>SUM(B138:D138)</f>
        <v>12581</v>
      </c>
    </row>
    <row r="139" spans="1:6" ht="12.6" customHeight="1" x14ac:dyDescent="0.2">
      <c r="A139" s="173" t="s">
        <v>215</v>
      </c>
      <c r="B139" s="174">
        <f>29864+8402</f>
        <v>38266</v>
      </c>
      <c r="C139" s="187">
        <f>1225+9227</f>
        <v>10452</v>
      </c>
      <c r="D139" s="174">
        <f>178+9485+177+3863+341-814</f>
        <v>13230</v>
      </c>
      <c r="E139" s="175">
        <f>SUM(B139:D139)</f>
        <v>61948</v>
      </c>
    </row>
    <row r="140" spans="1:6" ht="12.6" customHeight="1" x14ac:dyDescent="0.2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">
      <c r="A141" s="173" t="s">
        <v>245</v>
      </c>
      <c r="B141" s="174">
        <f>680192668.91</f>
        <v>680192668.90999997</v>
      </c>
      <c r="C141" s="187">
        <v>159425933.55000001</v>
      </c>
      <c r="D141" s="174">
        <f>64338551.08+112503385.66+7686056.88+65216926.17+12830061.04</f>
        <v>262574980.83000001</v>
      </c>
      <c r="E141" s="175">
        <f>SUM(B141:D141)</f>
        <v>1102193583.29</v>
      </c>
      <c r="F141" s="197"/>
    </row>
    <row r="142" spans="1:6" ht="12.6" customHeight="1" x14ac:dyDescent="0.2">
      <c r="A142" s="173" t="s">
        <v>246</v>
      </c>
      <c r="B142" s="174">
        <f>688007169.13+1413117.7+104924307.96</f>
        <v>794344594.79000008</v>
      </c>
      <c r="C142" s="187">
        <f>223651909.12+244118.4+26305481.26</f>
        <v>250201508.78</v>
      </c>
      <c r="D142" s="174">
        <f>35210165.69+131912658.11+223667512.98+20326737.16+134254898.53+37831.27+118556.94+390867.45+17931+143831.16+5352075.26+17336374.78+62222050.92+4999009.83+21832085.64</f>
        <v>657822586.72000003</v>
      </c>
      <c r="E142" s="175">
        <f>SUM(B142:D142)</f>
        <v>1702368690.29</v>
      </c>
      <c r="F142" s="197"/>
    </row>
    <row r="143" spans="1:6" ht="12.6" customHeight="1" x14ac:dyDescent="0.2">
      <c r="A143" s="253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>
        <v>0</v>
      </c>
      <c r="C144" s="187">
        <v>0</v>
      </c>
      <c r="D144" s="174">
        <v>0</v>
      </c>
      <c r="E144" s="175">
        <f>SUM(B144:D144)</f>
        <v>0</v>
      </c>
    </row>
    <row r="145" spans="1:5" ht="12.6" customHeight="1" x14ac:dyDescent="0.2">
      <c r="A145" s="173" t="s">
        <v>215</v>
      </c>
      <c r="B145" s="174">
        <v>0</v>
      </c>
      <c r="C145" s="187">
        <v>0</v>
      </c>
      <c r="D145" s="174">
        <v>0</v>
      </c>
      <c r="E145" s="175">
        <f>SUM(B145:D145)</f>
        <v>0</v>
      </c>
    </row>
    <row r="146" spans="1:5" ht="12.6" customHeight="1" x14ac:dyDescent="0.2">
      <c r="A146" s="173" t="s">
        <v>298</v>
      </c>
      <c r="B146" s="174">
        <v>0</v>
      </c>
      <c r="C146" s="187">
        <v>0</v>
      </c>
      <c r="D146" s="174">
        <v>0</v>
      </c>
      <c r="E146" s="175">
        <f>SUM(B146:D146)</f>
        <v>0</v>
      </c>
    </row>
    <row r="147" spans="1:5" ht="12.6" customHeight="1" x14ac:dyDescent="0.2">
      <c r="A147" s="173" t="s">
        <v>245</v>
      </c>
      <c r="B147" s="174">
        <v>0</v>
      </c>
      <c r="C147" s="187">
        <v>0</v>
      </c>
      <c r="D147" s="174">
        <v>0</v>
      </c>
      <c r="E147" s="175">
        <f>SUM(B147:D147)</f>
        <v>0</v>
      </c>
    </row>
    <row r="148" spans="1:5" ht="12.6" customHeight="1" x14ac:dyDescent="0.2">
      <c r="A148" s="173" t="s">
        <v>246</v>
      </c>
      <c r="B148" s="174">
        <v>0</v>
      </c>
      <c r="C148" s="187">
        <v>0</v>
      </c>
      <c r="D148" s="174">
        <v>0</v>
      </c>
      <c r="E148" s="175">
        <f>SUM(B148:D148)</f>
        <v>0</v>
      </c>
    </row>
    <row r="149" spans="1:5" ht="12.6" customHeight="1" x14ac:dyDescent="0.2">
      <c r="A149" s="253" t="s">
        <v>300</v>
      </c>
      <c r="B149" s="176" t="s">
        <v>296</v>
      </c>
      <c r="C149" s="190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>
        <v>0</v>
      </c>
      <c r="C150" s="187">
        <v>0</v>
      </c>
      <c r="D150" s="174">
        <v>0</v>
      </c>
      <c r="E150" s="175">
        <f>SUM(B150:D150)</f>
        <v>0</v>
      </c>
    </row>
    <row r="151" spans="1:5" ht="12.6" customHeight="1" x14ac:dyDescent="0.2">
      <c r="A151" s="173" t="s">
        <v>215</v>
      </c>
      <c r="B151" s="174">
        <v>0</v>
      </c>
      <c r="C151" s="187">
        <v>0</v>
      </c>
      <c r="D151" s="174">
        <v>0</v>
      </c>
      <c r="E151" s="175">
        <f>SUM(B151:D151)</f>
        <v>0</v>
      </c>
    </row>
    <row r="152" spans="1:5" ht="12.6" customHeight="1" x14ac:dyDescent="0.2">
      <c r="A152" s="173" t="s">
        <v>298</v>
      </c>
      <c r="B152" s="174">
        <v>0</v>
      </c>
      <c r="C152" s="187">
        <v>0</v>
      </c>
      <c r="D152" s="174">
        <v>0</v>
      </c>
      <c r="E152" s="175">
        <f>SUM(B152:D152)</f>
        <v>0</v>
      </c>
    </row>
    <row r="153" spans="1:5" ht="12.6" customHeight="1" x14ac:dyDescent="0.2">
      <c r="A153" s="173" t="s">
        <v>245</v>
      </c>
      <c r="B153" s="174">
        <v>0</v>
      </c>
      <c r="C153" s="187">
        <v>0</v>
      </c>
      <c r="D153" s="174">
        <v>0</v>
      </c>
      <c r="E153" s="175">
        <f>SUM(B153:D153)</f>
        <v>0</v>
      </c>
    </row>
    <row r="154" spans="1:5" ht="12.6" customHeight="1" x14ac:dyDescent="0.2">
      <c r="A154" s="173" t="s">
        <v>246</v>
      </c>
      <c r="B154" s="174">
        <v>0</v>
      </c>
      <c r="C154" s="187">
        <v>0</v>
      </c>
      <c r="D154" s="174">
        <v>0</v>
      </c>
      <c r="E154" s="175">
        <f>SUM(B154:D154)</f>
        <v>0</v>
      </c>
    </row>
    <row r="155" spans="1:5" ht="12.6" customHeight="1" x14ac:dyDescent="0.2">
      <c r="A155" s="177"/>
      <c r="B155" s="177"/>
      <c r="C155" s="191"/>
      <c r="D155" s="178"/>
      <c r="E155" s="175"/>
    </row>
    <row r="156" spans="1:5" ht="12.6" customHeight="1" x14ac:dyDescent="0.2">
      <c r="A156" s="253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 x14ac:dyDescent="0.2">
      <c r="A157" s="177" t="s">
        <v>304</v>
      </c>
      <c r="B157" s="174">
        <v>4245764.25</v>
      </c>
      <c r="C157" s="174">
        <v>2932314</v>
      </c>
      <c r="D157" s="175"/>
      <c r="E157" s="175"/>
    </row>
    <row r="158" spans="1:5" ht="12.6" customHeight="1" x14ac:dyDescent="0.2">
      <c r="A158" s="177"/>
      <c r="B158" s="178"/>
      <c r="C158" s="191"/>
      <c r="D158" s="175"/>
      <c r="E158" s="175"/>
    </row>
    <row r="159" spans="1:5" ht="12.6" customHeight="1" x14ac:dyDescent="0.2">
      <c r="A159" s="177"/>
      <c r="B159" s="177"/>
      <c r="C159" s="191"/>
      <c r="D159" s="178"/>
      <c r="E159" s="175"/>
    </row>
    <row r="160" spans="1:5" ht="12.6" customHeight="1" x14ac:dyDescent="0.2">
      <c r="A160" s="177"/>
      <c r="B160" s="177"/>
      <c r="C160" s="191"/>
      <c r="D160" s="178"/>
      <c r="E160" s="175"/>
    </row>
    <row r="161" spans="1:5" ht="12.6" customHeight="1" x14ac:dyDescent="0.2">
      <c r="A161" s="177"/>
      <c r="B161" s="177"/>
      <c r="C161" s="191"/>
      <c r="D161" s="178"/>
      <c r="E161" s="175"/>
    </row>
    <row r="162" spans="1:5" ht="21.75" customHeight="1" x14ac:dyDescent="0.2">
      <c r="A162" s="177"/>
      <c r="B162" s="177"/>
      <c r="C162" s="191"/>
      <c r="D162" s="178"/>
      <c r="E162" s="175"/>
    </row>
    <row r="163" spans="1:5" ht="11.45" customHeight="1" x14ac:dyDescent="0.2">
      <c r="A163" s="205" t="s">
        <v>305</v>
      </c>
      <c r="B163" s="206"/>
      <c r="C163" s="206"/>
      <c r="D163" s="206"/>
      <c r="E163" s="206"/>
    </row>
    <row r="164" spans="1:5" ht="11.45" customHeight="1" x14ac:dyDescent="0.2">
      <c r="A164" s="252" t="s">
        <v>306</v>
      </c>
      <c r="B164" s="252"/>
      <c r="C164" s="252"/>
      <c r="D164" s="252"/>
      <c r="E164" s="252"/>
    </row>
    <row r="165" spans="1:5" ht="11.45" customHeight="1" x14ac:dyDescent="0.2">
      <c r="A165" s="173" t="s">
        <v>307</v>
      </c>
      <c r="B165" s="172" t="s">
        <v>256</v>
      </c>
      <c r="C165" s="187">
        <f>9720926.07+3076325.19</f>
        <v>12797251.26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7">
        <f>693313.03+259372</f>
        <v>952685.03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7">
        <f>1919299.2-163950.68+98888</f>
        <v>1854236.52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7">
        <f>-265.67+18383084.27-1956697.2+85.68+737580.23-270232.67+2.4+133499.46-129933.58+263800.62+4464932</f>
        <v>21625855.539999999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7">
        <f>230471.74-161162.07+266605</f>
        <v>335914.67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7">
        <f>3925937.64+3073272.72+2340473</f>
        <v>9339683.3599999994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7">
        <f>125725.35-11718.58+19466.19+7386.34+36946.93+20000+50431.63-32003.21+572409</f>
        <v>788643.65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7"/>
      <c r="D172" s="175"/>
      <c r="E172" s="175"/>
    </row>
    <row r="173" spans="1:5" ht="11.45" customHeight="1" x14ac:dyDescent="0.2">
      <c r="A173" s="173" t="s">
        <v>203</v>
      </c>
      <c r="B173" s="175"/>
      <c r="C173" s="189"/>
      <c r="D173" s="175">
        <f>SUM(C165:C172)</f>
        <v>47694270.029999994</v>
      </c>
      <c r="E173" s="175"/>
    </row>
    <row r="174" spans="1:5" ht="11.45" customHeight="1" x14ac:dyDescent="0.2">
      <c r="A174" s="252" t="s">
        <v>314</v>
      </c>
      <c r="B174" s="252"/>
      <c r="C174" s="252"/>
      <c r="D174" s="252"/>
      <c r="E174" s="252"/>
    </row>
    <row r="175" spans="1:5" ht="11.45" customHeight="1" x14ac:dyDescent="0.2">
      <c r="A175" s="173" t="s">
        <v>315</v>
      </c>
      <c r="B175" s="172" t="s">
        <v>256</v>
      </c>
      <c r="C175" s="187">
        <f>5303503.13-3037144.62+6755436.21+3567165.57</f>
        <v>12588960.289999999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7">
        <f>672029.27-167896.02-97349.04+65117.2+1654435.77+945.11+208832.34+78899.04+130211.81+816.01+13649.76+26040.02</f>
        <v>2585731.2699999996</v>
      </c>
      <c r="D176" s="175"/>
      <c r="E176" s="175"/>
    </row>
    <row r="177" spans="1:5" ht="11.45" customHeight="1" x14ac:dyDescent="0.2">
      <c r="A177" s="173" t="s">
        <v>203</v>
      </c>
      <c r="B177" s="175"/>
      <c r="C177" s="189"/>
      <c r="D177" s="175">
        <f>SUM(C175:C176)</f>
        <v>15174691.559999999</v>
      </c>
      <c r="E177" s="175"/>
    </row>
    <row r="178" spans="1:5" ht="11.45" customHeight="1" x14ac:dyDescent="0.2">
      <c r="A178" s="252" t="s">
        <v>317</v>
      </c>
      <c r="B178" s="252"/>
      <c r="C178" s="252"/>
      <c r="D178" s="252"/>
      <c r="E178" s="252"/>
    </row>
    <row r="179" spans="1:5" ht="11.45" customHeight="1" x14ac:dyDescent="0.2">
      <c r="A179" s="173" t="s">
        <v>318</v>
      </c>
      <c r="B179" s="172" t="s">
        <v>256</v>
      </c>
      <c r="C179" s="187">
        <f>3862167.86+951841.49+540.94</f>
        <v>4814550.29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7">
        <f>1029263.38+8116.95-356552</f>
        <v>680828.33</v>
      </c>
      <c r="D180" s="175"/>
      <c r="E180" s="175"/>
    </row>
    <row r="181" spans="1:5" ht="11.45" customHeight="1" x14ac:dyDescent="0.2">
      <c r="A181" s="173" t="s">
        <v>203</v>
      </c>
      <c r="B181" s="175"/>
      <c r="C181" s="189"/>
      <c r="D181" s="175">
        <f>SUM(C179:C180)</f>
        <v>5495378.6200000001</v>
      </c>
      <c r="E181" s="175"/>
    </row>
    <row r="182" spans="1:5" ht="11.45" customHeight="1" x14ac:dyDescent="0.2">
      <c r="A182" s="252" t="s">
        <v>320</v>
      </c>
      <c r="B182" s="252"/>
      <c r="C182" s="252"/>
      <c r="D182" s="252"/>
      <c r="E182" s="252"/>
    </row>
    <row r="183" spans="1:5" ht="11.45" customHeight="1" x14ac:dyDescent="0.2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7">
        <v>15141138.35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5" customHeight="1" x14ac:dyDescent="0.2">
      <c r="A186" s="173" t="s">
        <v>203</v>
      </c>
      <c r="B186" s="175"/>
      <c r="C186" s="189"/>
      <c r="D186" s="175">
        <f>SUM(C183:C185)</f>
        <v>15141138.35</v>
      </c>
      <c r="E186" s="175"/>
    </row>
    <row r="187" spans="1:5" ht="11.45" customHeight="1" x14ac:dyDescent="0.2">
      <c r="A187" s="252" t="s">
        <v>323</v>
      </c>
      <c r="B187" s="252"/>
      <c r="C187" s="252"/>
      <c r="D187" s="252"/>
      <c r="E187" s="252"/>
    </row>
    <row r="188" spans="1:5" ht="11.45" customHeight="1" x14ac:dyDescent="0.2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7">
        <v>-10715890.84</v>
      </c>
      <c r="D189" s="175"/>
      <c r="E189" s="175"/>
    </row>
    <row r="190" spans="1:5" ht="11.45" customHeight="1" x14ac:dyDescent="0.2">
      <c r="A190" s="173" t="s">
        <v>203</v>
      </c>
      <c r="B190" s="175"/>
      <c r="C190" s="189"/>
      <c r="D190" s="175">
        <f>SUM(C188:C189)</f>
        <v>-10715890.84</v>
      </c>
      <c r="E190" s="175"/>
    </row>
    <row r="191" spans="1:5" ht="18" customHeight="1" x14ac:dyDescent="0.2">
      <c r="A191" s="173"/>
      <c r="B191" s="175"/>
      <c r="C191" s="189"/>
      <c r="D191" s="175"/>
      <c r="E191" s="175"/>
    </row>
    <row r="192" spans="1:5" ht="12.6" customHeight="1" x14ac:dyDescent="0.2">
      <c r="A192" s="206" t="s">
        <v>326</v>
      </c>
      <c r="B192" s="206"/>
      <c r="C192" s="206"/>
      <c r="D192" s="206"/>
      <c r="E192" s="206"/>
    </row>
    <row r="193" spans="1:8" ht="12.6" customHeight="1" x14ac:dyDescent="0.2">
      <c r="A193" s="205" t="s">
        <v>327</v>
      </c>
      <c r="B193" s="206"/>
      <c r="C193" s="206"/>
      <c r="D193" s="206"/>
      <c r="E193" s="206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10245719</v>
      </c>
      <c r="C195" s="187">
        <v>-1800000</v>
      </c>
      <c r="D195" s="174">
        <v>1750000.01</v>
      </c>
      <c r="E195" s="175">
        <f t="shared" ref="E195:E203" si="10">SUM(B195:C195)-D195</f>
        <v>6695718.9900000002</v>
      </c>
    </row>
    <row r="196" spans="1:8" ht="12.6" customHeight="1" x14ac:dyDescent="0.2">
      <c r="A196" s="173" t="s">
        <v>333</v>
      </c>
      <c r="B196" s="174">
        <v>2319119</v>
      </c>
      <c r="C196" s="187"/>
      <c r="D196" s="174">
        <v>165970</v>
      </c>
      <c r="E196" s="175">
        <f t="shared" si="10"/>
        <v>2153149</v>
      </c>
    </row>
    <row r="197" spans="1:8" ht="12.6" customHeight="1" x14ac:dyDescent="0.2">
      <c r="A197" s="173" t="s">
        <v>334</v>
      </c>
      <c r="B197" s="174">
        <v>99727204</v>
      </c>
      <c r="C197" s="187"/>
      <c r="D197" s="174"/>
      <c r="E197" s="175">
        <f t="shared" si="10"/>
        <v>99727204</v>
      </c>
    </row>
    <row r="198" spans="1:8" ht="12.6" customHeight="1" x14ac:dyDescent="0.2">
      <c r="A198" s="173" t="s">
        <v>335</v>
      </c>
      <c r="B198" s="174">
        <v>15429086.369999999</v>
      </c>
      <c r="C198" s="187">
        <f>83799.32-193704.2</f>
        <v>-109904.88</v>
      </c>
      <c r="D198" s="174">
        <v>7102773.2000000002</v>
      </c>
      <c r="E198" s="175">
        <f t="shared" si="10"/>
        <v>8216408.2899999982</v>
      </c>
    </row>
    <row r="199" spans="1:8" ht="12.6" customHeight="1" x14ac:dyDescent="0.2">
      <c r="A199" s="173" t="s">
        <v>336</v>
      </c>
      <c r="B199" s="174">
        <v>5283866.33</v>
      </c>
      <c r="C199" s="187">
        <f>-73405.64-138276.69</f>
        <v>-211682.33000000002</v>
      </c>
      <c r="D199" s="174">
        <v>289335.45</v>
      </c>
      <c r="E199" s="175">
        <f t="shared" si="10"/>
        <v>4782848.55</v>
      </c>
    </row>
    <row r="200" spans="1:8" ht="12.6" customHeight="1" x14ac:dyDescent="0.2">
      <c r="A200" s="173" t="s">
        <v>337</v>
      </c>
      <c r="B200" s="174">
        <v>157648654.91999999</v>
      </c>
      <c r="C200" s="187">
        <f>1090992.75+648981.33+626580.87-6638052.45-28915.76</f>
        <v>-4300413.26</v>
      </c>
      <c r="D200" s="174">
        <f>141504.14+1920721.06+648981.33+1106611.19-2168973.8+20</f>
        <v>1648863.9200000004</v>
      </c>
      <c r="E200" s="175">
        <f t="shared" si="10"/>
        <v>151699377.74000001</v>
      </c>
    </row>
    <row r="201" spans="1:8" ht="12.6" customHeight="1" x14ac:dyDescent="0.2">
      <c r="A201" s="173" t="s">
        <v>338</v>
      </c>
      <c r="B201" s="174">
        <v>0</v>
      </c>
      <c r="C201" s="187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33510769.09</v>
      </c>
      <c r="C202" s="187">
        <f>2442238.57-3588794.5</f>
        <v>-1146555.9300000002</v>
      </c>
      <c r="D202" s="174">
        <f>-2616456.16+976575.54</f>
        <v>-1639880.62</v>
      </c>
      <c r="E202" s="175">
        <f t="shared" si="10"/>
        <v>34004093.780000001</v>
      </c>
    </row>
    <row r="203" spans="1:8" ht="12.6" customHeight="1" x14ac:dyDescent="0.2">
      <c r="A203" s="173" t="s">
        <v>340</v>
      </c>
      <c r="B203" s="174">
        <v>279920956.91999996</v>
      </c>
      <c r="C203" s="187">
        <f>151110273.51-1197491.74+1039973.56-59921.77-38634.52-14574.51</f>
        <v>150839624.52999997</v>
      </c>
      <c r="D203" s="174">
        <v>0</v>
      </c>
      <c r="E203" s="175">
        <f t="shared" si="10"/>
        <v>430760581.44999993</v>
      </c>
    </row>
    <row r="204" spans="1:8" ht="12.6" customHeight="1" x14ac:dyDescent="0.2">
      <c r="A204" s="173" t="s">
        <v>203</v>
      </c>
      <c r="B204" s="175">
        <f>SUM(B195:B203)</f>
        <v>604085375.62999988</v>
      </c>
      <c r="C204" s="189">
        <f>SUM(C195:C203)</f>
        <v>143271068.12999997</v>
      </c>
      <c r="D204" s="175">
        <f>SUM(D195:D203)</f>
        <v>9317061.9600000009</v>
      </c>
      <c r="E204" s="175">
        <f>SUM(E195:E203)</f>
        <v>738039381.79999995</v>
      </c>
    </row>
    <row r="205" spans="1:8" ht="12.6" customHeight="1" x14ac:dyDescent="0.2">
      <c r="A205" s="173"/>
      <c r="B205" s="173"/>
      <c r="C205" s="189"/>
      <c r="D205" s="175"/>
      <c r="E205" s="175"/>
    </row>
    <row r="206" spans="1:8" ht="12.6" customHeight="1" x14ac:dyDescent="0.2">
      <c r="A206" s="205" t="s">
        <v>341</v>
      </c>
      <c r="B206" s="205"/>
      <c r="C206" s="205"/>
      <c r="D206" s="205"/>
      <c r="E206" s="205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 x14ac:dyDescent="0.2">
      <c r="A208" s="173" t="s">
        <v>332</v>
      </c>
      <c r="B208" s="178"/>
      <c r="C208" s="191"/>
      <c r="D208" s="178"/>
      <c r="E208" s="175"/>
      <c r="H208" s="254"/>
    </row>
    <row r="209" spans="1:8" ht="12.6" customHeight="1" x14ac:dyDescent="0.2">
      <c r="A209" s="173" t="s">
        <v>333</v>
      </c>
      <c r="B209" s="174">
        <v>578965.88</v>
      </c>
      <c r="C209" s="187">
        <f>79198.63+38244</f>
        <v>117442.63</v>
      </c>
      <c r="D209" s="174">
        <v>43010.95</v>
      </c>
      <c r="E209" s="175">
        <f t="shared" ref="E209:E216" si="11">SUM(B209:C209)-D209</f>
        <v>653397.56000000006</v>
      </c>
      <c r="H209" s="254"/>
    </row>
    <row r="210" spans="1:8" ht="12.6" customHeight="1" x14ac:dyDescent="0.2">
      <c r="A210" s="173" t="s">
        <v>334</v>
      </c>
      <c r="B210" s="174">
        <v>51716521.009999998</v>
      </c>
      <c r="C210" s="187">
        <f>3815608.15+9888888</f>
        <v>13704496.15</v>
      </c>
      <c r="D210" s="174"/>
      <c r="E210" s="175">
        <f t="shared" si="11"/>
        <v>65421017.159999996</v>
      </c>
      <c r="H210" s="254"/>
    </row>
    <row r="211" spans="1:8" ht="12.6" customHeight="1" x14ac:dyDescent="0.2">
      <c r="A211" s="173" t="s">
        <v>335</v>
      </c>
      <c r="B211" s="174">
        <v>4708222.59</v>
      </c>
      <c r="C211" s="187">
        <f>516578.39+2135100+90700.93</f>
        <v>2742379.3200000003</v>
      </c>
      <c r="D211" s="174">
        <f>1349437.8+23505.02</f>
        <v>1372942.82</v>
      </c>
      <c r="E211" s="175">
        <f t="shared" si="11"/>
        <v>6077659.0899999999</v>
      </c>
      <c r="H211" s="254"/>
    </row>
    <row r="212" spans="1:8" ht="12.6" customHeight="1" x14ac:dyDescent="0.2">
      <c r="A212" s="173" t="s">
        <v>336</v>
      </c>
      <c r="B212" s="174">
        <v>3510152.6</v>
      </c>
      <c r="C212" s="187">
        <f>443492.79+46788-14266.68</f>
        <v>476014.11</v>
      </c>
      <c r="D212" s="174">
        <f>135023.22+85621.2</f>
        <v>220644.41999999998</v>
      </c>
      <c r="E212" s="175">
        <f t="shared" si="11"/>
        <v>3765522.29</v>
      </c>
      <c r="H212" s="254"/>
    </row>
    <row r="213" spans="1:8" ht="12.6" customHeight="1" x14ac:dyDescent="0.2">
      <c r="A213" s="173" t="s">
        <v>337</v>
      </c>
      <c r="B213" s="174">
        <v>113558304.09</v>
      </c>
      <c r="C213" s="187">
        <f>11216236.13+91681.48+3734000-127244.11+2759597.8+280438.48+407962.52</f>
        <v>18362672.300000001</v>
      </c>
      <c r="D213" s="174">
        <f>90900.35+1722202.08+91681.48+495845.35+4265161.79-127244.11-1391968.97+407962.52</f>
        <v>5554540.4900000002</v>
      </c>
      <c r="E213" s="175">
        <f t="shared" si="11"/>
        <v>126366435.90000001</v>
      </c>
      <c r="H213" s="254"/>
    </row>
    <row r="214" spans="1:8" ht="12.6" customHeight="1" x14ac:dyDescent="0.2">
      <c r="A214" s="173" t="s">
        <v>338</v>
      </c>
      <c r="B214" s="174">
        <v>0</v>
      </c>
      <c r="C214" s="187"/>
      <c r="D214" s="174"/>
      <c r="E214" s="175">
        <f t="shared" si="11"/>
        <v>0</v>
      </c>
      <c r="H214" s="254"/>
    </row>
    <row r="215" spans="1:8" ht="12.6" customHeight="1" x14ac:dyDescent="0.2">
      <c r="A215" s="173" t="s">
        <v>339</v>
      </c>
      <c r="B215" s="174">
        <v>20041670.510000002</v>
      </c>
      <c r="C215" s="187">
        <f>1063805.8+1723067.66</f>
        <v>2786873.46</v>
      </c>
      <c r="D215" s="174">
        <f>-124928.23+431097.8+1948136.75-1</f>
        <v>2254305.3199999998</v>
      </c>
      <c r="E215" s="175">
        <f t="shared" si="11"/>
        <v>20574238.650000002</v>
      </c>
      <c r="H215" s="254"/>
    </row>
    <row r="216" spans="1:8" ht="12.6" customHeight="1" x14ac:dyDescent="0.2">
      <c r="A216" s="173" t="s">
        <v>340</v>
      </c>
      <c r="B216" s="174">
        <v>0</v>
      </c>
      <c r="C216" s="187"/>
      <c r="D216" s="174"/>
      <c r="E216" s="175">
        <f t="shared" si="11"/>
        <v>0</v>
      </c>
      <c r="H216" s="254"/>
    </row>
    <row r="217" spans="1:8" ht="12.6" customHeight="1" x14ac:dyDescent="0.2">
      <c r="A217" s="173" t="s">
        <v>203</v>
      </c>
      <c r="B217" s="175">
        <f>SUM(B208:B216)</f>
        <v>194113836.68000001</v>
      </c>
      <c r="C217" s="189">
        <f>SUM(C208:C216)</f>
        <v>38189877.970000006</v>
      </c>
      <c r="D217" s="175">
        <f>SUM(D208:D216)</f>
        <v>9445444</v>
      </c>
      <c r="E217" s="175">
        <f>SUM(E208:E216)</f>
        <v>222858270.65000001</v>
      </c>
    </row>
    <row r="218" spans="1:8" ht="21.75" customHeight="1" x14ac:dyDescent="0.2">
      <c r="A218" s="173"/>
      <c r="B218" s="175"/>
      <c r="C218" s="189"/>
      <c r="D218" s="175"/>
      <c r="E218" s="175"/>
    </row>
    <row r="219" spans="1:8" ht="12.6" customHeight="1" x14ac:dyDescent="0.2">
      <c r="A219" s="206" t="s">
        <v>342</v>
      </c>
      <c r="B219" s="206"/>
      <c r="C219" s="206"/>
      <c r="D219" s="206"/>
      <c r="E219" s="206"/>
    </row>
    <row r="220" spans="1:8" ht="12.6" customHeight="1" x14ac:dyDescent="0.2">
      <c r="A220" s="206"/>
      <c r="B220" s="348" t="s">
        <v>1255</v>
      </c>
      <c r="C220" s="348"/>
      <c r="D220" s="206"/>
      <c r="E220" s="206"/>
    </row>
    <row r="221" spans="1:8" ht="12.6" customHeight="1" x14ac:dyDescent="0.2">
      <c r="A221" s="266" t="s">
        <v>1255</v>
      </c>
      <c r="B221" s="206"/>
      <c r="C221" s="187">
        <v>7170734.9900000002</v>
      </c>
      <c r="D221" s="172">
        <f>C221</f>
        <v>7170734.9900000002</v>
      </c>
      <c r="E221" s="206"/>
    </row>
    <row r="222" spans="1:8" ht="12.6" customHeight="1" x14ac:dyDescent="0.2">
      <c r="A222" s="252" t="s">
        <v>343</v>
      </c>
      <c r="B222" s="252"/>
      <c r="C222" s="252"/>
      <c r="D222" s="252"/>
      <c r="E222" s="252"/>
    </row>
    <row r="223" spans="1:8" ht="12.6" customHeight="1" x14ac:dyDescent="0.2">
      <c r="A223" s="173" t="s">
        <v>344</v>
      </c>
      <c r="B223" s="172" t="s">
        <v>256</v>
      </c>
      <c r="C223" s="187">
        <f>570432381.06-2016626-802764+589887313.98+947108.65+69236751.38</f>
        <v>1227684165.0700002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7">
        <f>138009888.15-11454418.46+207205899.18+189075.13+18928316.65</f>
        <v>352878760.64999998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7">
        <f>5403336.47+35448493.68+56176611.23+45518350.86-1435586.34+12158288.54+71897376.72+115014228.02+110399462.78+17262.05+54351.19+195584.94+102995.35+1857350.59+7545899.41+28024323.63+2485703.16+12122791.15</f>
        <v>502986823.43000007</v>
      </c>
      <c r="D228" s="175"/>
      <c r="E228" s="175"/>
    </row>
    <row r="229" spans="1:5" ht="12.6" customHeight="1" x14ac:dyDescent="0.2">
      <c r="A229" s="173" t="s">
        <v>350</v>
      </c>
      <c r="B229" s="175"/>
      <c r="C229" s="189"/>
      <c r="D229" s="175">
        <f>SUM(C223:C228)</f>
        <v>2083549749.1500003</v>
      </c>
      <c r="E229" s="175"/>
    </row>
    <row r="230" spans="1:5" ht="12.6" customHeight="1" x14ac:dyDescent="0.2">
      <c r="A230" s="252" t="s">
        <v>351</v>
      </c>
      <c r="B230" s="252"/>
      <c r="C230" s="252"/>
      <c r="D230" s="252"/>
      <c r="E230" s="252"/>
    </row>
    <row r="231" spans="1:5" ht="12.6" customHeight="1" x14ac:dyDescent="0.2">
      <c r="A231" s="171" t="s">
        <v>352</v>
      </c>
      <c r="B231" s="172" t="s">
        <v>256</v>
      </c>
      <c r="C231" s="187">
        <f>12479+2252+1469</f>
        <v>16200</v>
      </c>
      <c r="D231" s="175"/>
      <c r="E231" s="175"/>
    </row>
    <row r="232" spans="1:5" ht="12.6" customHeight="1" x14ac:dyDescent="0.2">
      <c r="A232" s="171"/>
      <c r="B232" s="172"/>
      <c r="C232" s="189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7">
        <v>11326985.140000001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7">
        <f>13993133.1+1050317.98</f>
        <v>15043451.08</v>
      </c>
      <c r="D234" s="175"/>
      <c r="E234" s="175"/>
    </row>
    <row r="235" spans="1:5" ht="12.6" customHeight="1" x14ac:dyDescent="0.2">
      <c r="A235" s="173"/>
      <c r="B235" s="175"/>
      <c r="C235" s="189"/>
      <c r="D235" s="175"/>
      <c r="E235" s="175"/>
    </row>
    <row r="236" spans="1:5" ht="12.6" customHeight="1" x14ac:dyDescent="0.2">
      <c r="A236" s="171" t="s">
        <v>355</v>
      </c>
      <c r="B236" s="175"/>
      <c r="C236" s="189"/>
      <c r="D236" s="175">
        <f>SUM(C233:C235)</f>
        <v>26370436.219999999</v>
      </c>
      <c r="E236" s="175"/>
    </row>
    <row r="237" spans="1:5" ht="12.6" customHeight="1" x14ac:dyDescent="0.2">
      <c r="A237" s="252" t="s">
        <v>356</v>
      </c>
      <c r="B237" s="252"/>
      <c r="C237" s="252"/>
      <c r="D237" s="252"/>
      <c r="E237" s="252"/>
    </row>
    <row r="238" spans="1:5" ht="12.6" customHeight="1" x14ac:dyDescent="0.2">
      <c r="A238" s="173" t="s">
        <v>357</v>
      </c>
      <c r="B238" s="172" t="s">
        <v>256</v>
      </c>
      <c r="C238" s="187">
        <f>2776863.5+9485212.7+199.91+13801.25-55444.5+782454.88</f>
        <v>13003087.74</v>
      </c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 x14ac:dyDescent="0.2">
      <c r="A240" s="173" t="s">
        <v>358</v>
      </c>
      <c r="B240" s="175"/>
      <c r="C240" s="189"/>
      <c r="D240" s="175">
        <f>SUM(C238:C239)</f>
        <v>13003087.74</v>
      </c>
      <c r="E240" s="175"/>
    </row>
    <row r="241" spans="1:5" ht="12.6" customHeight="1" x14ac:dyDescent="0.2">
      <c r="A241" s="173"/>
      <c r="B241" s="175"/>
      <c r="C241" s="189"/>
      <c r="D241" s="175"/>
      <c r="E241" s="175"/>
    </row>
    <row r="242" spans="1:5" ht="12.6" customHeight="1" x14ac:dyDescent="0.2">
      <c r="A242" s="173" t="s">
        <v>359</v>
      </c>
      <c r="B242" s="175"/>
      <c r="C242" s="189"/>
      <c r="D242" s="175">
        <f>D221+D229+D236+D240</f>
        <v>2130094008.1000004</v>
      </c>
      <c r="E242" s="175"/>
    </row>
    <row r="243" spans="1:5" ht="12.6" customHeight="1" x14ac:dyDescent="0.2">
      <c r="A243" s="173"/>
      <c r="B243" s="173"/>
      <c r="C243" s="189"/>
      <c r="D243" s="175"/>
      <c r="E243" s="175"/>
    </row>
    <row r="244" spans="1:5" ht="12.6" customHeight="1" x14ac:dyDescent="0.2">
      <c r="A244" s="173"/>
      <c r="B244" s="173"/>
      <c r="C244" s="189"/>
      <c r="D244" s="175"/>
      <c r="E244" s="175"/>
    </row>
    <row r="245" spans="1:5" ht="12.6" customHeight="1" x14ac:dyDescent="0.2">
      <c r="A245" s="173"/>
      <c r="B245" s="173"/>
      <c r="C245" s="189"/>
      <c r="D245" s="175"/>
      <c r="E245" s="175"/>
    </row>
    <row r="246" spans="1:5" ht="12.6" customHeight="1" x14ac:dyDescent="0.2">
      <c r="A246" s="173"/>
      <c r="B246" s="173"/>
      <c r="C246" s="189"/>
      <c r="D246" s="175"/>
      <c r="E246" s="175"/>
    </row>
    <row r="247" spans="1:5" ht="21.75" customHeight="1" x14ac:dyDescent="0.2">
      <c r="A247" s="173"/>
      <c r="B247" s="173"/>
      <c r="C247" s="189"/>
      <c r="D247" s="175"/>
      <c r="E247" s="175"/>
    </row>
    <row r="248" spans="1:5" ht="12.4" customHeight="1" x14ac:dyDescent="0.2">
      <c r="A248" s="206" t="s">
        <v>360</v>
      </c>
      <c r="B248" s="206"/>
      <c r="C248" s="206"/>
      <c r="D248" s="206"/>
      <c r="E248" s="206"/>
    </row>
    <row r="249" spans="1:5" ht="11.25" customHeight="1" x14ac:dyDescent="0.2">
      <c r="A249" s="252" t="s">
        <v>361</v>
      </c>
      <c r="B249" s="252"/>
      <c r="C249" s="252"/>
      <c r="D249" s="252"/>
      <c r="E249" s="252"/>
    </row>
    <row r="250" spans="1:5" ht="12.4" customHeight="1" x14ac:dyDescent="0.2">
      <c r="A250" s="173" t="s">
        <v>362</v>
      </c>
      <c r="B250" s="172" t="s">
        <v>256</v>
      </c>
      <c r="C250" s="187">
        <f>146148439.97+53153.67</f>
        <v>146201593.63999999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7">
        <f>303956611.62+25971945.76</f>
        <v>329928557.38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7">
        <f>214796007.31+13844197.79+15873447.02</f>
        <v>244513652.12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7">
        <f>3343158.28+1304188.43</f>
        <v>4647346.71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7">
        <f>11081706.8+673067.61</f>
        <v>11754774.41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7">
        <f>556804.03+740446.89</f>
        <v>1297250.92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89"/>
      <c r="D260" s="175">
        <f>SUM(C250:C252)-C253+SUM(C254:C259)</f>
        <v>249315870.93999997</v>
      </c>
      <c r="E260" s="175"/>
    </row>
    <row r="261" spans="1:5" ht="11.25" customHeight="1" x14ac:dyDescent="0.2">
      <c r="A261" s="252" t="s">
        <v>372</v>
      </c>
      <c r="B261" s="252"/>
      <c r="C261" s="252"/>
      <c r="D261" s="252"/>
      <c r="E261" s="252"/>
    </row>
    <row r="262" spans="1:5" ht="12.4" customHeight="1" x14ac:dyDescent="0.2">
      <c r="A262" s="173" t="s">
        <v>362</v>
      </c>
      <c r="B262" s="172" t="s">
        <v>256</v>
      </c>
      <c r="C262" s="187">
        <v>0</v>
      </c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7">
        <v>0</v>
      </c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" customHeight="1" x14ac:dyDescent="0.2">
      <c r="A265" s="173" t="s">
        <v>374</v>
      </c>
      <c r="B265" s="175"/>
      <c r="C265" s="189"/>
      <c r="D265" s="175">
        <f>SUM(C262:C264)</f>
        <v>0</v>
      </c>
      <c r="E265" s="175"/>
    </row>
    <row r="266" spans="1:5" ht="11.25" customHeight="1" x14ac:dyDescent="0.2">
      <c r="A266" s="252" t="s">
        <v>375</v>
      </c>
      <c r="B266" s="252"/>
      <c r="C266" s="252"/>
      <c r="D266" s="252"/>
      <c r="E266" s="252"/>
    </row>
    <row r="267" spans="1:5" ht="12.4" customHeight="1" x14ac:dyDescent="0.2">
      <c r="A267" s="173" t="s">
        <v>332</v>
      </c>
      <c r="B267" s="172" t="s">
        <v>256</v>
      </c>
      <c r="C267" s="187">
        <v>6695719.1299999999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7">
        <v>2153149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7">
        <v>99727204.209999993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7">
        <f>7316863.07+899545.17</f>
        <v>8216408.2400000002</v>
      </c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7">
        <f>4214109.4+568739.02</f>
        <v>4782848.42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7">
        <f>119212840.67+30346478.62+2140058.04</f>
        <v>151699377.32999998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7">
        <f>15872386.84+18131707.47</f>
        <v>34004094.310000002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7">
        <f>429329989.73+203442.09+1219388.86+7760.97</f>
        <v>430760581.65000004</v>
      </c>
      <c r="D274" s="175"/>
      <c r="E274" s="175"/>
    </row>
    <row r="275" spans="1:5" ht="12.4" customHeight="1" x14ac:dyDescent="0.2">
      <c r="A275" s="173" t="s">
        <v>379</v>
      </c>
      <c r="B275" s="175"/>
      <c r="C275" s="189"/>
      <c r="D275" s="175">
        <f>SUM(C267:C274)</f>
        <v>738039382.28999996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7">
        <f>188192925.19+32992937.98+1672407.46</f>
        <v>222858270.63</v>
      </c>
      <c r="D276" s="175"/>
      <c r="E276" s="175"/>
    </row>
    <row r="277" spans="1:5" ht="12.6" customHeight="1" x14ac:dyDescent="0.2">
      <c r="A277" s="173" t="s">
        <v>381</v>
      </c>
      <c r="B277" s="175"/>
      <c r="C277" s="189"/>
      <c r="D277" s="175">
        <f>D275-C276</f>
        <v>515181111.65999997</v>
      </c>
      <c r="E277" s="175"/>
    </row>
    <row r="278" spans="1:5" ht="12.6" customHeight="1" x14ac:dyDescent="0.2">
      <c r="A278" s="252" t="s">
        <v>382</v>
      </c>
      <c r="B278" s="252"/>
      <c r="C278" s="252"/>
      <c r="D278" s="252"/>
      <c r="E278" s="252"/>
    </row>
    <row r="279" spans="1:5" ht="12.6" customHeight="1" x14ac:dyDescent="0.2">
      <c r="A279" s="173" t="s">
        <v>383</v>
      </c>
      <c r="B279" s="172" t="s">
        <v>256</v>
      </c>
      <c r="C279" s="187">
        <v>0</v>
      </c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7">
        <v>335325356.72000003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7">
        <f>20226126.08+270773.28+50535164.86</f>
        <v>71032064.219999999</v>
      </c>
      <c r="D282" s="175"/>
      <c r="E282" s="175"/>
    </row>
    <row r="283" spans="1:5" ht="12.6" customHeight="1" x14ac:dyDescent="0.2">
      <c r="A283" s="173" t="s">
        <v>386</v>
      </c>
      <c r="B283" s="175"/>
      <c r="C283" s="189"/>
      <c r="D283" s="175">
        <f>C279-C280+C281+C282</f>
        <v>406357420.94000006</v>
      </c>
      <c r="E283" s="175"/>
    </row>
    <row r="284" spans="1:5" ht="12.6" customHeight="1" x14ac:dyDescent="0.2">
      <c r="A284" s="173"/>
      <c r="B284" s="175"/>
      <c r="C284" s="189"/>
      <c r="D284" s="175"/>
      <c r="E284" s="175"/>
    </row>
    <row r="285" spans="1:5" ht="12.6" customHeight="1" x14ac:dyDescent="0.2">
      <c r="A285" s="252" t="s">
        <v>387</v>
      </c>
      <c r="B285" s="252"/>
      <c r="C285" s="252"/>
      <c r="D285" s="252"/>
      <c r="E285" s="252"/>
    </row>
    <row r="286" spans="1:5" ht="12.6" customHeight="1" x14ac:dyDescent="0.2">
      <c r="A286" s="173" t="s">
        <v>388</v>
      </c>
      <c r="B286" s="172" t="s">
        <v>256</v>
      </c>
      <c r="C286" s="187">
        <f>3831214.66+4351697.73</f>
        <v>8182912.3900000006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7">
        <f>25211723.14+3831214.67-6932937.75+279787.69</f>
        <v>22389787.750000004</v>
      </c>
      <c r="D289" s="175"/>
      <c r="E289" s="175"/>
    </row>
    <row r="290" spans="1:5" ht="12.6" customHeight="1" x14ac:dyDescent="0.2">
      <c r="A290" s="173" t="s">
        <v>392</v>
      </c>
      <c r="B290" s="175"/>
      <c r="C290" s="189"/>
      <c r="D290" s="175">
        <f>SUM(C286:C289)</f>
        <v>30572700.140000004</v>
      </c>
      <c r="E290" s="175"/>
    </row>
    <row r="291" spans="1:5" ht="12.6" customHeight="1" x14ac:dyDescent="0.2">
      <c r="A291" s="173"/>
      <c r="B291" s="175"/>
      <c r="C291" s="189"/>
      <c r="D291" s="175"/>
      <c r="E291" s="175"/>
    </row>
    <row r="292" spans="1:5" ht="12.6" customHeight="1" x14ac:dyDescent="0.2">
      <c r="A292" s="173" t="s">
        <v>393</v>
      </c>
      <c r="B292" s="175"/>
      <c r="C292" s="189"/>
      <c r="D292" s="175">
        <f>D260+D265+D277+D283+D290</f>
        <v>1201427103.6800001</v>
      </c>
      <c r="E292" s="175"/>
    </row>
    <row r="293" spans="1:5" ht="12.6" customHeight="1" x14ac:dyDescent="0.2">
      <c r="A293" s="173"/>
      <c r="B293" s="173"/>
      <c r="C293" s="189"/>
      <c r="D293" s="175"/>
      <c r="E293" s="175"/>
    </row>
    <row r="294" spans="1:5" ht="12.6" customHeight="1" x14ac:dyDescent="0.2">
      <c r="A294" s="173"/>
      <c r="B294" s="173"/>
      <c r="C294" s="189"/>
      <c r="D294" s="175"/>
      <c r="E294" s="175"/>
    </row>
    <row r="295" spans="1:5" ht="12.6" customHeight="1" x14ac:dyDescent="0.2">
      <c r="A295" s="173"/>
      <c r="B295" s="173"/>
      <c r="C295" s="189"/>
      <c r="D295" s="175"/>
      <c r="E295" s="175"/>
    </row>
    <row r="296" spans="1:5" ht="12.6" customHeight="1" x14ac:dyDescent="0.2">
      <c r="A296" s="173"/>
      <c r="B296" s="173"/>
      <c r="C296" s="189"/>
      <c r="D296" s="175"/>
      <c r="E296" s="175"/>
    </row>
    <row r="297" spans="1:5" ht="12.6" customHeight="1" x14ac:dyDescent="0.2">
      <c r="A297" s="173"/>
      <c r="B297" s="173"/>
      <c r="C297" s="189"/>
      <c r="D297" s="175"/>
      <c r="E297" s="175"/>
    </row>
    <row r="298" spans="1:5" ht="12.6" customHeight="1" x14ac:dyDescent="0.2">
      <c r="A298" s="173"/>
      <c r="B298" s="173"/>
      <c r="C298" s="189"/>
      <c r="D298" s="175"/>
      <c r="E298" s="175"/>
    </row>
    <row r="299" spans="1:5" ht="12.6" customHeight="1" x14ac:dyDescent="0.2">
      <c r="A299" s="173"/>
      <c r="B299" s="173"/>
      <c r="C299" s="189"/>
      <c r="D299" s="175"/>
      <c r="E299" s="175"/>
    </row>
    <row r="300" spans="1:5" ht="12.6" customHeight="1" x14ac:dyDescent="0.2">
      <c r="A300" s="173"/>
      <c r="B300" s="173"/>
      <c r="C300" s="189"/>
      <c r="D300" s="175"/>
      <c r="E300" s="175"/>
    </row>
    <row r="301" spans="1:5" ht="20.25" customHeight="1" x14ac:dyDescent="0.2">
      <c r="A301" s="173"/>
      <c r="B301" s="173"/>
      <c r="C301" s="189"/>
      <c r="D301" s="175"/>
      <c r="E301" s="175"/>
    </row>
    <row r="302" spans="1:5" ht="12.6" customHeight="1" x14ac:dyDescent="0.2">
      <c r="A302" s="206" t="s">
        <v>394</v>
      </c>
      <c r="B302" s="206"/>
      <c r="C302" s="206"/>
      <c r="D302" s="206"/>
      <c r="E302" s="206"/>
    </row>
    <row r="303" spans="1:5" ht="14.25" customHeight="1" x14ac:dyDescent="0.2">
      <c r="A303" s="252" t="s">
        <v>395</v>
      </c>
      <c r="B303" s="252"/>
      <c r="C303" s="252"/>
      <c r="D303" s="252"/>
      <c r="E303" s="252"/>
    </row>
    <row r="304" spans="1:5" ht="12.6" customHeight="1" x14ac:dyDescent="0.2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7">
        <f>10057847.65+520051.11</f>
        <v>10577898.76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7">
        <f>16898739.3+8239223.88</f>
        <v>25137963.18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7">
        <f>18385288.13+11570726.55+263010.07+32340664.8+467412.79+17082096.57</f>
        <v>80109198.909999996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7">
        <v>83914213.459999993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7">
        <v>0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7">
        <f>4711885.54+491909.1+396011.19</f>
        <v>5599805.8300000001</v>
      </c>
      <c r="D313" s="175"/>
      <c r="E313" s="175"/>
    </row>
    <row r="314" spans="1:5" ht="12.6" customHeight="1" x14ac:dyDescent="0.2">
      <c r="A314" s="173" t="s">
        <v>405</v>
      </c>
      <c r="B314" s="175"/>
      <c r="C314" s="189"/>
      <c r="D314" s="175">
        <f>SUM(C304:C313)</f>
        <v>205339080.14000002</v>
      </c>
      <c r="E314" s="175"/>
    </row>
    <row r="315" spans="1:5" ht="12.6" customHeight="1" x14ac:dyDescent="0.2">
      <c r="A315" s="252" t="s">
        <v>406</v>
      </c>
      <c r="B315" s="252"/>
      <c r="C315" s="252"/>
      <c r="D315" s="252"/>
      <c r="E315" s="252"/>
    </row>
    <row r="316" spans="1:5" ht="12.6" customHeight="1" x14ac:dyDescent="0.2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7">
        <v>0</v>
      </c>
      <c r="D318" s="175"/>
      <c r="E318" s="175"/>
    </row>
    <row r="319" spans="1:5" ht="12.6" customHeight="1" x14ac:dyDescent="0.2">
      <c r="A319" s="173" t="s">
        <v>410</v>
      </c>
      <c r="B319" s="175"/>
      <c r="C319" s="189"/>
      <c r="D319" s="175">
        <f>SUM(C316:C318)</f>
        <v>0</v>
      </c>
      <c r="E319" s="175"/>
    </row>
    <row r="320" spans="1:5" ht="12.6" customHeight="1" x14ac:dyDescent="0.2">
      <c r="A320" s="252" t="s">
        <v>411</v>
      </c>
      <c r="B320" s="252"/>
      <c r="C320" s="252"/>
      <c r="D320" s="252"/>
      <c r="E320" s="252"/>
    </row>
    <row r="321" spans="1:5" ht="12.6" customHeight="1" x14ac:dyDescent="0.2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7">
        <v>491909.1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7">
        <v>396011.19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7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7">
        <f>4711885.54+73462895.55+212251.5+491909.1</f>
        <v>78878941.689999998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7">
        <f>10708742+540075.54+72481684.34</f>
        <v>83730501.879999995</v>
      </c>
      <c r="D327" s="175"/>
      <c r="E327" s="175"/>
    </row>
    <row r="328" spans="1:5" ht="19.5" customHeight="1" x14ac:dyDescent="0.2">
      <c r="A328" s="173" t="s">
        <v>203</v>
      </c>
      <c r="B328" s="175"/>
      <c r="C328" s="189"/>
      <c r="D328" s="175">
        <f>SUM(C321:C327)</f>
        <v>163497363.86000001</v>
      </c>
      <c r="E328" s="175"/>
    </row>
    <row r="329" spans="1:5" ht="12.6" customHeight="1" x14ac:dyDescent="0.2">
      <c r="A329" s="173" t="s">
        <v>419</v>
      </c>
      <c r="B329" s="175"/>
      <c r="C329" s="189"/>
      <c r="D329" s="175">
        <f>C313</f>
        <v>5599805.8300000001</v>
      </c>
      <c r="E329" s="175"/>
    </row>
    <row r="330" spans="1:5" ht="12.6" customHeight="1" x14ac:dyDescent="0.2">
      <c r="A330" s="173" t="s">
        <v>420</v>
      </c>
      <c r="B330" s="175"/>
      <c r="C330" s="189"/>
      <c r="D330" s="175">
        <f>D328-D329</f>
        <v>157897558.03</v>
      </c>
      <c r="E330" s="175"/>
    </row>
    <row r="331" spans="1:5" ht="12.6" customHeight="1" x14ac:dyDescent="0.2">
      <c r="A331" s="173"/>
      <c r="B331" s="175"/>
      <c r="C331" s="189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19">
        <f>831113455.14+7077010.36</f>
        <v>838190465.5</v>
      </c>
      <c r="D332" s="175"/>
      <c r="E332" s="175"/>
    </row>
    <row r="333" spans="1:5" ht="12.6" customHeight="1" x14ac:dyDescent="0.2">
      <c r="A333" s="173"/>
      <c r="B333" s="172"/>
      <c r="C333" s="227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 x14ac:dyDescent="0.2">
      <c r="A339" s="173" t="s">
        <v>424</v>
      </c>
      <c r="B339" s="175"/>
      <c r="C339" s="189"/>
      <c r="D339" s="175">
        <f>D314+D319+D330+C332+C336+C337</f>
        <v>1201427103.6700001</v>
      </c>
      <c r="E339" s="175"/>
    </row>
    <row r="340" spans="1:5" ht="12.6" customHeight="1" x14ac:dyDescent="0.2">
      <c r="A340" s="173"/>
      <c r="B340" s="175"/>
      <c r="C340" s="189"/>
      <c r="D340" s="175"/>
      <c r="E340" s="175"/>
    </row>
    <row r="341" spans="1:5" ht="12.6" customHeight="1" x14ac:dyDescent="0.2">
      <c r="A341" s="173" t="s">
        <v>425</v>
      </c>
      <c r="B341" s="175"/>
      <c r="C341" s="189"/>
      <c r="D341" s="175">
        <f>D292</f>
        <v>1201427103.6800001</v>
      </c>
      <c r="E341" s="175"/>
    </row>
    <row r="342" spans="1:5" ht="12.6" customHeight="1" x14ac:dyDescent="0.2">
      <c r="A342" s="173"/>
      <c r="B342" s="173"/>
      <c r="C342" s="189"/>
      <c r="D342" s="175"/>
      <c r="E342" s="175"/>
    </row>
    <row r="343" spans="1:5" ht="12.6" customHeight="1" x14ac:dyDescent="0.2">
      <c r="A343" s="173"/>
      <c r="B343" s="173"/>
      <c r="C343" s="189"/>
      <c r="D343" s="175"/>
      <c r="E343" s="175"/>
    </row>
    <row r="344" spans="1:5" ht="12.6" customHeight="1" x14ac:dyDescent="0.2">
      <c r="A344" s="173"/>
      <c r="B344" s="173"/>
      <c r="C344" s="189"/>
      <c r="D344" s="175"/>
      <c r="E344" s="175"/>
    </row>
    <row r="345" spans="1:5" ht="12.6" customHeight="1" x14ac:dyDescent="0.2">
      <c r="A345" s="173"/>
      <c r="B345" s="173"/>
      <c r="C345" s="189"/>
      <c r="D345" s="175"/>
      <c r="E345" s="175"/>
    </row>
    <row r="346" spans="1:5" ht="12.6" customHeight="1" x14ac:dyDescent="0.2">
      <c r="A346" s="173"/>
      <c r="B346" s="173"/>
      <c r="C346" s="189"/>
      <c r="D346" s="175"/>
      <c r="E346" s="175"/>
    </row>
    <row r="347" spans="1:5" ht="12.6" customHeight="1" x14ac:dyDescent="0.2">
      <c r="A347" s="173"/>
      <c r="B347" s="173"/>
      <c r="C347" s="189"/>
      <c r="D347" s="175"/>
      <c r="E347" s="175"/>
    </row>
    <row r="348" spans="1:5" ht="12.6" customHeight="1" x14ac:dyDescent="0.2">
      <c r="A348" s="173"/>
      <c r="B348" s="173"/>
      <c r="C348" s="189"/>
      <c r="D348" s="175"/>
      <c r="E348" s="175"/>
    </row>
    <row r="349" spans="1:5" ht="12.6" customHeight="1" x14ac:dyDescent="0.2">
      <c r="A349" s="173"/>
      <c r="B349" s="173"/>
      <c r="C349" s="189"/>
      <c r="D349" s="175"/>
      <c r="E349" s="175"/>
    </row>
    <row r="350" spans="1:5" ht="12.6" customHeight="1" x14ac:dyDescent="0.2">
      <c r="A350" s="173"/>
      <c r="B350" s="173"/>
      <c r="C350" s="189"/>
      <c r="D350" s="175"/>
      <c r="E350" s="175"/>
    </row>
    <row r="351" spans="1:5" ht="12.6" customHeight="1" x14ac:dyDescent="0.2">
      <c r="A351" s="173"/>
      <c r="B351" s="173"/>
      <c r="C351" s="189"/>
      <c r="D351" s="175"/>
      <c r="E351" s="175"/>
    </row>
    <row r="352" spans="1:5" ht="12.6" customHeight="1" x14ac:dyDescent="0.2">
      <c r="A352" s="173"/>
      <c r="B352" s="173"/>
      <c r="C352" s="189"/>
      <c r="D352" s="175"/>
      <c r="E352" s="175"/>
    </row>
    <row r="353" spans="1:5" ht="12.6" customHeight="1" x14ac:dyDescent="0.2">
      <c r="A353" s="173"/>
      <c r="B353" s="173"/>
      <c r="C353" s="189"/>
      <c r="D353" s="175"/>
      <c r="E353" s="175"/>
    </row>
    <row r="354" spans="1:5" ht="12.6" customHeight="1" x14ac:dyDescent="0.2">
      <c r="A354" s="173"/>
      <c r="B354" s="173"/>
      <c r="C354" s="189"/>
      <c r="D354" s="175"/>
      <c r="E354" s="175"/>
    </row>
    <row r="355" spans="1:5" ht="12.6" customHeight="1" x14ac:dyDescent="0.2">
      <c r="A355" s="173"/>
      <c r="B355" s="173"/>
      <c r="C355" s="189"/>
      <c r="D355" s="175"/>
      <c r="E355" s="175"/>
    </row>
    <row r="356" spans="1:5" ht="20.25" customHeight="1" x14ac:dyDescent="0.2">
      <c r="A356" s="173"/>
      <c r="B356" s="173"/>
      <c r="C356" s="189"/>
      <c r="D356" s="175"/>
      <c r="E356" s="175"/>
    </row>
    <row r="357" spans="1:5" ht="12.6" customHeight="1" x14ac:dyDescent="0.2">
      <c r="A357" s="206" t="s">
        <v>426</v>
      </c>
      <c r="B357" s="206"/>
      <c r="C357" s="206"/>
      <c r="D357" s="206"/>
      <c r="E357" s="206"/>
    </row>
    <row r="358" spans="1:5" ht="12.6" customHeight="1" x14ac:dyDescent="0.2">
      <c r="A358" s="252" t="s">
        <v>427</v>
      </c>
      <c r="B358" s="252"/>
      <c r="C358" s="252"/>
      <c r="D358" s="252"/>
      <c r="E358" s="252"/>
    </row>
    <row r="359" spans="1:5" ht="12.6" customHeight="1" x14ac:dyDescent="0.2">
      <c r="A359" s="173" t="s">
        <v>428</v>
      </c>
      <c r="B359" s="172" t="s">
        <v>256</v>
      </c>
      <c r="C359" s="187">
        <v>1102193583.29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7">
        <f>1457031050.72+2366253.92+242971385.65</f>
        <v>1702368690.2900002</v>
      </c>
      <c r="D360" s="175"/>
      <c r="E360" s="175"/>
    </row>
    <row r="361" spans="1:5" ht="12.6" customHeight="1" x14ac:dyDescent="0.2">
      <c r="A361" s="173" t="s">
        <v>430</v>
      </c>
      <c r="B361" s="175"/>
      <c r="C361" s="189"/>
      <c r="D361" s="175">
        <f>SUM(C359:C360)</f>
        <v>2804562273.5799999</v>
      </c>
      <c r="E361" s="175"/>
    </row>
    <row r="362" spans="1:5" ht="12.6" customHeight="1" x14ac:dyDescent="0.2">
      <c r="A362" s="252" t="s">
        <v>431</v>
      </c>
      <c r="B362" s="252"/>
      <c r="C362" s="252"/>
      <c r="D362" s="252"/>
      <c r="E362" s="252"/>
    </row>
    <row r="363" spans="1:5" ht="12.6" customHeight="1" x14ac:dyDescent="0.2">
      <c r="A363" s="173" t="s">
        <v>1255</v>
      </c>
      <c r="B363" s="252"/>
      <c r="C363" s="187">
        <v>7170734.9900000002</v>
      </c>
      <c r="D363" s="175"/>
      <c r="E363" s="252"/>
    </row>
    <row r="364" spans="1:5" ht="12.6" customHeight="1" x14ac:dyDescent="0.2">
      <c r="A364" s="173" t="s">
        <v>432</v>
      </c>
      <c r="B364" s="172" t="s">
        <v>256</v>
      </c>
      <c r="C364" s="187">
        <f>-2776863.5-9485212.7-199.91-13801.25+838056530.15+1116047781.92+1520378.47+140928146.35-782454.88+55444.5</f>
        <v>2083549749.1499999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7">
        <v>26370436.219999999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7">
        <f>2776863.5+9485212.7+199.91+13801.25+782454.88-55444.5</f>
        <v>13003087.74</v>
      </c>
      <c r="D366" s="175"/>
      <c r="E366" s="175"/>
    </row>
    <row r="367" spans="1:5" ht="12.6" customHeight="1" x14ac:dyDescent="0.2">
      <c r="A367" s="173" t="s">
        <v>359</v>
      </c>
      <c r="B367" s="175"/>
      <c r="C367" s="189"/>
      <c r="D367" s="175">
        <f>SUM(C363:C366)</f>
        <v>2130094008.0999999</v>
      </c>
      <c r="E367" s="175"/>
    </row>
    <row r="368" spans="1:5" ht="12.6" customHeight="1" x14ac:dyDescent="0.2">
      <c r="A368" s="173" t="s">
        <v>435</v>
      </c>
      <c r="B368" s="175"/>
      <c r="C368" s="189"/>
      <c r="D368" s="175">
        <f>D361-D367</f>
        <v>674468265.48000002</v>
      </c>
      <c r="E368" s="175"/>
    </row>
    <row r="369" spans="1:5" ht="12.6" customHeight="1" x14ac:dyDescent="0.2">
      <c r="A369" s="252" t="s">
        <v>436</v>
      </c>
      <c r="B369" s="252"/>
      <c r="C369" s="252"/>
      <c r="D369" s="252"/>
      <c r="E369" s="252"/>
    </row>
    <row r="370" spans="1:5" ht="12.6" customHeight="1" x14ac:dyDescent="0.2">
      <c r="A370" s="173" t="s">
        <v>437</v>
      </c>
      <c r="B370" s="172" t="s">
        <v>256</v>
      </c>
      <c r="C370" s="187">
        <f>20504009.26+374418.3</f>
        <v>20878427.560000002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 x14ac:dyDescent="0.2">
      <c r="A372" s="173" t="s">
        <v>439</v>
      </c>
      <c r="B372" s="175"/>
      <c r="C372" s="189"/>
      <c r="D372" s="175">
        <f>SUM(C370:C371)</f>
        <v>20878427.560000002</v>
      </c>
      <c r="E372" s="175"/>
    </row>
    <row r="373" spans="1:5" ht="12.6" customHeight="1" x14ac:dyDescent="0.2">
      <c r="A373" s="173" t="s">
        <v>440</v>
      </c>
      <c r="B373" s="175"/>
      <c r="C373" s="189"/>
      <c r="D373" s="175">
        <f>D368+D372</f>
        <v>695346693.03999996</v>
      </c>
      <c r="E373" s="175"/>
    </row>
    <row r="374" spans="1:5" ht="12.6" customHeight="1" x14ac:dyDescent="0.2">
      <c r="A374" s="173"/>
      <c r="B374" s="175"/>
      <c r="C374" s="189"/>
      <c r="D374" s="175"/>
      <c r="E374" s="175"/>
    </row>
    <row r="375" spans="1:5" ht="12.6" customHeight="1" x14ac:dyDescent="0.2">
      <c r="A375" s="173"/>
      <c r="B375" s="175"/>
      <c r="C375" s="189"/>
      <c r="D375" s="175"/>
      <c r="E375" s="175"/>
    </row>
    <row r="376" spans="1:5" ht="12.6" customHeight="1" x14ac:dyDescent="0.2">
      <c r="A376" s="173"/>
      <c r="B376" s="175"/>
      <c r="C376" s="189"/>
      <c r="D376" s="175"/>
      <c r="E376" s="175"/>
    </row>
    <row r="377" spans="1:5" ht="12.6" customHeight="1" x14ac:dyDescent="0.2">
      <c r="A377" s="252" t="s">
        <v>441</v>
      </c>
      <c r="B377" s="252"/>
      <c r="C377" s="252"/>
      <c r="D377" s="252"/>
      <c r="E377" s="252"/>
    </row>
    <row r="378" spans="1:5" ht="12.6" customHeight="1" x14ac:dyDescent="0.2">
      <c r="A378" s="173" t="s">
        <v>442</v>
      </c>
      <c r="B378" s="172" t="s">
        <v>256</v>
      </c>
      <c r="C378" s="187">
        <f>195716976.42+12468565.3</f>
        <v>208185541.72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7">
        <v>47694269.979999997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7">
        <v>46408849.640000001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7">
        <v>108551313.59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7">
        <v>4387848.13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7">
        <f>125319.41+149698388.02+4113259.26+5418651.25</f>
        <v>159355617.94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7">
        <v>38189877.520000003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7">
        <v>15174691.560000001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7">
        <v>5495378.6200000001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7">
        <v>15141138.35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7">
        <v>-10715890.84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7">
        <f>289944.72+380410.07+501612.14+318855.76+230000+73107.65+22036.66+1300765.41+206908.75+1800000</f>
        <v>5123641.16</v>
      </c>
      <c r="D389" s="175"/>
      <c r="E389" s="175"/>
    </row>
    <row r="390" spans="1:6" ht="12.6" customHeight="1" x14ac:dyDescent="0.2">
      <c r="A390" s="173" t="s">
        <v>452</v>
      </c>
      <c r="B390" s="175"/>
      <c r="C390" s="189"/>
      <c r="D390" s="175">
        <f>SUM(C378:C389)</f>
        <v>642992277.36999989</v>
      </c>
      <c r="E390" s="175"/>
    </row>
    <row r="391" spans="1:6" ht="12.6" customHeight="1" x14ac:dyDescent="0.2">
      <c r="A391" s="173" t="s">
        <v>453</v>
      </c>
      <c r="B391" s="175"/>
      <c r="C391" s="189"/>
      <c r="D391" s="175">
        <f>D373-D390</f>
        <v>52354415.670000076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7">
        <v>14238374.23</v>
      </c>
      <c r="D392" s="175"/>
      <c r="E392" s="175"/>
    </row>
    <row r="393" spans="1:6" ht="12.6" customHeight="1" x14ac:dyDescent="0.2">
      <c r="A393" s="173" t="s">
        <v>455</v>
      </c>
      <c r="B393" s="175"/>
      <c r="C393" s="189"/>
      <c r="D393" s="193">
        <f>D391+C392</f>
        <v>66592789.90000008</v>
      </c>
      <c r="E393" s="175"/>
      <c r="F393" s="195"/>
    </row>
    <row r="394" spans="1:6" ht="12.6" customHeight="1" x14ac:dyDescent="0.2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 x14ac:dyDescent="0.2">
      <c r="A396" s="173" t="s">
        <v>458</v>
      </c>
      <c r="B396" s="175"/>
      <c r="C396" s="189"/>
      <c r="D396" s="175">
        <f>D393+C394-C395</f>
        <v>66592789.90000008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5"/>
    </row>
    <row r="412" spans="1:5" ht="12.6" customHeight="1" x14ac:dyDescent="0.2">
      <c r="A412" s="179" t="str">
        <f>C84&amp;"   "&amp;"H-"&amp;FIXED(C83,0,TRUE)&amp;"     FYE "&amp;C82</f>
        <v>St Michael Medical Center   H-0     FYE 06/30/2020</v>
      </c>
      <c r="B412" s="179"/>
      <c r="C412" s="179"/>
      <c r="D412" s="179"/>
      <c r="E412" s="255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12581</v>
      </c>
      <c r="C414" s="192">
        <f>E138</f>
        <v>12581</v>
      </c>
      <c r="D414" s="179"/>
    </row>
    <row r="415" spans="1:5" ht="12.6" customHeight="1" x14ac:dyDescent="0.2">
      <c r="A415" s="179" t="s">
        <v>464</v>
      </c>
      <c r="B415" s="179">
        <f>D111</f>
        <v>61948</v>
      </c>
      <c r="C415" s="179">
        <f>E139</f>
        <v>61948</v>
      </c>
      <c r="D415" s="192">
        <f>SUM(C59:H59)+N59</f>
        <v>61948</v>
      </c>
    </row>
    <row r="416" spans="1:5" ht="12.6" customHeight="1" x14ac:dyDescent="0.2">
      <c r="A416" s="179"/>
      <c r="B416" s="179"/>
      <c r="C416" s="192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2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4"/>
      <c r="B422" s="204"/>
      <c r="C422" s="181"/>
      <c r="D422" s="179"/>
    </row>
    <row r="423" spans="1:7" ht="12.6" customHeight="1" x14ac:dyDescent="0.2">
      <c r="A423" s="180" t="s">
        <v>469</v>
      </c>
      <c r="B423" s="180">
        <f>C114</f>
        <v>1753</v>
      </c>
    </row>
    <row r="424" spans="1:7" ht="12.6" customHeight="1" x14ac:dyDescent="0.2">
      <c r="A424" s="179" t="s">
        <v>1244</v>
      </c>
      <c r="B424" s="179">
        <f>D114</f>
        <v>2689</v>
      </c>
      <c r="D424" s="179">
        <f>J59</f>
        <v>0</v>
      </c>
    </row>
    <row r="425" spans="1:7" ht="12.6" customHeight="1" x14ac:dyDescent="0.2">
      <c r="A425" s="204"/>
      <c r="B425" s="204"/>
      <c r="C425" s="204"/>
      <c r="D425" s="204"/>
      <c r="F425" s="204"/>
      <c r="G425" s="204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208185541.72</v>
      </c>
      <c r="C427" s="179">
        <f t="shared" ref="C427:C434" si="13">CE61</f>
        <v>208185541.71999997</v>
      </c>
      <c r="D427" s="179"/>
    </row>
    <row r="428" spans="1:7" ht="12.6" customHeight="1" x14ac:dyDescent="0.2">
      <c r="A428" s="179" t="s">
        <v>3</v>
      </c>
      <c r="B428" s="179">
        <f t="shared" si="12"/>
        <v>47694269.979999997</v>
      </c>
      <c r="C428" s="179">
        <f t="shared" si="13"/>
        <v>47694271</v>
      </c>
      <c r="D428" s="179">
        <f>D173</f>
        <v>47694270.029999994</v>
      </c>
    </row>
    <row r="429" spans="1:7" ht="12.6" customHeight="1" x14ac:dyDescent="0.2">
      <c r="A429" s="179" t="s">
        <v>236</v>
      </c>
      <c r="B429" s="179">
        <f t="shared" si="12"/>
        <v>46408849.640000001</v>
      </c>
      <c r="C429" s="179">
        <f t="shared" si="13"/>
        <v>46408849.639999993</v>
      </c>
      <c r="D429" s="179"/>
    </row>
    <row r="430" spans="1:7" ht="12.6" customHeight="1" x14ac:dyDescent="0.2">
      <c r="A430" s="179" t="s">
        <v>237</v>
      </c>
      <c r="B430" s="179">
        <f t="shared" si="12"/>
        <v>108551313.59</v>
      </c>
      <c r="C430" s="179">
        <f t="shared" si="13"/>
        <v>108551313.39000002</v>
      </c>
      <c r="D430" s="179"/>
    </row>
    <row r="431" spans="1:7" ht="12.6" customHeight="1" x14ac:dyDescent="0.2">
      <c r="A431" s="179" t="s">
        <v>444</v>
      </c>
      <c r="B431" s="179">
        <f t="shared" si="12"/>
        <v>4387848.13</v>
      </c>
      <c r="C431" s="179">
        <f t="shared" si="13"/>
        <v>4387848.1300000008</v>
      </c>
      <c r="D431" s="179"/>
    </row>
    <row r="432" spans="1:7" ht="12.6" customHeight="1" x14ac:dyDescent="0.2">
      <c r="A432" s="179" t="s">
        <v>445</v>
      </c>
      <c r="B432" s="179">
        <f t="shared" si="12"/>
        <v>159355617.94</v>
      </c>
      <c r="C432" s="179">
        <f t="shared" si="13"/>
        <v>159355617.95197171</v>
      </c>
      <c r="D432" s="179"/>
    </row>
    <row r="433" spans="1:7" ht="12.6" customHeight="1" x14ac:dyDescent="0.2">
      <c r="A433" s="179" t="s">
        <v>6</v>
      </c>
      <c r="B433" s="179">
        <f t="shared" si="12"/>
        <v>38189877.520000003</v>
      </c>
      <c r="C433" s="179">
        <f t="shared" si="13"/>
        <v>38189878</v>
      </c>
      <c r="D433" s="179">
        <f>C217</f>
        <v>38189877.970000006</v>
      </c>
    </row>
    <row r="434" spans="1:7" ht="12.6" customHeight="1" x14ac:dyDescent="0.2">
      <c r="A434" s="179" t="s">
        <v>474</v>
      </c>
      <c r="B434" s="179">
        <f t="shared" si="12"/>
        <v>15174691.560000001</v>
      </c>
      <c r="C434" s="179">
        <f t="shared" si="13"/>
        <v>15174691.560000004</v>
      </c>
      <c r="D434" s="179">
        <f>D177</f>
        <v>15174691.559999999</v>
      </c>
    </row>
    <row r="435" spans="1:7" ht="12.6" customHeight="1" x14ac:dyDescent="0.2">
      <c r="A435" s="179" t="s">
        <v>447</v>
      </c>
      <c r="B435" s="179">
        <f t="shared" si="12"/>
        <v>5495378.6200000001</v>
      </c>
      <c r="C435" s="179"/>
      <c r="D435" s="179">
        <f>D181</f>
        <v>5495378.6200000001</v>
      </c>
    </row>
    <row r="436" spans="1:7" ht="12.6" customHeight="1" x14ac:dyDescent="0.2">
      <c r="A436" s="179" t="s">
        <v>475</v>
      </c>
      <c r="B436" s="179">
        <f t="shared" si="12"/>
        <v>15141138.35</v>
      </c>
      <c r="C436" s="179"/>
      <c r="D436" s="179">
        <f>D186</f>
        <v>15141138.35</v>
      </c>
    </row>
    <row r="437" spans="1:7" ht="12.6" customHeight="1" x14ac:dyDescent="0.2">
      <c r="A437" s="192" t="s">
        <v>449</v>
      </c>
      <c r="B437" s="192">
        <f t="shared" si="12"/>
        <v>-10715890.84</v>
      </c>
      <c r="C437" s="192"/>
      <c r="D437" s="192">
        <f>D190</f>
        <v>-10715890.84</v>
      </c>
    </row>
    <row r="438" spans="1:7" ht="12.6" customHeight="1" x14ac:dyDescent="0.2">
      <c r="A438" s="192" t="s">
        <v>476</v>
      </c>
      <c r="B438" s="192">
        <f>C386+C387+C388</f>
        <v>9920626.129999999</v>
      </c>
      <c r="C438" s="192">
        <f>CD69</f>
        <v>9920625.6799999997</v>
      </c>
      <c r="D438" s="192">
        <f>D181+D186+D190</f>
        <v>9920626.129999999</v>
      </c>
    </row>
    <row r="439" spans="1:7" ht="12.6" customHeight="1" x14ac:dyDescent="0.2">
      <c r="A439" s="179" t="s">
        <v>451</v>
      </c>
      <c r="B439" s="192">
        <f>C389</f>
        <v>5123641.16</v>
      </c>
      <c r="C439" s="192">
        <f>SUM(C69:CC69)</f>
        <v>5123641.6099999985</v>
      </c>
      <c r="D439" s="179"/>
    </row>
    <row r="440" spans="1:7" ht="12.6" customHeight="1" x14ac:dyDescent="0.2">
      <c r="A440" s="179" t="s">
        <v>477</v>
      </c>
      <c r="B440" s="192">
        <f>B438+B439</f>
        <v>15044267.289999999</v>
      </c>
      <c r="C440" s="192">
        <f>CE69</f>
        <v>15044267.289999999</v>
      </c>
      <c r="D440" s="179"/>
    </row>
    <row r="441" spans="1:7" ht="12.6" customHeight="1" x14ac:dyDescent="0.2">
      <c r="A441" s="179" t="s">
        <v>478</v>
      </c>
      <c r="B441" s="179">
        <f>D390</f>
        <v>642992277.36999989</v>
      </c>
      <c r="C441" s="179">
        <f>SUM(C427:C437)+C440</f>
        <v>642992278.68197167</v>
      </c>
      <c r="D441" s="179"/>
    </row>
    <row r="442" spans="1:7" ht="12.6" customHeight="1" x14ac:dyDescent="0.2">
      <c r="A442" s="204"/>
      <c r="B442" s="204"/>
      <c r="C442" s="204"/>
      <c r="D442" s="204"/>
      <c r="F442" s="204"/>
      <c r="G442" s="204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7170734.9900000002</v>
      </c>
      <c r="C444" s="179">
        <f>C363</f>
        <v>7170734.9900000002</v>
      </c>
      <c r="D444" s="179"/>
    </row>
    <row r="445" spans="1:7" ht="12.6" customHeight="1" x14ac:dyDescent="0.2">
      <c r="A445" s="179" t="s">
        <v>343</v>
      </c>
      <c r="B445" s="179">
        <f>D229</f>
        <v>2083549749.1500003</v>
      </c>
      <c r="C445" s="179">
        <f>C364</f>
        <v>2083549749.1499999</v>
      </c>
      <c r="D445" s="179"/>
    </row>
    <row r="446" spans="1:7" ht="12.6" customHeight="1" x14ac:dyDescent="0.2">
      <c r="A446" s="179" t="s">
        <v>351</v>
      </c>
      <c r="B446" s="179">
        <f>D236</f>
        <v>26370436.219999999</v>
      </c>
      <c r="C446" s="179">
        <f>C365</f>
        <v>26370436.219999999</v>
      </c>
      <c r="D446" s="179"/>
    </row>
    <row r="447" spans="1:7" ht="12.6" customHeight="1" x14ac:dyDescent="0.2">
      <c r="A447" s="179" t="s">
        <v>356</v>
      </c>
      <c r="B447" s="179">
        <f>D240</f>
        <v>13003087.74</v>
      </c>
      <c r="C447" s="179">
        <f>C366</f>
        <v>13003087.74</v>
      </c>
      <c r="D447" s="179"/>
    </row>
    <row r="448" spans="1:7" ht="12.6" customHeight="1" x14ac:dyDescent="0.2">
      <c r="A448" s="179" t="s">
        <v>358</v>
      </c>
      <c r="B448" s="179">
        <f>D242</f>
        <v>2130094008.1000004</v>
      </c>
      <c r="C448" s="179">
        <f>D367</f>
        <v>2130094008.0999999</v>
      </c>
      <c r="D448" s="179"/>
    </row>
    <row r="449" spans="1:7" ht="12.6" customHeight="1" x14ac:dyDescent="0.2">
      <c r="A449" s="204"/>
      <c r="B449" s="204"/>
      <c r="C449" s="204"/>
      <c r="D449" s="204"/>
      <c r="F449" s="204"/>
      <c r="G449" s="204"/>
    </row>
    <row r="450" spans="1:7" ht="12.6" customHeight="1" x14ac:dyDescent="0.2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7" t="s">
        <v>484</v>
      </c>
      <c r="B453" s="180">
        <f>C231</f>
        <v>16200</v>
      </c>
    </row>
    <row r="454" spans="1:7" ht="12.6" customHeight="1" x14ac:dyDescent="0.2">
      <c r="A454" s="179" t="s">
        <v>168</v>
      </c>
      <c r="B454" s="179">
        <f>C233</f>
        <v>11326985.140000001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15043451.08</v>
      </c>
      <c r="C455" s="179"/>
      <c r="D455" s="179"/>
    </row>
    <row r="456" spans="1:7" ht="12.6" customHeight="1" x14ac:dyDescent="0.2">
      <c r="A456" s="204"/>
      <c r="B456" s="204"/>
      <c r="C456" s="204"/>
      <c r="D456" s="204"/>
      <c r="F456" s="204"/>
      <c r="G456" s="204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2">
        <f>C370</f>
        <v>20878427.560000002</v>
      </c>
      <c r="C458" s="192">
        <f>CE70</f>
        <v>20878427.560000002</v>
      </c>
      <c r="D458" s="192"/>
    </row>
    <row r="459" spans="1:7" ht="12.6" customHeight="1" x14ac:dyDescent="0.2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 x14ac:dyDescent="0.2">
      <c r="A460" s="204"/>
      <c r="B460" s="204"/>
      <c r="C460" s="204"/>
      <c r="D460" s="204"/>
      <c r="F460" s="204"/>
      <c r="G460" s="204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2">
        <f>C359</f>
        <v>1102193583.29</v>
      </c>
      <c r="C463" s="192">
        <f>CE73</f>
        <v>1102193583.29</v>
      </c>
      <c r="D463" s="192">
        <f>E141+E147+E153</f>
        <v>1102193583.29</v>
      </c>
    </row>
    <row r="464" spans="1:7" ht="12.6" customHeight="1" x14ac:dyDescent="0.2">
      <c r="A464" s="179" t="s">
        <v>246</v>
      </c>
      <c r="B464" s="192">
        <f>C360</f>
        <v>1702368690.2900002</v>
      </c>
      <c r="C464" s="192">
        <f>CE74</f>
        <v>1702368690.0400004</v>
      </c>
      <c r="D464" s="192">
        <f>E142+E148+E154</f>
        <v>1702368690.29</v>
      </c>
    </row>
    <row r="465" spans="1:7" ht="12.6" customHeight="1" x14ac:dyDescent="0.2">
      <c r="A465" s="179" t="s">
        <v>247</v>
      </c>
      <c r="B465" s="192">
        <f>D361</f>
        <v>2804562273.5799999</v>
      </c>
      <c r="C465" s="192">
        <f>CE75</f>
        <v>2804562273.3299999</v>
      </c>
      <c r="D465" s="192">
        <f>D463+D464</f>
        <v>2804562273.5799999</v>
      </c>
    </row>
    <row r="466" spans="1:7" ht="12.6" customHeight="1" x14ac:dyDescent="0.2">
      <c r="A466" s="204"/>
      <c r="B466" s="204"/>
      <c r="C466" s="204"/>
      <c r="D466" s="204"/>
      <c r="F466" s="204"/>
      <c r="G466" s="204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6695719.1299999999</v>
      </c>
      <c r="C468" s="179">
        <f>E195</f>
        <v>6695718.9900000002</v>
      </c>
      <c r="D468" s="179"/>
    </row>
    <row r="469" spans="1:7" ht="12.6" customHeight="1" x14ac:dyDescent="0.2">
      <c r="A469" s="179" t="s">
        <v>333</v>
      </c>
      <c r="B469" s="179">
        <f t="shared" si="14"/>
        <v>2153149</v>
      </c>
      <c r="C469" s="179">
        <f>E196</f>
        <v>2153149</v>
      </c>
      <c r="D469" s="179"/>
    </row>
    <row r="470" spans="1:7" ht="12.6" customHeight="1" x14ac:dyDescent="0.2">
      <c r="A470" s="179" t="s">
        <v>334</v>
      </c>
      <c r="B470" s="179">
        <f t="shared" si="14"/>
        <v>99727204.209999993</v>
      </c>
      <c r="C470" s="179">
        <f>E197</f>
        <v>99727204</v>
      </c>
      <c r="D470" s="179"/>
    </row>
    <row r="471" spans="1:7" ht="12.6" customHeight="1" x14ac:dyDescent="0.2">
      <c r="A471" s="179" t="s">
        <v>494</v>
      </c>
      <c r="B471" s="179">
        <f t="shared" si="14"/>
        <v>8216408.2400000002</v>
      </c>
      <c r="C471" s="179">
        <f>E198</f>
        <v>8216408.2899999982</v>
      </c>
      <c r="D471" s="179"/>
    </row>
    <row r="472" spans="1:7" ht="12.6" customHeight="1" x14ac:dyDescent="0.2">
      <c r="A472" s="179" t="s">
        <v>377</v>
      </c>
      <c r="B472" s="179">
        <f t="shared" si="14"/>
        <v>4782848.42</v>
      </c>
      <c r="C472" s="179">
        <f>E199</f>
        <v>4782848.55</v>
      </c>
      <c r="D472" s="179"/>
    </row>
    <row r="473" spans="1:7" ht="12.6" customHeight="1" x14ac:dyDescent="0.2">
      <c r="A473" s="179" t="s">
        <v>495</v>
      </c>
      <c r="B473" s="179">
        <f t="shared" si="14"/>
        <v>151699377.32999998</v>
      </c>
      <c r="C473" s="179">
        <f>SUM(E200:E201)</f>
        <v>151699377.74000001</v>
      </c>
      <c r="D473" s="179"/>
    </row>
    <row r="474" spans="1:7" ht="12.6" customHeight="1" x14ac:dyDescent="0.2">
      <c r="A474" s="179" t="s">
        <v>339</v>
      </c>
      <c r="B474" s="179">
        <f t="shared" si="14"/>
        <v>34004094.310000002</v>
      </c>
      <c r="C474" s="179">
        <f>E202</f>
        <v>34004093.780000001</v>
      </c>
      <c r="D474" s="179"/>
    </row>
    <row r="475" spans="1:7" ht="12.6" customHeight="1" x14ac:dyDescent="0.2">
      <c r="A475" s="179" t="s">
        <v>340</v>
      </c>
      <c r="B475" s="179">
        <f t="shared" si="14"/>
        <v>430760581.65000004</v>
      </c>
      <c r="C475" s="179">
        <f>E203</f>
        <v>430760581.44999993</v>
      </c>
      <c r="D475" s="179"/>
    </row>
    <row r="476" spans="1:7" ht="12.6" customHeight="1" x14ac:dyDescent="0.2">
      <c r="A476" s="179" t="s">
        <v>203</v>
      </c>
      <c r="B476" s="179">
        <f>D275</f>
        <v>738039382.28999996</v>
      </c>
      <c r="C476" s="179">
        <f>E204</f>
        <v>738039381.79999995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222858270.63</v>
      </c>
      <c r="C478" s="179">
        <f>E217</f>
        <v>222858270.65000001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1201427103.6800001</v>
      </c>
    </row>
    <row r="482" spans="1:12" ht="12.6" customHeight="1" x14ac:dyDescent="0.2">
      <c r="A482" s="180" t="s">
        <v>499</v>
      </c>
      <c r="C482" s="180">
        <f>D339</f>
        <v>1201427103.6700001</v>
      </c>
    </row>
    <row r="485" spans="1:12" ht="12.6" customHeight="1" x14ac:dyDescent="0.2">
      <c r="A485" s="197" t="s">
        <v>500</v>
      </c>
    </row>
    <row r="486" spans="1:12" ht="12.6" customHeight="1" x14ac:dyDescent="0.2">
      <c r="A486" s="197" t="s">
        <v>501</v>
      </c>
    </row>
    <row r="487" spans="1:12" ht="12.6" customHeight="1" x14ac:dyDescent="0.2">
      <c r="A487" s="197" t="s">
        <v>502</v>
      </c>
    </row>
    <row r="488" spans="1:12" ht="12.6" customHeight="1" x14ac:dyDescent="0.2">
      <c r="A488" s="197"/>
    </row>
    <row r="489" spans="1:12" ht="12.6" customHeight="1" x14ac:dyDescent="0.2">
      <c r="A489" s="196" t="s">
        <v>503</v>
      </c>
    </row>
    <row r="490" spans="1:12" ht="12.6" customHeight="1" x14ac:dyDescent="0.2">
      <c r="A490" s="197" t="s">
        <v>504</v>
      </c>
    </row>
    <row r="491" spans="1:12" ht="12.6" customHeight="1" x14ac:dyDescent="0.2">
      <c r="A491" s="197"/>
    </row>
    <row r="493" spans="1:12" ht="12.6" customHeight="1" x14ac:dyDescent="0.2">
      <c r="A493" s="180" t="str">
        <f>C83</f>
        <v>142</v>
      </c>
      <c r="B493" s="256" t="str">
        <f>RIGHT('Prior Year'!C82,4)</f>
        <v>2019</v>
      </c>
      <c r="C493" s="256" t="str">
        <f>RIGHT(C82,4)</f>
        <v>2020</v>
      </c>
      <c r="D493" s="256" t="str">
        <f>RIGHT('Prior Year'!C82,4)</f>
        <v>2019</v>
      </c>
      <c r="E493" s="256" t="str">
        <f>RIGHT(C82,4)</f>
        <v>2020</v>
      </c>
      <c r="F493" s="256" t="str">
        <f>RIGHT('Prior Year'!C82,4)</f>
        <v>2019</v>
      </c>
      <c r="G493" s="256" t="str">
        <f>RIGHT(C82,4)</f>
        <v>2020</v>
      </c>
      <c r="H493" s="256"/>
      <c r="K493" s="256"/>
      <c r="L493" s="256"/>
    </row>
    <row r="494" spans="1:12" ht="12.6" customHeight="1" x14ac:dyDescent="0.2">
      <c r="A494" s="196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 x14ac:dyDescent="0.2">
      <c r="A496" s="180" t="s">
        <v>512</v>
      </c>
      <c r="B496" s="235">
        <f>'Prior Year'!C71</f>
        <v>9274431.1799999997</v>
      </c>
      <c r="C496" s="235">
        <f>C71</f>
        <v>10593458.529999999</v>
      </c>
      <c r="D496" s="235">
        <f>'Prior Year'!C59</f>
        <v>4916</v>
      </c>
      <c r="E496" s="180">
        <f>C59</f>
        <v>5067</v>
      </c>
      <c r="F496" s="258">
        <f t="shared" ref="F496:G511" si="15">IF(B496=0,"",IF(D496=0,"",B496/D496))</f>
        <v>1886.5807933279089</v>
      </c>
      <c r="G496" s="259">
        <f t="shared" si="15"/>
        <v>2090.6766390369053</v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 x14ac:dyDescent="0.2">
      <c r="A497" s="180" t="s">
        <v>513</v>
      </c>
      <c r="B497" s="235">
        <f>'Prior Year'!D71</f>
        <v>0</v>
      </c>
      <c r="C497" s="235">
        <f>D71</f>
        <v>0</v>
      </c>
      <c r="D497" s="235">
        <f>'Prior Year'!D59</f>
        <v>0</v>
      </c>
      <c r="E497" s="180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50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 x14ac:dyDescent="0.2">
      <c r="A498" s="180" t="s">
        <v>514</v>
      </c>
      <c r="B498" s="235">
        <f>'Prior Year'!E71</f>
        <v>54022814.152500011</v>
      </c>
      <c r="C498" s="235">
        <f>E71</f>
        <v>58556441.150000013</v>
      </c>
      <c r="D498" s="235">
        <f>'Prior Year'!E59</f>
        <v>56659</v>
      </c>
      <c r="E498" s="180">
        <f>E59</f>
        <v>56881</v>
      </c>
      <c r="F498" s="258">
        <f t="shared" si="15"/>
        <v>953.47277842002177</v>
      </c>
      <c r="G498" s="258">
        <f t="shared" si="15"/>
        <v>1029.4551985724586</v>
      </c>
      <c r="H498" s="260" t="str">
        <f t="shared" si="16"/>
        <v/>
      </c>
      <c r="I498" s="262"/>
      <c r="K498" s="256"/>
      <c r="L498" s="256"/>
    </row>
    <row r="499" spans="1:12" ht="12.6" customHeight="1" x14ac:dyDescent="0.2">
      <c r="A499" s="180" t="s">
        <v>515</v>
      </c>
      <c r="B499" s="235">
        <f>'Prior Year'!F71</f>
        <v>0</v>
      </c>
      <c r="C499" s="235">
        <f>F71</f>
        <v>0</v>
      </c>
      <c r="D499" s="235">
        <f>'Prior Year'!F59</f>
        <v>0</v>
      </c>
      <c r="E499" s="180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" customHeight="1" x14ac:dyDescent="0.2">
      <c r="A500" s="180" t="s">
        <v>516</v>
      </c>
      <c r="B500" s="235">
        <f>'Prior Year'!G71</f>
        <v>119784.64750000001</v>
      </c>
      <c r="C500" s="235">
        <f>G71</f>
        <v>0</v>
      </c>
      <c r="D500" s="235">
        <f>'Prior Year'!G59</f>
        <v>0</v>
      </c>
      <c r="E500" s="180">
        <f>G59</f>
        <v>0</v>
      </c>
      <c r="F500" s="258" t="str">
        <f t="shared" si="15"/>
        <v/>
      </c>
      <c r="G500" s="258" t="str">
        <f t="shared" si="15"/>
        <v/>
      </c>
      <c r="H500" s="260" t="str">
        <f t="shared" si="16"/>
        <v/>
      </c>
      <c r="I500" s="262"/>
      <c r="K500" s="256"/>
      <c r="L500" s="256"/>
    </row>
    <row r="501" spans="1:12" ht="12.6" customHeight="1" x14ac:dyDescent="0.2">
      <c r="A501" s="180" t="s">
        <v>517</v>
      </c>
      <c r="B501" s="235">
        <f>'Prior Year'!H71</f>
        <v>763.63</v>
      </c>
      <c r="C501" s="235">
        <f>H71</f>
        <v>715.07999999999993</v>
      </c>
      <c r="D501" s="235">
        <f>'Prior Year'!H59</f>
        <v>0</v>
      </c>
      <c r="E501" s="180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" customHeight="1" x14ac:dyDescent="0.2">
      <c r="A502" s="180" t="s">
        <v>518</v>
      </c>
      <c r="B502" s="235">
        <f>'Prior Year'!I71</f>
        <v>0</v>
      </c>
      <c r="C502" s="235">
        <f>I71</f>
        <v>0</v>
      </c>
      <c r="D502" s="235">
        <f>'Prior Year'!I59</f>
        <v>0</v>
      </c>
      <c r="E502" s="180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" customHeight="1" x14ac:dyDescent="0.2">
      <c r="A503" s="180" t="s">
        <v>519</v>
      </c>
      <c r="B503" s="235">
        <f>'Prior Year'!J71</f>
        <v>13564423.77</v>
      </c>
      <c r="C503" s="235">
        <f>J71</f>
        <v>0</v>
      </c>
      <c r="D503" s="235">
        <f>'Prior Year'!J59</f>
        <v>3964</v>
      </c>
      <c r="E503" s="180">
        <f>J59</f>
        <v>0</v>
      </c>
      <c r="F503" s="258">
        <f t="shared" si="15"/>
        <v>3421.9030701311804</v>
      </c>
      <c r="G503" s="258" t="str">
        <f t="shared" si="15"/>
        <v/>
      </c>
      <c r="H503" s="260" t="str">
        <f t="shared" si="16"/>
        <v/>
      </c>
      <c r="I503" s="262"/>
      <c r="K503" s="256"/>
      <c r="L503" s="256"/>
    </row>
    <row r="504" spans="1:12" ht="12.6" customHeight="1" x14ac:dyDescent="0.2">
      <c r="A504" s="180" t="s">
        <v>520</v>
      </c>
      <c r="B504" s="235">
        <f>'Prior Year'!K71</f>
        <v>0</v>
      </c>
      <c r="C504" s="235">
        <f>K71</f>
        <v>0</v>
      </c>
      <c r="D504" s="235">
        <f>'Prior Year'!K59</f>
        <v>0</v>
      </c>
      <c r="E504" s="180">
        <f>K59</f>
        <v>0</v>
      </c>
      <c r="F504" s="258" t="str">
        <f t="shared" si="15"/>
        <v/>
      </c>
      <c r="G504" s="258" t="str">
        <f t="shared" si="15"/>
        <v/>
      </c>
      <c r="H504" s="260" t="str">
        <f t="shared" si="16"/>
        <v/>
      </c>
      <c r="I504" s="262"/>
      <c r="K504" s="256"/>
      <c r="L504" s="256"/>
    </row>
    <row r="505" spans="1:12" ht="12.6" customHeight="1" x14ac:dyDescent="0.2">
      <c r="A505" s="180" t="s">
        <v>521</v>
      </c>
      <c r="B505" s="235">
        <f>'Prior Year'!L71</f>
        <v>0</v>
      </c>
      <c r="C505" s="235">
        <f>L71</f>
        <v>0</v>
      </c>
      <c r="D505" s="235">
        <f>'Prior Year'!L59</f>
        <v>0</v>
      </c>
      <c r="E505" s="180">
        <f>L59</f>
        <v>0</v>
      </c>
      <c r="F505" s="258" t="str">
        <f t="shared" si="15"/>
        <v/>
      </c>
      <c r="G505" s="258" t="str">
        <f t="shared" si="15"/>
        <v/>
      </c>
      <c r="H505" s="260" t="str">
        <f t="shared" si="16"/>
        <v/>
      </c>
      <c r="I505" s="262"/>
      <c r="K505" s="256"/>
      <c r="L505" s="256"/>
    </row>
    <row r="506" spans="1:12" ht="12.6" customHeight="1" x14ac:dyDescent="0.2">
      <c r="A506" s="180" t="s">
        <v>522</v>
      </c>
      <c r="B506" s="235">
        <f>'Prior Year'!M71</f>
        <v>0</v>
      </c>
      <c r="C506" s="235">
        <f>M71</f>
        <v>0</v>
      </c>
      <c r="D506" s="235">
        <f>'Prior Year'!M59</f>
        <v>0</v>
      </c>
      <c r="E506" s="180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" customHeight="1" x14ac:dyDescent="0.2">
      <c r="A507" s="180" t="s">
        <v>523</v>
      </c>
      <c r="B507" s="235">
        <f>'Prior Year'!N71</f>
        <v>0</v>
      </c>
      <c r="C507" s="235">
        <f>N71</f>
        <v>0</v>
      </c>
      <c r="D507" s="235">
        <f>'Prior Year'!N59</f>
        <v>0</v>
      </c>
      <c r="E507" s="180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" customHeight="1" x14ac:dyDescent="0.2">
      <c r="A508" s="180" t="s">
        <v>524</v>
      </c>
      <c r="B508" s="235">
        <f>'Prior Year'!O71</f>
        <v>0</v>
      </c>
      <c r="C508" s="235">
        <f>O71</f>
        <v>13437668.41</v>
      </c>
      <c r="D508" s="235">
        <f>'Prior Year'!O59</f>
        <v>0</v>
      </c>
      <c r="E508" s="180">
        <f>O59</f>
        <v>2689</v>
      </c>
      <c r="F508" s="258" t="str">
        <f t="shared" si="15"/>
        <v/>
      </c>
      <c r="G508" s="258">
        <f t="shared" si="15"/>
        <v>4997.2734882856084</v>
      </c>
      <c r="H508" s="260" t="str">
        <f t="shared" si="16"/>
        <v/>
      </c>
      <c r="I508" s="262"/>
      <c r="K508" s="256"/>
      <c r="L508" s="256"/>
    </row>
    <row r="509" spans="1:12" ht="12.6" customHeight="1" x14ac:dyDescent="0.2">
      <c r="A509" s="180" t="s">
        <v>525</v>
      </c>
      <c r="B509" s="235">
        <f>'Prior Year'!P71</f>
        <v>48223151.385000005</v>
      </c>
      <c r="C509" s="235">
        <f>P71</f>
        <v>45847889.230000004</v>
      </c>
      <c r="D509" s="235">
        <f>'Prior Year'!P59</f>
        <v>1103372</v>
      </c>
      <c r="E509" s="180">
        <f>P59</f>
        <v>908840</v>
      </c>
      <c r="F509" s="258">
        <f t="shared" si="15"/>
        <v>43.705252068205468</v>
      </c>
      <c r="G509" s="258">
        <f t="shared" si="15"/>
        <v>50.446601414990539</v>
      </c>
      <c r="H509" s="260" t="str">
        <f t="shared" si="16"/>
        <v/>
      </c>
      <c r="I509" s="262"/>
      <c r="K509" s="256"/>
      <c r="L509" s="256"/>
    </row>
    <row r="510" spans="1:12" ht="12.6" customHeight="1" x14ac:dyDescent="0.2">
      <c r="A510" s="180" t="s">
        <v>526</v>
      </c>
      <c r="B510" s="235">
        <f>'Prior Year'!Q71</f>
        <v>6604556.9600000009</v>
      </c>
      <c r="C510" s="235">
        <f>Q71</f>
        <v>6985695.7000000011</v>
      </c>
      <c r="D510" s="235">
        <f>'Prior Year'!Q59</f>
        <v>34537</v>
      </c>
      <c r="E510" s="180">
        <f>Q59</f>
        <v>30625</v>
      </c>
      <c r="F510" s="258">
        <f t="shared" si="15"/>
        <v>191.23134493441819</v>
      </c>
      <c r="G510" s="258">
        <f t="shared" si="15"/>
        <v>228.10434938775515</v>
      </c>
      <c r="H510" s="260" t="str">
        <f t="shared" si="16"/>
        <v/>
      </c>
      <c r="I510" s="262"/>
      <c r="K510" s="256"/>
      <c r="L510" s="256"/>
    </row>
    <row r="511" spans="1:12" ht="12.6" customHeight="1" x14ac:dyDescent="0.2">
      <c r="A511" s="180" t="s">
        <v>527</v>
      </c>
      <c r="B511" s="235">
        <f>'Prior Year'!R71</f>
        <v>1577080.55</v>
      </c>
      <c r="C511" s="235">
        <f>R71</f>
        <v>1500047.3699999999</v>
      </c>
      <c r="D511" s="235">
        <f>'Prior Year'!R59</f>
        <v>642960</v>
      </c>
      <c r="E511" s="180">
        <f>R59</f>
        <v>500310</v>
      </c>
      <c r="F511" s="258">
        <f t="shared" si="15"/>
        <v>2.4528439560781385</v>
      </c>
      <c r="G511" s="258">
        <f t="shared" si="15"/>
        <v>2.9982358337830544</v>
      </c>
      <c r="H511" s="260" t="str">
        <f t="shared" si="16"/>
        <v/>
      </c>
      <c r="I511" s="262"/>
      <c r="K511" s="256"/>
      <c r="L511" s="256"/>
    </row>
    <row r="512" spans="1:12" ht="12.6" customHeight="1" x14ac:dyDescent="0.2">
      <c r="A512" s="180" t="s">
        <v>528</v>
      </c>
      <c r="B512" s="235">
        <f>'Prior Year'!S71</f>
        <v>3318199.9894524994</v>
      </c>
      <c r="C512" s="235">
        <f>S71</f>
        <v>2081053.6243250007</v>
      </c>
      <c r="D512" s="181" t="s">
        <v>529</v>
      </c>
      <c r="E512" s="181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" customHeight="1" x14ac:dyDescent="0.2">
      <c r="A513" s="180" t="s">
        <v>1246</v>
      </c>
      <c r="B513" s="235">
        <f>'Prior Year'!T71</f>
        <v>0</v>
      </c>
      <c r="C513" s="235">
        <f>T71</f>
        <v>0</v>
      </c>
      <c r="D513" s="181" t="s">
        <v>529</v>
      </c>
      <c r="E513" s="181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" customHeight="1" x14ac:dyDescent="0.2">
      <c r="A514" s="180" t="s">
        <v>530</v>
      </c>
      <c r="B514" s="235">
        <f>'Prior Year'!U71</f>
        <v>14762912.51</v>
      </c>
      <c r="C514" s="235">
        <f>U71</f>
        <v>15323169.450000001</v>
      </c>
      <c r="D514" s="235">
        <f>'Prior Year'!U59</f>
        <v>1127200</v>
      </c>
      <c r="E514" s="180">
        <f>U59</f>
        <v>1068434</v>
      </c>
      <c r="F514" s="258">
        <f t="shared" si="17"/>
        <v>13.096977031582682</v>
      </c>
      <c r="G514" s="258">
        <f t="shared" si="17"/>
        <v>14.341708940374419</v>
      </c>
      <c r="H514" s="260" t="str">
        <f t="shared" si="16"/>
        <v/>
      </c>
      <c r="I514" s="262"/>
      <c r="K514" s="256"/>
      <c r="L514" s="256"/>
    </row>
    <row r="515" spans="1:12" ht="12.6" customHeight="1" x14ac:dyDescent="0.2">
      <c r="A515" s="180" t="s">
        <v>531</v>
      </c>
      <c r="B515" s="235">
        <f>'Prior Year'!V71</f>
        <v>1091779.9500000002</v>
      </c>
      <c r="C515" s="235">
        <f>V71</f>
        <v>1186698.48</v>
      </c>
      <c r="D515" s="235">
        <f>'Prior Year'!V59</f>
        <v>37304</v>
      </c>
      <c r="E515" s="180">
        <f>V59</f>
        <v>6698</v>
      </c>
      <c r="F515" s="258">
        <f t="shared" si="17"/>
        <v>29.267101383229686</v>
      </c>
      <c r="G515" s="258">
        <f t="shared" si="17"/>
        <v>177.17206330247834</v>
      </c>
      <c r="H515" s="260">
        <f t="shared" si="16"/>
        <v>5.0536252286329768</v>
      </c>
      <c r="I515" s="262" t="s">
        <v>1394</v>
      </c>
      <c r="K515" s="256"/>
      <c r="L515" s="256"/>
    </row>
    <row r="516" spans="1:12" ht="12.6" customHeight="1" x14ac:dyDescent="0.2">
      <c r="A516" s="180" t="s">
        <v>532</v>
      </c>
      <c r="B516" s="235">
        <f>'Prior Year'!W71</f>
        <v>858273.73000000021</v>
      </c>
      <c r="C516" s="235">
        <f>W71</f>
        <v>924998.70000000007</v>
      </c>
      <c r="D516" s="235">
        <f>'Prior Year'!W59</f>
        <v>3374</v>
      </c>
      <c r="E516" s="180">
        <f>W59</f>
        <v>2893</v>
      </c>
      <c r="F516" s="258">
        <f t="shared" si="17"/>
        <v>254.37869887374043</v>
      </c>
      <c r="G516" s="258">
        <f t="shared" si="17"/>
        <v>319.7368475630833</v>
      </c>
      <c r="H516" s="260">
        <f t="shared" si="16"/>
        <v>0.25693247500170235</v>
      </c>
      <c r="I516" s="262" t="s">
        <v>1395</v>
      </c>
      <c r="K516" s="256"/>
      <c r="L516" s="256"/>
    </row>
    <row r="517" spans="1:12" ht="12.6" customHeight="1" x14ac:dyDescent="0.2">
      <c r="A517" s="180" t="s">
        <v>533</v>
      </c>
      <c r="B517" s="235">
        <f>'Prior Year'!X71</f>
        <v>0</v>
      </c>
      <c r="C517" s="235">
        <f>X71</f>
        <v>0</v>
      </c>
      <c r="D517" s="235">
        <f>'Prior Year'!X59</f>
        <v>0</v>
      </c>
      <c r="E517" s="180">
        <f>X59</f>
        <v>0</v>
      </c>
      <c r="F517" s="258" t="str">
        <f t="shared" si="17"/>
        <v/>
      </c>
      <c r="G517" s="258" t="str">
        <f t="shared" si="17"/>
        <v/>
      </c>
      <c r="H517" s="260" t="str">
        <f t="shared" si="16"/>
        <v/>
      </c>
      <c r="I517" s="262"/>
      <c r="K517" s="256"/>
      <c r="L517" s="256"/>
    </row>
    <row r="518" spans="1:12" ht="12.6" customHeight="1" x14ac:dyDescent="0.2">
      <c r="A518" s="180" t="s">
        <v>534</v>
      </c>
      <c r="B518" s="235">
        <f>'Prior Year'!Y71</f>
        <v>41452895.600000001</v>
      </c>
      <c r="C518" s="235">
        <f>Y71</f>
        <v>42045074.289999992</v>
      </c>
      <c r="D518" s="235">
        <f>'Prior Year'!Y59</f>
        <v>147723</v>
      </c>
      <c r="E518" s="180">
        <f>Y59</f>
        <v>130982</v>
      </c>
      <c r="F518" s="258">
        <f t="shared" si="17"/>
        <v>280.61233254131042</v>
      </c>
      <c r="G518" s="258">
        <f t="shared" si="17"/>
        <v>320.99887228779522</v>
      </c>
      <c r="H518" s="260" t="str">
        <f t="shared" si="16"/>
        <v/>
      </c>
      <c r="I518" s="262"/>
      <c r="K518" s="256"/>
      <c r="L518" s="256"/>
    </row>
    <row r="519" spans="1:12" ht="12.6" customHeight="1" x14ac:dyDescent="0.2">
      <c r="A519" s="180" t="s">
        <v>535</v>
      </c>
      <c r="B519" s="235">
        <f>'Prior Year'!Z71</f>
        <v>4491174.66</v>
      </c>
      <c r="C519" s="235">
        <f>Z71</f>
        <v>4941343.43</v>
      </c>
      <c r="D519" s="235">
        <f>'Prior Year'!Z59</f>
        <v>16308</v>
      </c>
      <c r="E519" s="180">
        <f>Z59</f>
        <v>15185</v>
      </c>
      <c r="F519" s="258">
        <f t="shared" si="17"/>
        <v>275.39702354672556</v>
      </c>
      <c r="G519" s="258">
        <f t="shared" si="17"/>
        <v>325.40951135989462</v>
      </c>
      <c r="H519" s="260" t="str">
        <f t="shared" si="16"/>
        <v/>
      </c>
      <c r="I519" s="262"/>
      <c r="K519" s="256"/>
      <c r="L519" s="256"/>
    </row>
    <row r="520" spans="1:12" ht="12.6" customHeight="1" x14ac:dyDescent="0.2">
      <c r="A520" s="180" t="s">
        <v>536</v>
      </c>
      <c r="B520" s="235">
        <f>'Prior Year'!AA71</f>
        <v>1327121.1099999999</v>
      </c>
      <c r="C520" s="235">
        <f>AA71</f>
        <v>1149465.01</v>
      </c>
      <c r="D520" s="235">
        <f>'Prior Year'!AA59</f>
        <v>2899</v>
      </c>
      <c r="E520" s="180">
        <f>AA59</f>
        <v>2947</v>
      </c>
      <c r="F520" s="258">
        <f t="shared" si="17"/>
        <v>457.78582614694716</v>
      </c>
      <c r="G520" s="258">
        <f t="shared" si="17"/>
        <v>390.04581269087208</v>
      </c>
      <c r="H520" s="260" t="str">
        <f t="shared" si="16"/>
        <v/>
      </c>
      <c r="I520" s="262"/>
      <c r="K520" s="256"/>
      <c r="L520" s="256"/>
    </row>
    <row r="521" spans="1:12" ht="12.6" customHeight="1" x14ac:dyDescent="0.2">
      <c r="A521" s="180" t="s">
        <v>537</v>
      </c>
      <c r="B521" s="235">
        <f>'Prior Year'!AB71</f>
        <v>19261775.280000001</v>
      </c>
      <c r="C521" s="235">
        <f>AB71</f>
        <v>20779029.439999998</v>
      </c>
      <c r="D521" s="181" t="s">
        <v>529</v>
      </c>
      <c r="E521" s="181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" customHeight="1" x14ac:dyDescent="0.2">
      <c r="A522" s="180" t="s">
        <v>538</v>
      </c>
      <c r="B522" s="235">
        <f>'Prior Year'!AC71</f>
        <v>7547227.2500000019</v>
      </c>
      <c r="C522" s="235">
        <f>AC71</f>
        <v>6879542.71</v>
      </c>
      <c r="D522" s="235">
        <f>'Prior Year'!AC59</f>
        <v>84461</v>
      </c>
      <c r="E522" s="180">
        <f>AC59</f>
        <v>92514</v>
      </c>
      <c r="F522" s="258">
        <f t="shared" si="17"/>
        <v>89.357540758456594</v>
      </c>
      <c r="G522" s="258">
        <f t="shared" si="17"/>
        <v>74.362179886287478</v>
      </c>
      <c r="H522" s="260" t="str">
        <f t="shared" si="16"/>
        <v/>
      </c>
      <c r="I522" s="262"/>
      <c r="K522" s="256"/>
      <c r="L522" s="256"/>
    </row>
    <row r="523" spans="1:12" ht="12.6" customHeight="1" x14ac:dyDescent="0.2">
      <c r="A523" s="180" t="s">
        <v>539</v>
      </c>
      <c r="B523" s="235">
        <f>'Prior Year'!AD71</f>
        <v>41289</v>
      </c>
      <c r="C523" s="235">
        <f>AD71</f>
        <v>1097548.7400000002</v>
      </c>
      <c r="D523" s="235">
        <f>'Prior Year'!AD59</f>
        <v>0</v>
      </c>
      <c r="E523" s="180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" customHeight="1" x14ac:dyDescent="0.2">
      <c r="A524" s="180" t="s">
        <v>540</v>
      </c>
      <c r="B524" s="235">
        <f>'Prior Year'!AE71</f>
        <v>7820847.46</v>
      </c>
      <c r="C524" s="235">
        <f>AE71</f>
        <v>4604051.4000000004</v>
      </c>
      <c r="D524" s="235">
        <f>'Prior Year'!AE59</f>
        <v>94259</v>
      </c>
      <c r="E524" s="180">
        <f>AE59</f>
        <v>68657</v>
      </c>
      <c r="F524" s="258">
        <f t="shared" si="17"/>
        <v>82.971890853923767</v>
      </c>
      <c r="G524" s="258">
        <f t="shared" si="17"/>
        <v>67.058732540017772</v>
      </c>
      <c r="H524" s="260" t="str">
        <f t="shared" si="16"/>
        <v/>
      </c>
      <c r="I524" s="262"/>
      <c r="K524" s="256"/>
      <c r="L524" s="256"/>
    </row>
    <row r="525" spans="1:12" ht="12.6" customHeight="1" x14ac:dyDescent="0.2">
      <c r="A525" s="180" t="s">
        <v>541</v>
      </c>
      <c r="B525" s="235">
        <f>'Prior Year'!AF71</f>
        <v>0</v>
      </c>
      <c r="C525" s="235">
        <f>AF71</f>
        <v>0</v>
      </c>
      <c r="D525" s="235">
        <f>'Prior Year'!AF59</f>
        <v>0</v>
      </c>
      <c r="E525" s="180">
        <f>AF59</f>
        <v>0</v>
      </c>
      <c r="F525" s="258" t="str">
        <f t="shared" si="17"/>
        <v/>
      </c>
      <c r="G525" s="258" t="str">
        <f t="shared" si="17"/>
        <v/>
      </c>
      <c r="H525" s="260" t="str">
        <f t="shared" si="16"/>
        <v/>
      </c>
      <c r="I525" s="262"/>
      <c r="K525" s="256"/>
      <c r="L525" s="256"/>
    </row>
    <row r="526" spans="1:12" ht="12.6" customHeight="1" x14ac:dyDescent="0.2">
      <c r="A526" s="180" t="s">
        <v>542</v>
      </c>
      <c r="B526" s="235">
        <f>'Prior Year'!AG71</f>
        <v>23316139.699999999</v>
      </c>
      <c r="C526" s="235">
        <f>AG71</f>
        <v>22025999.486168943</v>
      </c>
      <c r="D526" s="235">
        <f>'Prior Year'!AG59</f>
        <v>78387</v>
      </c>
      <c r="E526" s="180">
        <f>AG59</f>
        <v>67619</v>
      </c>
      <c r="F526" s="258">
        <f t="shared" si="17"/>
        <v>297.44906298238226</v>
      </c>
      <c r="G526" s="258">
        <f t="shared" si="17"/>
        <v>325.7368415115418</v>
      </c>
      <c r="H526" s="260" t="str">
        <f t="shared" si="16"/>
        <v/>
      </c>
      <c r="I526" s="262"/>
      <c r="K526" s="256"/>
      <c r="L526" s="256"/>
    </row>
    <row r="527" spans="1:12" ht="12.6" customHeight="1" x14ac:dyDescent="0.2">
      <c r="A527" s="180" t="s">
        <v>543</v>
      </c>
      <c r="B527" s="235">
        <f>'Prior Year'!AH71</f>
        <v>0</v>
      </c>
      <c r="C527" s="235">
        <f>AH71</f>
        <v>0</v>
      </c>
      <c r="D527" s="235">
        <f>'Prior Year'!AH59</f>
        <v>0</v>
      </c>
      <c r="E527" s="180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" customHeight="1" x14ac:dyDescent="0.2">
      <c r="A528" s="180" t="s">
        <v>544</v>
      </c>
      <c r="B528" s="235">
        <f>'Prior Year'!AI71</f>
        <v>0</v>
      </c>
      <c r="C528" s="235">
        <f>AI71</f>
        <v>0</v>
      </c>
      <c r="D528" s="235">
        <f>'Prior Year'!AI59</f>
        <v>0</v>
      </c>
      <c r="E528" s="180">
        <f>AI59</f>
        <v>0</v>
      </c>
      <c r="F528" s="258" t="str">
        <f t="shared" ref="F528:G540" si="18">IF(B528=0,"",IF(D528=0,"",B528/D528))</f>
        <v/>
      </c>
      <c r="G528" s="258" t="str">
        <f t="shared" si="18"/>
        <v/>
      </c>
      <c r="H528" s="260" t="str">
        <f t="shared" si="16"/>
        <v/>
      </c>
      <c r="I528" s="262"/>
      <c r="K528" s="256"/>
      <c r="L528" s="256"/>
    </row>
    <row r="529" spans="1:12" ht="12.6" customHeight="1" x14ac:dyDescent="0.2">
      <c r="A529" s="180" t="s">
        <v>545</v>
      </c>
      <c r="B529" s="235">
        <f>'Prior Year'!AJ71</f>
        <v>152944654.15999997</v>
      </c>
      <c r="C529" s="235">
        <f>AJ71</f>
        <v>162600052.47999999</v>
      </c>
      <c r="D529" s="235">
        <f>'Prior Year'!AJ59</f>
        <v>512461</v>
      </c>
      <c r="E529" s="180">
        <f>AJ59</f>
        <v>506141.09</v>
      </c>
      <c r="F529" s="258">
        <f t="shared" si="18"/>
        <v>298.4513048992996</v>
      </c>
      <c r="G529" s="258">
        <f t="shared" si="18"/>
        <v>321.25440058620802</v>
      </c>
      <c r="H529" s="260" t="str">
        <f t="shared" si="16"/>
        <v/>
      </c>
      <c r="I529" s="262"/>
      <c r="K529" s="256"/>
      <c r="L529" s="256"/>
    </row>
    <row r="530" spans="1:12" ht="12.6" customHeight="1" x14ac:dyDescent="0.2">
      <c r="A530" s="180" t="s">
        <v>546</v>
      </c>
      <c r="B530" s="235">
        <f>'Prior Year'!AK71</f>
        <v>1686820.7300000004</v>
      </c>
      <c r="C530" s="235">
        <f>AK71</f>
        <v>1598237.19</v>
      </c>
      <c r="D530" s="235">
        <f>'Prior Year'!AK59</f>
        <v>25891</v>
      </c>
      <c r="E530" s="180">
        <f>AK59</f>
        <v>30310</v>
      </c>
      <c r="F530" s="258">
        <f t="shared" si="18"/>
        <v>65.150852805994376</v>
      </c>
      <c r="G530" s="258">
        <f t="shared" si="18"/>
        <v>52.729699439129</v>
      </c>
      <c r="H530" s="260" t="str">
        <f t="shared" si="16"/>
        <v/>
      </c>
      <c r="I530" s="262"/>
      <c r="K530" s="256"/>
      <c r="L530" s="256"/>
    </row>
    <row r="531" spans="1:12" ht="12.6" customHeight="1" x14ac:dyDescent="0.2">
      <c r="A531" s="180" t="s">
        <v>547</v>
      </c>
      <c r="B531" s="235">
        <f>'Prior Year'!AL71</f>
        <v>723215.99000000022</v>
      </c>
      <c r="C531" s="235">
        <f>AL71</f>
        <v>784227.79</v>
      </c>
      <c r="D531" s="235">
        <f>'Prior Year'!AL59</f>
        <v>3959</v>
      </c>
      <c r="E531" s="180">
        <f>AL59</f>
        <v>6389</v>
      </c>
      <c r="F531" s="258">
        <f t="shared" si="18"/>
        <v>182.67643091689825</v>
      </c>
      <c r="G531" s="258">
        <f t="shared" si="18"/>
        <v>122.74656284238536</v>
      </c>
      <c r="H531" s="260">
        <f t="shared" si="16"/>
        <v>-0.32806568298772887</v>
      </c>
      <c r="I531" s="262" t="s">
        <v>1396</v>
      </c>
      <c r="K531" s="256"/>
      <c r="L531" s="256"/>
    </row>
    <row r="532" spans="1:12" ht="12.6" customHeight="1" x14ac:dyDescent="0.2">
      <c r="A532" s="180" t="s">
        <v>548</v>
      </c>
      <c r="B532" s="235">
        <f>'Prior Year'!AM71</f>
        <v>-44.78</v>
      </c>
      <c r="C532" s="235">
        <f>AM71</f>
        <v>0</v>
      </c>
      <c r="D532" s="235">
        <f>'Prior Year'!AM59</f>
        <v>0</v>
      </c>
      <c r="E532" s="180">
        <f>AM59</f>
        <v>0</v>
      </c>
      <c r="F532" s="258" t="str">
        <f t="shared" si="18"/>
        <v/>
      </c>
      <c r="G532" s="258" t="str">
        <f t="shared" si="18"/>
        <v/>
      </c>
      <c r="H532" s="260" t="str">
        <f t="shared" si="16"/>
        <v/>
      </c>
      <c r="I532" s="262"/>
      <c r="K532" s="256"/>
      <c r="L532" s="256"/>
    </row>
    <row r="533" spans="1:12" ht="12.6" customHeight="1" x14ac:dyDescent="0.2">
      <c r="A533" s="180" t="s">
        <v>1247</v>
      </c>
      <c r="B533" s="235">
        <f>'Prior Year'!AN71</f>
        <v>0</v>
      </c>
      <c r="C533" s="235">
        <f>AN71</f>
        <v>0</v>
      </c>
      <c r="D533" s="235">
        <f>'Prior Year'!AN59</f>
        <v>0</v>
      </c>
      <c r="E533" s="180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" customHeight="1" x14ac:dyDescent="0.2">
      <c r="A534" s="180" t="s">
        <v>549</v>
      </c>
      <c r="B534" s="235">
        <f>'Prior Year'!AO71</f>
        <v>0</v>
      </c>
      <c r="C534" s="235">
        <f>AO71</f>
        <v>0</v>
      </c>
      <c r="D534" s="235">
        <f>'Prior Year'!AO59</f>
        <v>0</v>
      </c>
      <c r="E534" s="180">
        <f>AO59</f>
        <v>0</v>
      </c>
      <c r="F534" s="258" t="str">
        <f t="shared" si="18"/>
        <v/>
      </c>
      <c r="G534" s="258" t="str">
        <f t="shared" si="18"/>
        <v/>
      </c>
      <c r="H534" s="260" t="str">
        <f t="shared" si="16"/>
        <v/>
      </c>
      <c r="I534" s="262"/>
      <c r="K534" s="256"/>
      <c r="L534" s="256"/>
    </row>
    <row r="535" spans="1:12" ht="12.6" customHeight="1" x14ac:dyDescent="0.2">
      <c r="A535" s="180" t="s">
        <v>550</v>
      </c>
      <c r="B535" s="235">
        <f>'Prior Year'!AP71</f>
        <v>54707514.900000013</v>
      </c>
      <c r="C535" s="235">
        <f>AP71</f>
        <v>51592031.570000008</v>
      </c>
      <c r="D535" s="235">
        <f>'Prior Year'!AP59</f>
        <v>473447</v>
      </c>
      <c r="E535" s="180">
        <f>AP59</f>
        <v>514343</v>
      </c>
      <c r="F535" s="258">
        <f t="shared" si="18"/>
        <v>115.55150819415904</v>
      </c>
      <c r="G535" s="258">
        <f t="shared" si="18"/>
        <v>100.30666611580212</v>
      </c>
      <c r="H535" s="260" t="str">
        <f t="shared" si="16"/>
        <v/>
      </c>
      <c r="I535" s="262"/>
      <c r="K535" s="256"/>
      <c r="L535" s="256"/>
    </row>
    <row r="536" spans="1:12" ht="12.6" customHeight="1" x14ac:dyDescent="0.2">
      <c r="A536" s="180" t="s">
        <v>551</v>
      </c>
      <c r="B536" s="235">
        <f>'Prior Year'!AQ71</f>
        <v>0</v>
      </c>
      <c r="C536" s="235">
        <f>AQ71</f>
        <v>0</v>
      </c>
      <c r="D536" s="235">
        <f>'Prior Year'!AQ59</f>
        <v>0</v>
      </c>
      <c r="E536" s="180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" customHeight="1" x14ac:dyDescent="0.2">
      <c r="A537" s="180" t="s">
        <v>552</v>
      </c>
      <c r="B537" s="235">
        <f>'Prior Year'!AR71</f>
        <v>0</v>
      </c>
      <c r="C537" s="235">
        <f>AR71</f>
        <v>129810.49500000002</v>
      </c>
      <c r="D537" s="235">
        <f>'Prior Year'!AR59</f>
        <v>0</v>
      </c>
      <c r="E537" s="180">
        <f>AR59</f>
        <v>0</v>
      </c>
      <c r="F537" s="258" t="str">
        <f t="shared" si="18"/>
        <v/>
      </c>
      <c r="G537" s="258" t="str">
        <f t="shared" si="18"/>
        <v/>
      </c>
      <c r="H537" s="260" t="str">
        <f t="shared" si="16"/>
        <v/>
      </c>
      <c r="I537" s="262"/>
      <c r="K537" s="256"/>
      <c r="L537" s="256"/>
    </row>
    <row r="538" spans="1:12" ht="12.6" customHeight="1" x14ac:dyDescent="0.2">
      <c r="A538" s="180" t="s">
        <v>553</v>
      </c>
      <c r="B538" s="235">
        <f>'Prior Year'!AS71</f>
        <v>0</v>
      </c>
      <c r="C538" s="235">
        <f>AS71</f>
        <v>0</v>
      </c>
      <c r="D538" s="235">
        <f>'Prior Year'!AS59</f>
        <v>0</v>
      </c>
      <c r="E538" s="180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" customHeight="1" x14ac:dyDescent="0.2">
      <c r="A539" s="180" t="s">
        <v>554</v>
      </c>
      <c r="B539" s="235">
        <f>'Prior Year'!AT71</f>
        <v>0</v>
      </c>
      <c r="C539" s="235">
        <f>AT71</f>
        <v>0</v>
      </c>
      <c r="D539" s="235">
        <f>'Prior Year'!AT59</f>
        <v>0</v>
      </c>
      <c r="E539" s="180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" customHeight="1" x14ac:dyDescent="0.2">
      <c r="A540" s="180" t="s">
        <v>555</v>
      </c>
      <c r="B540" s="235">
        <f>'Prior Year'!AU71</f>
        <v>0</v>
      </c>
      <c r="C540" s="235">
        <f>AU71</f>
        <v>0</v>
      </c>
      <c r="D540" s="235">
        <f>'Prior Year'!AU59</f>
        <v>0</v>
      </c>
      <c r="E540" s="180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" customHeight="1" x14ac:dyDescent="0.2">
      <c r="A541" s="180" t="s">
        <v>556</v>
      </c>
      <c r="B541" s="235">
        <f>'Prior Year'!AV71</f>
        <v>3364723.4149999996</v>
      </c>
      <c r="C541" s="235">
        <f>AV71</f>
        <v>4868557.3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 x14ac:dyDescent="0.2">
      <c r="A542" s="180" t="s">
        <v>1248</v>
      </c>
      <c r="B542" s="235">
        <f>'Prior Year'!AW71</f>
        <v>1031834.75</v>
      </c>
      <c r="C542" s="235">
        <f>AW71</f>
        <v>0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 x14ac:dyDescent="0.2">
      <c r="A543" s="180" t="s">
        <v>557</v>
      </c>
      <c r="B543" s="235">
        <f>'Prior Year'!AX71</f>
        <v>194884.55999999997</v>
      </c>
      <c r="C543" s="235">
        <f>AX71</f>
        <v>0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 x14ac:dyDescent="0.2">
      <c r="A544" s="180" t="s">
        <v>558</v>
      </c>
      <c r="B544" s="235">
        <f>'Prior Year'!AY71</f>
        <v>6868580.4799999986</v>
      </c>
      <c r="C544" s="235">
        <f>AY71</f>
        <v>6880304.4900000021</v>
      </c>
      <c r="D544" s="235">
        <f>'Prior Year'!AY59</f>
        <v>226987</v>
      </c>
      <c r="E544" s="180">
        <f>AY59</f>
        <v>200502</v>
      </c>
      <c r="F544" s="258">
        <f t="shared" ref="F544:G550" si="19">IF(B544=0,"",IF(D544=0,"",B544/D544))</f>
        <v>30.259796728446997</v>
      </c>
      <c r="G544" s="258">
        <f t="shared" si="19"/>
        <v>34.315390819044211</v>
      </c>
      <c r="H544" s="260" t="str">
        <f t="shared" si="16"/>
        <v/>
      </c>
      <c r="I544" s="262" t="s">
        <v>1397</v>
      </c>
      <c r="K544" s="256"/>
      <c r="L544" s="256"/>
    </row>
    <row r="545" spans="1:13" ht="12.6" customHeight="1" x14ac:dyDescent="0.2">
      <c r="A545" s="180" t="s">
        <v>559</v>
      </c>
      <c r="B545" s="235">
        <f>'Prior Year'!AZ71</f>
        <v>0</v>
      </c>
      <c r="C545" s="235">
        <f>AZ71</f>
        <v>0</v>
      </c>
      <c r="D545" s="235">
        <f>'Prior Year'!AZ59</f>
        <v>583327</v>
      </c>
      <c r="E545" s="180">
        <f>AZ59</f>
        <v>428430</v>
      </c>
      <c r="F545" s="258" t="str">
        <f t="shared" si="19"/>
        <v/>
      </c>
      <c r="G545" s="258" t="str">
        <f t="shared" si="19"/>
        <v/>
      </c>
      <c r="H545" s="260" t="str">
        <f t="shared" si="16"/>
        <v/>
      </c>
      <c r="I545" s="262"/>
      <c r="K545" s="256"/>
      <c r="L545" s="256"/>
    </row>
    <row r="546" spans="1:13" ht="12.6" customHeight="1" x14ac:dyDescent="0.2">
      <c r="A546" s="180" t="s">
        <v>560</v>
      </c>
      <c r="B546" s="235">
        <f>'Prior Year'!BA71</f>
        <v>345015.93</v>
      </c>
      <c r="C546" s="235">
        <f>BA71</f>
        <v>318590.40999999997</v>
      </c>
      <c r="D546" s="235">
        <f>'Prior Year'!BA59</f>
        <v>0</v>
      </c>
      <c r="E546" s="180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" customHeight="1" x14ac:dyDescent="0.2">
      <c r="A547" s="180" t="s">
        <v>561</v>
      </c>
      <c r="B547" s="235">
        <f>'Prior Year'!BB71</f>
        <v>72600.42</v>
      </c>
      <c r="C547" s="235">
        <f>BB71</f>
        <v>48268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 x14ac:dyDescent="0.2">
      <c r="A548" s="180" t="s">
        <v>562</v>
      </c>
      <c r="B548" s="235">
        <f>'Prior Year'!BC71</f>
        <v>1211450.4000000001</v>
      </c>
      <c r="C548" s="235">
        <f>BC71</f>
        <v>1257463.51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 x14ac:dyDescent="0.2">
      <c r="A549" s="180" t="s">
        <v>563</v>
      </c>
      <c r="B549" s="235">
        <f>'Prior Year'!BD71</f>
        <v>2681965</v>
      </c>
      <c r="C549" s="235">
        <f>BD71</f>
        <v>2693387.06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 x14ac:dyDescent="0.2">
      <c r="A550" s="180" t="s">
        <v>564</v>
      </c>
      <c r="B550" s="235">
        <f>'Prior Year'!BE71</f>
        <v>22006860.059999999</v>
      </c>
      <c r="C550" s="235">
        <f>BE71</f>
        <v>18189119.061999999</v>
      </c>
      <c r="D550" s="235">
        <f>'Prior Year'!BE59</f>
        <v>577281</v>
      </c>
      <c r="E550" s="180">
        <f>BE59</f>
        <v>577281</v>
      </c>
      <c r="F550" s="258">
        <f t="shared" si="19"/>
        <v>38.121573479813122</v>
      </c>
      <c r="G550" s="258">
        <f t="shared" si="19"/>
        <v>31.508258650466583</v>
      </c>
      <c r="H550" s="260" t="str">
        <f t="shared" si="16"/>
        <v/>
      </c>
      <c r="I550" s="262"/>
      <c r="K550" s="256"/>
      <c r="L550" s="256"/>
    </row>
    <row r="551" spans="1:13" ht="12.6" customHeight="1" x14ac:dyDescent="0.2">
      <c r="A551" s="180" t="s">
        <v>565</v>
      </c>
      <c r="B551" s="235">
        <f>'Prior Year'!BF71</f>
        <v>5080919.4400000004</v>
      </c>
      <c r="C551" s="235">
        <f>BF71</f>
        <v>5202055.2799999993</v>
      </c>
      <c r="D551" s="181" t="s">
        <v>529</v>
      </c>
      <c r="E551" s="181" t="s">
        <v>529</v>
      </c>
      <c r="F551" s="258"/>
      <c r="G551" s="258"/>
      <c r="H551" s="260"/>
      <c r="I551" s="262"/>
      <c r="J551" s="197"/>
      <c r="M551" s="260"/>
    </row>
    <row r="552" spans="1:13" ht="12.6" customHeight="1" x14ac:dyDescent="0.2">
      <c r="A552" s="180" t="s">
        <v>566</v>
      </c>
      <c r="B552" s="235">
        <f>'Prior Year'!BG71</f>
        <v>1217897.7925</v>
      </c>
      <c r="C552" s="235">
        <f>BG71</f>
        <v>349760.21</v>
      </c>
      <c r="D552" s="181" t="s">
        <v>529</v>
      </c>
      <c r="E552" s="181" t="s">
        <v>529</v>
      </c>
      <c r="F552" s="258"/>
      <c r="G552" s="258"/>
      <c r="H552" s="260"/>
      <c r="J552" s="197"/>
      <c r="M552" s="260"/>
    </row>
    <row r="553" spans="1:13" ht="12.6" customHeight="1" x14ac:dyDescent="0.2">
      <c r="A553" s="180" t="s">
        <v>567</v>
      </c>
      <c r="B553" s="235">
        <f>'Prior Year'!BH71</f>
        <v>3654921.05</v>
      </c>
      <c r="C553" s="235">
        <f>BH71</f>
        <v>0</v>
      </c>
      <c r="D553" s="181" t="s">
        <v>529</v>
      </c>
      <c r="E553" s="181" t="s">
        <v>529</v>
      </c>
      <c r="F553" s="258"/>
      <c r="G553" s="258"/>
      <c r="H553" s="260"/>
      <c r="J553" s="197"/>
      <c r="M553" s="260"/>
    </row>
    <row r="554" spans="1:13" ht="12.6" customHeight="1" x14ac:dyDescent="0.2">
      <c r="A554" s="180" t="s">
        <v>568</v>
      </c>
      <c r="B554" s="235">
        <f>'Prior Year'!BI71</f>
        <v>0</v>
      </c>
      <c r="C554" s="235">
        <f>BI71</f>
        <v>-29356.940000000002</v>
      </c>
      <c r="D554" s="181" t="s">
        <v>529</v>
      </c>
      <c r="E554" s="181" t="s">
        <v>529</v>
      </c>
      <c r="F554" s="258"/>
      <c r="G554" s="258"/>
      <c r="H554" s="260"/>
      <c r="J554" s="197"/>
      <c r="M554" s="260"/>
    </row>
    <row r="555" spans="1:13" ht="12.6" customHeight="1" x14ac:dyDescent="0.2">
      <c r="A555" s="180" t="s">
        <v>569</v>
      </c>
      <c r="B555" s="235">
        <f>'Prior Year'!BJ71</f>
        <v>872642.5924999998</v>
      </c>
      <c r="C555" s="235">
        <f>BJ71</f>
        <v>0</v>
      </c>
      <c r="D555" s="181" t="s">
        <v>529</v>
      </c>
      <c r="E555" s="181" t="s">
        <v>529</v>
      </c>
      <c r="F555" s="258"/>
      <c r="G555" s="258"/>
      <c r="H555" s="260"/>
      <c r="J555" s="197"/>
      <c r="M555" s="260"/>
    </row>
    <row r="556" spans="1:13" ht="12.6" customHeight="1" x14ac:dyDescent="0.2">
      <c r="A556" s="180" t="s">
        <v>570</v>
      </c>
      <c r="B556" s="235">
        <f>'Prior Year'!BK71</f>
        <v>6972175.2336347504</v>
      </c>
      <c r="C556" s="235">
        <f>BK71</f>
        <v>8002783.4777212506</v>
      </c>
      <c r="D556" s="181" t="s">
        <v>529</v>
      </c>
      <c r="E556" s="181" t="s">
        <v>529</v>
      </c>
      <c r="F556" s="258"/>
      <c r="G556" s="258"/>
      <c r="H556" s="260"/>
      <c r="J556" s="197"/>
      <c r="M556" s="260"/>
    </row>
    <row r="557" spans="1:13" ht="12.6" customHeight="1" x14ac:dyDescent="0.2">
      <c r="A557" s="180" t="s">
        <v>571</v>
      </c>
      <c r="B557" s="235">
        <f>'Prior Year'!BL71</f>
        <v>2743584.3950000005</v>
      </c>
      <c r="C557" s="235">
        <f>BL71</f>
        <v>3876323.4587513171</v>
      </c>
      <c r="D557" s="181" t="s">
        <v>529</v>
      </c>
      <c r="E557" s="181" t="s">
        <v>529</v>
      </c>
      <c r="F557" s="258"/>
      <c r="G557" s="258"/>
      <c r="H557" s="260"/>
      <c r="J557" s="197"/>
      <c r="M557" s="260"/>
    </row>
    <row r="558" spans="1:13" ht="12.6" customHeight="1" x14ac:dyDescent="0.2">
      <c r="A558" s="180" t="s">
        <v>572</v>
      </c>
      <c r="B558" s="235">
        <f>'Prior Year'!BM71</f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7"/>
      <c r="M558" s="260"/>
    </row>
    <row r="559" spans="1:13" ht="12.6" customHeight="1" x14ac:dyDescent="0.2">
      <c r="A559" s="180" t="s">
        <v>573</v>
      </c>
      <c r="B559" s="235">
        <f>'Prior Year'!BN71</f>
        <v>14158339.697136246</v>
      </c>
      <c r="C559" s="235">
        <f>BN71</f>
        <v>11089485.128182502</v>
      </c>
      <c r="D559" s="181" t="s">
        <v>529</v>
      </c>
      <c r="E559" s="181" t="s">
        <v>529</v>
      </c>
      <c r="F559" s="258"/>
      <c r="G559" s="258"/>
      <c r="H559" s="260"/>
      <c r="J559" s="197"/>
      <c r="M559" s="260"/>
    </row>
    <row r="560" spans="1:13" ht="12.6" customHeight="1" x14ac:dyDescent="0.2">
      <c r="A560" s="180" t="s">
        <v>574</v>
      </c>
      <c r="B560" s="235">
        <f>'Prior Year'!BO71</f>
        <v>636076.26500000001</v>
      </c>
      <c r="C560" s="235">
        <f>BO71</f>
        <v>0</v>
      </c>
      <c r="D560" s="181" t="s">
        <v>529</v>
      </c>
      <c r="E560" s="181" t="s">
        <v>529</v>
      </c>
      <c r="F560" s="258"/>
      <c r="G560" s="258"/>
      <c r="H560" s="260"/>
      <c r="J560" s="197"/>
      <c r="M560" s="260"/>
    </row>
    <row r="561" spans="1:13" ht="12.6" customHeight="1" x14ac:dyDescent="0.2">
      <c r="A561" s="180" t="s">
        <v>575</v>
      </c>
      <c r="B561" s="235">
        <f>'Prior Year'!BP71</f>
        <v>3352083.0449999999</v>
      </c>
      <c r="C561" s="235">
        <f>BP71</f>
        <v>0</v>
      </c>
      <c r="D561" s="181" t="s">
        <v>529</v>
      </c>
      <c r="E561" s="181" t="s">
        <v>529</v>
      </c>
      <c r="F561" s="258"/>
      <c r="G561" s="258"/>
      <c r="H561" s="260"/>
      <c r="J561" s="197"/>
      <c r="M561" s="260"/>
    </row>
    <row r="562" spans="1:13" ht="12.6" customHeight="1" x14ac:dyDescent="0.2">
      <c r="A562" s="180" t="s">
        <v>576</v>
      </c>
      <c r="B562" s="235">
        <f>'Prior Year'!BQ71</f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7"/>
      <c r="M562" s="260"/>
    </row>
    <row r="563" spans="1:13" ht="12.6" customHeight="1" x14ac:dyDescent="0.2">
      <c r="A563" s="180" t="s">
        <v>577</v>
      </c>
      <c r="B563" s="235">
        <f>'Prior Year'!BR71</f>
        <v>2183792.2274999996</v>
      </c>
      <c r="C563" s="235">
        <f>BR71</f>
        <v>286666.22000000003</v>
      </c>
      <c r="D563" s="181" t="s">
        <v>529</v>
      </c>
      <c r="E563" s="181" t="s">
        <v>529</v>
      </c>
      <c r="F563" s="258"/>
      <c r="G563" s="258"/>
      <c r="H563" s="260"/>
      <c r="J563" s="197"/>
      <c r="M563" s="260"/>
    </row>
    <row r="564" spans="1:13" ht="12.6" customHeight="1" x14ac:dyDescent="0.2">
      <c r="A564" s="180" t="s">
        <v>1249</v>
      </c>
      <c r="B564" s="235">
        <f>'Prior Year'!BS71</f>
        <v>392448.29749999999</v>
      </c>
      <c r="C564" s="235">
        <f>BS71</f>
        <v>179361</v>
      </c>
      <c r="D564" s="181" t="s">
        <v>529</v>
      </c>
      <c r="E564" s="181" t="s">
        <v>529</v>
      </c>
      <c r="F564" s="258"/>
      <c r="G564" s="258"/>
      <c r="H564" s="260"/>
      <c r="J564" s="197"/>
      <c r="M564" s="260"/>
    </row>
    <row r="565" spans="1:13" ht="12.6" customHeight="1" x14ac:dyDescent="0.2">
      <c r="A565" s="180" t="s">
        <v>578</v>
      </c>
      <c r="B565" s="235">
        <f>'Prior Year'!BT71</f>
        <v>301032.58249999996</v>
      </c>
      <c r="C565" s="235">
        <f>BT71</f>
        <v>0</v>
      </c>
      <c r="D565" s="181" t="s">
        <v>529</v>
      </c>
      <c r="E565" s="181" t="s">
        <v>529</v>
      </c>
      <c r="F565" s="258"/>
      <c r="G565" s="258"/>
      <c r="H565" s="260"/>
      <c r="J565" s="197"/>
      <c r="M565" s="260"/>
    </row>
    <row r="566" spans="1:13" ht="12.6" customHeight="1" x14ac:dyDescent="0.2">
      <c r="A566" s="180" t="s">
        <v>579</v>
      </c>
      <c r="B566" s="235">
        <f>'Prior Year'!BU71</f>
        <v>241846.52750000003</v>
      </c>
      <c r="C566" s="235">
        <f>BU71</f>
        <v>113414</v>
      </c>
      <c r="D566" s="181" t="s">
        <v>529</v>
      </c>
      <c r="E566" s="181" t="s">
        <v>529</v>
      </c>
      <c r="F566" s="258"/>
      <c r="G566" s="258"/>
      <c r="H566" s="260"/>
      <c r="J566" s="197"/>
      <c r="M566" s="260"/>
    </row>
    <row r="567" spans="1:13" ht="12.6" customHeight="1" x14ac:dyDescent="0.2">
      <c r="A567" s="180" t="s">
        <v>580</v>
      </c>
      <c r="B567" s="235">
        <f>'Prior Year'!BV71</f>
        <v>4329578.1096307505</v>
      </c>
      <c r="C567" s="235">
        <f>BV71</f>
        <v>5520596.2093459489</v>
      </c>
      <c r="D567" s="181" t="s">
        <v>529</v>
      </c>
      <c r="E567" s="181" t="s">
        <v>529</v>
      </c>
      <c r="F567" s="258"/>
      <c r="G567" s="258"/>
      <c r="H567" s="260"/>
      <c r="J567" s="197"/>
      <c r="M567" s="260"/>
    </row>
    <row r="568" spans="1:13" ht="12.6" customHeight="1" x14ac:dyDescent="0.2">
      <c r="A568" s="180" t="s">
        <v>581</v>
      </c>
      <c r="B568" s="235">
        <f>'Prior Year'!BW71</f>
        <v>1544673.70456375</v>
      </c>
      <c r="C568" s="235">
        <f>BW71</f>
        <v>-119855.86619175004</v>
      </c>
      <c r="D568" s="181" t="s">
        <v>529</v>
      </c>
      <c r="E568" s="181" t="s">
        <v>529</v>
      </c>
      <c r="F568" s="258"/>
      <c r="G568" s="258"/>
      <c r="H568" s="260"/>
      <c r="J568" s="197"/>
      <c r="M568" s="260"/>
    </row>
    <row r="569" spans="1:13" ht="12.6" customHeight="1" x14ac:dyDescent="0.2">
      <c r="A569" s="180" t="s">
        <v>582</v>
      </c>
      <c r="B569" s="235">
        <f>'Prior Year'!BX71</f>
        <v>7600006.6391360005</v>
      </c>
      <c r="C569" s="235">
        <f>BX71</f>
        <v>4797647.6230057497</v>
      </c>
      <c r="D569" s="181" t="s">
        <v>529</v>
      </c>
      <c r="E569" s="181" t="s">
        <v>529</v>
      </c>
      <c r="F569" s="258"/>
      <c r="G569" s="258"/>
      <c r="H569" s="260"/>
      <c r="J569" s="197"/>
      <c r="M569" s="260"/>
    </row>
    <row r="570" spans="1:13" ht="12.6" customHeight="1" x14ac:dyDescent="0.2">
      <c r="A570" s="180" t="s">
        <v>583</v>
      </c>
      <c r="B570" s="235">
        <f>'Prior Year'!BY71</f>
        <v>5361509.7275</v>
      </c>
      <c r="C570" s="235">
        <f>BY71</f>
        <v>6250085.25</v>
      </c>
      <c r="D570" s="181" t="s">
        <v>529</v>
      </c>
      <c r="E570" s="181" t="s">
        <v>529</v>
      </c>
      <c r="F570" s="258"/>
      <c r="G570" s="258"/>
      <c r="H570" s="260"/>
      <c r="J570" s="197"/>
      <c r="M570" s="260"/>
    </row>
    <row r="571" spans="1:13" ht="12.6" customHeight="1" x14ac:dyDescent="0.2">
      <c r="A571" s="180" t="s">
        <v>584</v>
      </c>
      <c r="B571" s="235">
        <f>'Prior Year'!BZ71</f>
        <v>0</v>
      </c>
      <c r="C571" s="235">
        <f>BZ71</f>
        <v>2942027.7100000004</v>
      </c>
      <c r="D571" s="181" t="s">
        <v>529</v>
      </c>
      <c r="E571" s="181" t="s">
        <v>529</v>
      </c>
      <c r="F571" s="258"/>
      <c r="G571" s="258"/>
      <c r="H571" s="260"/>
      <c r="J571" s="197"/>
      <c r="M571" s="260"/>
    </row>
    <row r="572" spans="1:13" ht="12.6" customHeight="1" x14ac:dyDescent="0.2">
      <c r="A572" s="180" t="s">
        <v>585</v>
      </c>
      <c r="B572" s="235">
        <f>'Prior Year'!CA71</f>
        <v>2536753.7000000002</v>
      </c>
      <c r="C572" s="235">
        <f>CA71</f>
        <v>1591659.34</v>
      </c>
      <c r="D572" s="181" t="s">
        <v>529</v>
      </c>
      <c r="E572" s="181" t="s">
        <v>529</v>
      </c>
      <c r="F572" s="258"/>
      <c r="G572" s="258"/>
      <c r="H572" s="260"/>
      <c r="J572" s="197"/>
      <c r="M572" s="260"/>
    </row>
    <row r="573" spans="1:13" ht="12.6" customHeight="1" x14ac:dyDescent="0.2">
      <c r="A573" s="180" t="s">
        <v>586</v>
      </c>
      <c r="B573" s="235">
        <f>'Prior Year'!CB71</f>
        <v>112544.0675</v>
      </c>
      <c r="C573" s="235">
        <f>CB71</f>
        <v>0</v>
      </c>
      <c r="D573" s="181" t="s">
        <v>529</v>
      </c>
      <c r="E573" s="181" t="s">
        <v>529</v>
      </c>
      <c r="F573" s="258"/>
      <c r="G573" s="258"/>
      <c r="H573" s="260"/>
      <c r="J573" s="197"/>
      <c r="M573" s="260"/>
    </row>
    <row r="574" spans="1:13" ht="12.6" customHeight="1" x14ac:dyDescent="0.2">
      <c r="A574" s="180" t="s">
        <v>587</v>
      </c>
      <c r="B574" s="235">
        <f>'Prior Year'!CC71</f>
        <v>27983087.472048998</v>
      </c>
      <c r="C574" s="235">
        <f>CC71</f>
        <v>63166719.053662755</v>
      </c>
      <c r="D574" s="181" t="s">
        <v>529</v>
      </c>
      <c r="E574" s="181" t="s">
        <v>529</v>
      </c>
      <c r="F574" s="258"/>
      <c r="G574" s="258"/>
      <c r="H574" s="260"/>
      <c r="J574" s="197"/>
      <c r="M574" s="260"/>
    </row>
    <row r="575" spans="1:13" ht="12.6" customHeight="1" x14ac:dyDescent="0.2">
      <c r="A575" s="180" t="s">
        <v>588</v>
      </c>
      <c r="B575" s="235">
        <f>'Prior Year'!CD71</f>
        <v>15439882</v>
      </c>
      <c r="C575" s="235">
        <f>CD71</f>
        <v>-2025459.620000001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 x14ac:dyDescent="0.2">
      <c r="M576" s="260"/>
    </row>
    <row r="577" spans="13:13" ht="12.6" customHeight="1" x14ac:dyDescent="0.2">
      <c r="M577" s="260"/>
    </row>
    <row r="578" spans="13:13" ht="12.6" customHeight="1" x14ac:dyDescent="0.2">
      <c r="M578" s="260"/>
    </row>
    <row r="612" spans="1:14" ht="12.6" customHeight="1" x14ac:dyDescent="0.2">
      <c r="A612" s="194"/>
      <c r="C612" s="181" t="s">
        <v>589</v>
      </c>
      <c r="D612" s="180">
        <f>CE76-(BE76+CD76)</f>
        <v>495932</v>
      </c>
      <c r="E612" s="180">
        <f>SUM(C624:D647)+SUM(C668:D713)</f>
        <v>547155822.6380887</v>
      </c>
      <c r="F612" s="180">
        <f>CE64-(AX64+BD64+BE64+BG64+BJ64+BN64+BP64+BQ64+CB64+CC64+CD64)</f>
        <v>108302076.10000001</v>
      </c>
      <c r="G612" s="180">
        <f>CE77-(AX77+AY77+BD77+BE77+BG77+BJ77+BN77+BP77+BQ77+CB77+CC77+CD77)</f>
        <v>200502</v>
      </c>
      <c r="H612" s="195">
        <f>CE60-(AX60+AY60+AZ60+BD60+BE60+BG60+BJ60+BN60+BO60+BP60+BQ60+BR60+CB60+CC60+CD60)</f>
        <v>1904.7505648429124</v>
      </c>
      <c r="I612" s="180">
        <f>CE78-(AX78+AY78+AZ78+BD78+BE78+BF78+BG78+BJ78+BN78+BO78+BP78+BQ78+BR78+CB78+CC78+CD78)</f>
        <v>115817.07925410918</v>
      </c>
      <c r="J612" s="180">
        <f>CE79-(AX79+AY79+AZ79+BA79+BD79+BE79+BF79+BG79+BJ79+BN79+BO79+BP79+BQ79+BR79+CB79+CC79+CD79)</f>
        <v>1729339</v>
      </c>
      <c r="K612" s="180">
        <f>CE75-(AW75+AX75+AY75+AZ75+BA75+BB75+BC75+BD75+BE75+BF75+BG75+BH75+BI75+BJ75+BK75+BL75+BM75+BN75+BO75+BP75+BQ75+BR75+BS75+BT75+BU75+BV75+BW75+BX75+CB75+CC75+CD75)</f>
        <v>2804562273.3299999</v>
      </c>
      <c r="L612" s="195">
        <f>CE80-(AW80+AX80+AY80+AZ80+BA80+BB80+BC80+BD80+BE80+BF80+BG80+BH80+BI80+BJ80+BK80+BL80+BM80+BN80+BO80+BP80+BQ80+BR80+BS80+BT80+BU80+BV80+BW80+BX80+BY80+BZ80+CA80+CB80+CC80+CD80)</f>
        <v>534.85862868405536</v>
      </c>
    </row>
    <row r="613" spans="1:14" ht="12.6" customHeight="1" x14ac:dyDescent="0.2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 x14ac:dyDescent="0.2">
      <c r="A614" s="194">
        <v>8430</v>
      </c>
      <c r="B614" s="196" t="s">
        <v>140</v>
      </c>
      <c r="C614" s="180">
        <f>BE71</f>
        <v>18189119.061999999</v>
      </c>
      <c r="N614" s="197" t="s">
        <v>600</v>
      </c>
    </row>
    <row r="615" spans="1:14" ht="12.6" customHeight="1" x14ac:dyDescent="0.2">
      <c r="A615" s="194"/>
      <c r="B615" s="196" t="s">
        <v>601</v>
      </c>
      <c r="C615" s="267">
        <f>CD69-CD70</f>
        <v>-2025459.620000001</v>
      </c>
      <c r="D615" s="261">
        <f>SUM(C614:C615)</f>
        <v>16163659.441999998</v>
      </c>
      <c r="N615" s="197" t="s">
        <v>602</v>
      </c>
    </row>
    <row r="616" spans="1:14" ht="12.6" customHeight="1" x14ac:dyDescent="0.2">
      <c r="A616" s="194">
        <v>8310</v>
      </c>
      <c r="B616" s="198" t="s">
        <v>603</v>
      </c>
      <c r="C616" s="180">
        <f>AX71</f>
        <v>0</v>
      </c>
      <c r="D616" s="180">
        <f>(D615/D612)*AX76</f>
        <v>0</v>
      </c>
      <c r="N616" s="197" t="s">
        <v>604</v>
      </c>
    </row>
    <row r="617" spans="1:14" ht="12.6" customHeight="1" x14ac:dyDescent="0.2">
      <c r="A617" s="194">
        <v>8510</v>
      </c>
      <c r="B617" s="198" t="s">
        <v>145</v>
      </c>
      <c r="C617" s="180">
        <f>BJ71</f>
        <v>0</v>
      </c>
      <c r="D617" s="180">
        <f>(D615/D612)*BJ76</f>
        <v>0</v>
      </c>
      <c r="N617" s="197" t="s">
        <v>605</v>
      </c>
    </row>
    <row r="618" spans="1:14" ht="12.6" customHeight="1" x14ac:dyDescent="0.2">
      <c r="A618" s="194">
        <v>8470</v>
      </c>
      <c r="B618" s="198" t="s">
        <v>606</v>
      </c>
      <c r="C618" s="180">
        <f>BG71</f>
        <v>349760.21</v>
      </c>
      <c r="D618" s="180">
        <f>(D615/D612)*BG76</f>
        <v>0</v>
      </c>
      <c r="N618" s="197" t="s">
        <v>607</v>
      </c>
    </row>
    <row r="619" spans="1:14" ht="12.6" customHeight="1" x14ac:dyDescent="0.2">
      <c r="A619" s="194">
        <v>8610</v>
      </c>
      <c r="B619" s="198" t="s">
        <v>608</v>
      </c>
      <c r="C619" s="180">
        <f>BN71</f>
        <v>11089485.128182502</v>
      </c>
      <c r="D619" s="180">
        <f>(D615/D612)*BN76</f>
        <v>352064.09203778737</v>
      </c>
      <c r="N619" s="197" t="s">
        <v>609</v>
      </c>
    </row>
    <row r="620" spans="1:14" ht="12.6" customHeight="1" x14ac:dyDescent="0.2">
      <c r="A620" s="194">
        <v>8790</v>
      </c>
      <c r="B620" s="198" t="s">
        <v>610</v>
      </c>
      <c r="C620" s="180">
        <f>CC71</f>
        <v>63166719.053662755</v>
      </c>
      <c r="D620" s="180">
        <f>(D615/D612)*CC76</f>
        <v>0</v>
      </c>
      <c r="N620" s="197" t="s">
        <v>611</v>
      </c>
    </row>
    <row r="621" spans="1:14" ht="12.6" customHeight="1" x14ac:dyDescent="0.2">
      <c r="A621" s="194">
        <v>8630</v>
      </c>
      <c r="B621" s="198" t="s">
        <v>612</v>
      </c>
      <c r="C621" s="180">
        <f>BP71</f>
        <v>0</v>
      </c>
      <c r="D621" s="180">
        <f>(D615/D612)*BP76</f>
        <v>0</v>
      </c>
      <c r="N621" s="197" t="s">
        <v>613</v>
      </c>
    </row>
    <row r="622" spans="1:14" ht="12.6" customHeight="1" x14ac:dyDescent="0.2">
      <c r="A622" s="194">
        <v>8770</v>
      </c>
      <c r="B622" s="196" t="s">
        <v>614</v>
      </c>
      <c r="C622" s="180">
        <f>CB71</f>
        <v>0</v>
      </c>
      <c r="D622" s="180">
        <f>(D615/D612)*CB76</f>
        <v>0</v>
      </c>
      <c r="N622" s="197" t="s">
        <v>615</v>
      </c>
    </row>
    <row r="623" spans="1:14" ht="12.6" customHeight="1" x14ac:dyDescent="0.2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74958028.483883053</v>
      </c>
      <c r="N623" s="197" t="s">
        <v>617</v>
      </c>
    </row>
    <row r="624" spans="1:14" ht="12.6" customHeight="1" x14ac:dyDescent="0.2">
      <c r="A624" s="194">
        <v>8420</v>
      </c>
      <c r="B624" s="198" t="s">
        <v>139</v>
      </c>
      <c r="C624" s="180">
        <f>BD71</f>
        <v>2693387.06</v>
      </c>
      <c r="D624" s="180">
        <f>(D615/D612)*BD76</f>
        <v>1714821.3422029389</v>
      </c>
      <c r="E624" s="180">
        <f>(E623/E612)*SUM(C624:D624)</f>
        <v>603905.86612432124</v>
      </c>
      <c r="F624" s="180">
        <f>SUM(C624:E624)</f>
        <v>5012114.2683272604</v>
      </c>
      <c r="N624" s="197" t="s">
        <v>618</v>
      </c>
    </row>
    <row r="625" spans="1:14" ht="12.6" customHeight="1" x14ac:dyDescent="0.2">
      <c r="A625" s="194">
        <v>8320</v>
      </c>
      <c r="B625" s="198" t="s">
        <v>135</v>
      </c>
      <c r="C625" s="180">
        <f>AY71</f>
        <v>6880304.4900000021</v>
      </c>
      <c r="D625" s="180">
        <f>(D615/D612)*AY76</f>
        <v>624211.39517753222</v>
      </c>
      <c r="E625" s="180">
        <f>(E623/E612)*SUM(C625:D625)</f>
        <v>1028086.8670403727</v>
      </c>
      <c r="F625" s="180">
        <f>(F624/F612)*AY64</f>
        <v>88679.076160238517</v>
      </c>
      <c r="G625" s="180">
        <f>SUM(C625:F625)</f>
        <v>8621281.8283781465</v>
      </c>
      <c r="N625" s="197" t="s">
        <v>619</v>
      </c>
    </row>
    <row r="626" spans="1:14" ht="12.6" customHeight="1" x14ac:dyDescent="0.2">
      <c r="A626" s="194">
        <v>8650</v>
      </c>
      <c r="B626" s="198" t="s">
        <v>152</v>
      </c>
      <c r="C626" s="180">
        <f>BR71</f>
        <v>286666.22000000003</v>
      </c>
      <c r="D626" s="180">
        <f>(D615/D612)*BR76</f>
        <v>0</v>
      </c>
      <c r="E626" s="180">
        <f>(E623/E612)*SUM(C626:D626)</f>
        <v>39272.057054101911</v>
      </c>
      <c r="F626" s="180">
        <f>(F624/F612)*BR64</f>
        <v>516.25499664861024</v>
      </c>
      <c r="G626" s="180">
        <f>(G625/G612)*BR77</f>
        <v>0</v>
      </c>
      <c r="N626" s="197" t="s">
        <v>620</v>
      </c>
    </row>
    <row r="627" spans="1:14" ht="12.6" customHeight="1" x14ac:dyDescent="0.2">
      <c r="A627" s="194">
        <v>8620</v>
      </c>
      <c r="B627" s="196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 x14ac:dyDescent="0.2">
      <c r="A628" s="194">
        <v>8330</v>
      </c>
      <c r="B628" s="198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326454.53205075051</v>
      </c>
      <c r="N628" s="197" t="s">
        <v>623</v>
      </c>
    </row>
    <row r="629" spans="1:14" ht="12.6" customHeight="1" x14ac:dyDescent="0.2">
      <c r="A629" s="194">
        <v>8460</v>
      </c>
      <c r="B629" s="198" t="s">
        <v>141</v>
      </c>
      <c r="C629" s="180">
        <f>BF71</f>
        <v>5202055.2799999993</v>
      </c>
      <c r="D629" s="180">
        <f>(D615/D612)*BF76</f>
        <v>353693.71660748642</v>
      </c>
      <c r="E629" s="180">
        <f>(E623/E612)*SUM(C629:D629)</f>
        <v>761114.06350228027</v>
      </c>
      <c r="F629" s="180">
        <f>(F624/F612)*BF64</f>
        <v>10701.903738053838</v>
      </c>
      <c r="G629" s="180">
        <f>(G625/G612)*BF77</f>
        <v>0</v>
      </c>
      <c r="H629" s="180">
        <f>(H628/H612)*BF60</f>
        <v>12615.355148142029</v>
      </c>
      <c r="I629" s="180">
        <f>SUM(C629:H629)</f>
        <v>6340180.3189959619</v>
      </c>
      <c r="N629" s="197" t="s">
        <v>624</v>
      </c>
    </row>
    <row r="630" spans="1:14" ht="12.6" customHeight="1" x14ac:dyDescent="0.2">
      <c r="A630" s="194">
        <v>8350</v>
      </c>
      <c r="B630" s="198" t="s">
        <v>625</v>
      </c>
      <c r="C630" s="180">
        <f>BA71</f>
        <v>318590.40999999997</v>
      </c>
      <c r="D630" s="180">
        <f>(D615/D612)*BA76</f>
        <v>121178.88300282294</v>
      </c>
      <c r="E630" s="180">
        <f>(E623/E612)*SUM(C630:D630)</f>
        <v>60246.529100809021</v>
      </c>
      <c r="F630" s="180">
        <f>(F624/F612)*BA64</f>
        <v>0</v>
      </c>
      <c r="G630" s="180">
        <f>(G625/G612)*BA77</f>
        <v>0</v>
      </c>
      <c r="H630" s="180">
        <f>(H628/H612)*BA60</f>
        <v>457.57342724148225</v>
      </c>
      <c r="I630" s="180">
        <f>(I629/I612)*BA78</f>
        <v>58563.965763113585</v>
      </c>
      <c r="J630" s="180">
        <f>SUM(C630:I630)</f>
        <v>559037.36129398702</v>
      </c>
      <c r="N630" s="197" t="s">
        <v>626</v>
      </c>
    </row>
    <row r="631" spans="1:14" ht="12.6" customHeight="1" x14ac:dyDescent="0.2">
      <c r="A631" s="194">
        <v>8200</v>
      </c>
      <c r="B631" s="198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 x14ac:dyDescent="0.2">
      <c r="A632" s="194">
        <v>8360</v>
      </c>
      <c r="B632" s="198" t="s">
        <v>629</v>
      </c>
      <c r="C632" s="180">
        <f>BB71</f>
        <v>48268</v>
      </c>
      <c r="D632" s="180">
        <f>(D615/D612)*BB76</f>
        <v>37285.810154714753</v>
      </c>
      <c r="E632" s="180">
        <f>(E623/E612)*SUM(C632:D632)</f>
        <v>11720.509356113746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18019.681773265718</v>
      </c>
      <c r="J632" s="180">
        <f>(J630/J612)*BB79</f>
        <v>7.1118629421228077</v>
      </c>
      <c r="N632" s="197" t="s">
        <v>630</v>
      </c>
    </row>
    <row r="633" spans="1:14" ht="12.6" customHeight="1" x14ac:dyDescent="0.2">
      <c r="A633" s="194">
        <v>8370</v>
      </c>
      <c r="B633" s="198" t="s">
        <v>631</v>
      </c>
      <c r="C633" s="180">
        <f>BC71</f>
        <v>1257463.51</v>
      </c>
      <c r="D633" s="180">
        <f>(D615/D612)*BC76</f>
        <v>0</v>
      </c>
      <c r="E633" s="180">
        <f>(E623/E612)*SUM(C633:D633)</f>
        <v>172267.17088665435</v>
      </c>
      <c r="F633" s="180">
        <f>(F624/F612)*BC64</f>
        <v>787.65555015793609</v>
      </c>
      <c r="G633" s="180">
        <f>(G625/G612)*BC77</f>
        <v>0</v>
      </c>
      <c r="H633" s="180">
        <f>(H628/H612)*BC60</f>
        <v>2843.9354371300137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 x14ac:dyDescent="0.2">
      <c r="A634" s="194">
        <v>8490</v>
      </c>
      <c r="B634" s="198" t="s">
        <v>633</v>
      </c>
      <c r="C634" s="180">
        <f>BI71</f>
        <v>-29356.940000000002</v>
      </c>
      <c r="D634" s="180">
        <f>(D615/D612)*BI76</f>
        <v>0</v>
      </c>
      <c r="E634" s="180">
        <f>(E623/E612)*SUM(C634:D634)</f>
        <v>-4021.7763453742359</v>
      </c>
      <c r="F634" s="180">
        <f>(F624/F612)*BI64</f>
        <v>4314.3966263312477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7" t="s">
        <v>634</v>
      </c>
    </row>
    <row r="635" spans="1:14" ht="12.6" customHeight="1" x14ac:dyDescent="0.2">
      <c r="A635" s="194">
        <v>8530</v>
      </c>
      <c r="B635" s="198" t="s">
        <v>635</v>
      </c>
      <c r="C635" s="180">
        <f>BK71</f>
        <v>8002783.4777212506</v>
      </c>
      <c r="D635" s="180">
        <f>(D615/D612)*BK76</f>
        <v>0</v>
      </c>
      <c r="E635" s="180">
        <f>(E623/E612)*SUM(C635:D635)</f>
        <v>1096347.4152228087</v>
      </c>
      <c r="F635" s="180">
        <f>(F624/F612)*BK64</f>
        <v>30.470571518520973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 x14ac:dyDescent="0.2">
      <c r="A636" s="194">
        <v>8480</v>
      </c>
      <c r="B636" s="198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 x14ac:dyDescent="0.2">
      <c r="A637" s="194">
        <v>8560</v>
      </c>
      <c r="B637" s="198" t="s">
        <v>147</v>
      </c>
      <c r="C637" s="180">
        <f>BL71</f>
        <v>3876323.4587513171</v>
      </c>
      <c r="D637" s="180">
        <f>(D615/D612)*BL76</f>
        <v>0</v>
      </c>
      <c r="E637" s="180">
        <f>(E623/E612)*SUM(C637:D637)</f>
        <v>531039.88336063933</v>
      </c>
      <c r="F637" s="180">
        <f>(F624/F612)*BL64</f>
        <v>1178.9095173740182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 x14ac:dyDescent="0.2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 x14ac:dyDescent="0.2">
      <c r="A639" s="194">
        <v>8660</v>
      </c>
      <c r="B639" s="198" t="s">
        <v>642</v>
      </c>
      <c r="C639" s="180">
        <f>BS71</f>
        <v>179361</v>
      </c>
      <c r="D639" s="180">
        <f>(D615/D612)*BS76</f>
        <v>138550.68091581503</v>
      </c>
      <c r="E639" s="180">
        <f>(E623/E612)*SUM(C639:D639)</f>
        <v>43552.552760110106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66959.499316566929</v>
      </c>
      <c r="J639" s="180">
        <f>(J630/J612)*BS79</f>
        <v>0</v>
      </c>
      <c r="N639" s="197" t="s">
        <v>643</v>
      </c>
    </row>
    <row r="640" spans="1:14" ht="12.6" customHeight="1" x14ac:dyDescent="0.2">
      <c r="A640" s="194">
        <v>8670</v>
      </c>
      <c r="B640" s="198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 x14ac:dyDescent="0.2">
      <c r="A641" s="194">
        <v>8680</v>
      </c>
      <c r="B641" s="198" t="s">
        <v>646</v>
      </c>
      <c r="C641" s="180">
        <f>BU71</f>
        <v>113414</v>
      </c>
      <c r="D641" s="180">
        <f>(D615/D612)*BU76</f>
        <v>87608.61686702208</v>
      </c>
      <c r="E641" s="180">
        <f>(E623/E612)*SUM(C641:D641)</f>
        <v>27539.246440569663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42339.951579141831</v>
      </c>
      <c r="J641" s="180">
        <f>(J630/J612)*BU79</f>
        <v>0</v>
      </c>
      <c r="N641" s="197" t="s">
        <v>647</v>
      </c>
    </row>
    <row r="642" spans="1:14" ht="12.6" customHeight="1" x14ac:dyDescent="0.2">
      <c r="A642" s="194">
        <v>8690</v>
      </c>
      <c r="B642" s="198" t="s">
        <v>648</v>
      </c>
      <c r="C642" s="180">
        <f>BV71</f>
        <v>5520596.2093459489</v>
      </c>
      <c r="D642" s="180">
        <f>(D615/D612)*BV76</f>
        <v>245584.42265365005</v>
      </c>
      <c r="E642" s="180">
        <f>(E623/E612)*SUM(C642:D642)</f>
        <v>789942.30559898424</v>
      </c>
      <c r="F642" s="180">
        <f>(F624/F612)*BV64</f>
        <v>85.452827556998571</v>
      </c>
      <c r="G642" s="180">
        <f>(G625/G612)*BV77</f>
        <v>0</v>
      </c>
      <c r="H642" s="180">
        <f>(H628/H612)*BV60</f>
        <v>0</v>
      </c>
      <c r="I642" s="180">
        <f>(I629/I612)*BV78</f>
        <v>118687.32706429824</v>
      </c>
      <c r="J642" s="180">
        <f>(J630/J612)*BV79</f>
        <v>0</v>
      </c>
      <c r="N642" s="197" t="s">
        <v>649</v>
      </c>
    </row>
    <row r="643" spans="1:14" ht="12.6" customHeight="1" x14ac:dyDescent="0.2">
      <c r="A643" s="194">
        <v>8700</v>
      </c>
      <c r="B643" s="198" t="s">
        <v>650</v>
      </c>
      <c r="C643" s="180">
        <f>BW71</f>
        <v>-119855.86619175004</v>
      </c>
      <c r="D643" s="180">
        <f>(D615/D612)*BW76</f>
        <v>0</v>
      </c>
      <c r="E643" s="180">
        <f>(E623/E612)*SUM(C643:D643)</f>
        <v>-16419.745637805572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 x14ac:dyDescent="0.2">
      <c r="A644" s="194">
        <v>8710</v>
      </c>
      <c r="B644" s="198" t="s">
        <v>652</v>
      </c>
      <c r="C644" s="180">
        <f>BX71</f>
        <v>4797647.6230057497</v>
      </c>
      <c r="D644" s="180">
        <f>(D615/D612)*BX76</f>
        <v>0</v>
      </c>
      <c r="E644" s="180">
        <f>(E623/E612)*SUM(C644:D644)</f>
        <v>657257.38866671571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27720153.345659424</v>
      </c>
      <c r="N644" s="197" t="s">
        <v>653</v>
      </c>
    </row>
    <row r="645" spans="1:14" ht="12.6" customHeight="1" x14ac:dyDescent="0.2">
      <c r="A645" s="194">
        <v>8720</v>
      </c>
      <c r="B645" s="198" t="s">
        <v>654</v>
      </c>
      <c r="C645" s="180">
        <f>BY71</f>
        <v>6250085.25</v>
      </c>
      <c r="D645" s="180">
        <f>(D615/D612)*BY76</f>
        <v>85946.399805929017</v>
      </c>
      <c r="E645" s="180">
        <f>(E623/E612)*SUM(C645:D645)</f>
        <v>868009.47962328407</v>
      </c>
      <c r="F645" s="180">
        <f>(F624/F612)*BY64</f>
        <v>810.73119659490533</v>
      </c>
      <c r="G645" s="180">
        <f>(G625/G612)*BY77</f>
        <v>0</v>
      </c>
      <c r="H645" s="180">
        <f>(H628/H612)*BY60</f>
        <v>7013.6822685306961</v>
      </c>
      <c r="I645" s="180">
        <f>(I629/I612)*BY78</f>
        <v>41536.626604983998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 x14ac:dyDescent="0.2">
      <c r="A646" s="194">
        <v>8730</v>
      </c>
      <c r="B646" s="198" t="s">
        <v>656</v>
      </c>
      <c r="C646" s="180">
        <f>BZ71</f>
        <v>2942027.7100000004</v>
      </c>
      <c r="D646" s="180">
        <f>(D615/D612)*BZ76</f>
        <v>0</v>
      </c>
      <c r="E646" s="180">
        <f>(E623/E612)*SUM(C646:D646)</f>
        <v>403045.3259608642</v>
      </c>
      <c r="F646" s="180">
        <f>(F624/F612)*BZ64</f>
        <v>1121.3027779424949</v>
      </c>
      <c r="G646" s="180">
        <f>(G625/G612)*BZ77</f>
        <v>0</v>
      </c>
      <c r="H646" s="180">
        <f>(H628/H612)*BZ60</f>
        <v>4951.4839169002589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 x14ac:dyDescent="0.2">
      <c r="A647" s="194">
        <v>8740</v>
      </c>
      <c r="B647" s="198" t="s">
        <v>658</v>
      </c>
      <c r="C647" s="180">
        <f>CA71</f>
        <v>1591659.34</v>
      </c>
      <c r="D647" s="180">
        <f>(D615/D612)*CA76</f>
        <v>60393.886553047581</v>
      </c>
      <c r="E647" s="180">
        <f>(E623/E612)*SUM(C647:D647)</f>
        <v>226324.28951553637</v>
      </c>
      <c r="F647" s="180">
        <f>(F624/F612)*CA64</f>
        <v>1009.3441027654455</v>
      </c>
      <c r="G647" s="180">
        <f>(G625/G612)*CA77</f>
        <v>0</v>
      </c>
      <c r="H647" s="180">
        <f>(H628/H612)*CA60</f>
        <v>1781.480492071177</v>
      </c>
      <c r="I647" s="180">
        <f>(I629/I612)*CA78</f>
        <v>29187.474061067634</v>
      </c>
      <c r="J647" s="180">
        <f>(J630/J612)*CA79</f>
        <v>0</v>
      </c>
      <c r="K647" s="180">
        <v>0</v>
      </c>
      <c r="L647" s="180">
        <f>SUM(C645:K647)</f>
        <v>12514903.806879519</v>
      </c>
      <c r="N647" s="197" t="s">
        <v>659</v>
      </c>
    </row>
    <row r="648" spans="1:14" ht="12.6" customHeight="1" x14ac:dyDescent="0.2">
      <c r="A648" s="194"/>
      <c r="B648" s="194"/>
      <c r="C648" s="180">
        <f>SUM(C614:C647)</f>
        <v>140581044.06647781</v>
      </c>
      <c r="L648" s="261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 x14ac:dyDescent="0.2">
      <c r="A668" s="194">
        <v>6010</v>
      </c>
      <c r="B668" s="196" t="s">
        <v>283</v>
      </c>
      <c r="C668" s="180">
        <f>C71</f>
        <v>10593458.529999999</v>
      </c>
      <c r="D668" s="180">
        <f>(D615/D612)*C76</f>
        <v>286813.92426703655</v>
      </c>
      <c r="E668" s="180">
        <f>(E623/E612)*SUM(C668:D668)</f>
        <v>1490551.2082593774</v>
      </c>
      <c r="F668" s="180">
        <f>(F624/F612)*C64</f>
        <v>34283.917658412596</v>
      </c>
      <c r="G668" s="180">
        <f>(G625/G612)*C77</f>
        <v>265386.63676546828</v>
      </c>
      <c r="H668" s="180">
        <f>(H628/H612)*C60</f>
        <v>9059.580545144383</v>
      </c>
      <c r="I668" s="180">
        <f>(I629/I612)*C78</f>
        <v>138612.93671742862</v>
      </c>
      <c r="J668" s="180">
        <f>(J630/J612)*C79</f>
        <v>19978.839336909812</v>
      </c>
      <c r="K668" s="180">
        <f>(K644/K612)*C75</f>
        <v>395206.0097820033</v>
      </c>
      <c r="L668" s="180">
        <f>(L647/L612)*C80</f>
        <v>860798.39616458549</v>
      </c>
      <c r="M668" s="180">
        <f t="shared" ref="M668:M713" si="20">ROUND(SUM(D668:L668),0)</f>
        <v>3500691</v>
      </c>
      <c r="N668" s="196" t="s">
        <v>663</v>
      </c>
    </row>
    <row r="669" spans="1:14" ht="12.6" customHeight="1" x14ac:dyDescent="0.2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6" t="s">
        <v>664</v>
      </c>
    </row>
    <row r="670" spans="1:14" ht="12.6" customHeight="1" x14ac:dyDescent="0.2">
      <c r="A670" s="194">
        <v>6070</v>
      </c>
      <c r="B670" s="196" t="s">
        <v>665</v>
      </c>
      <c r="C670" s="180">
        <f>E71</f>
        <v>58556441.150000013</v>
      </c>
      <c r="D670" s="180">
        <f>(D615/D612)*E76</f>
        <v>2942776.0479625831</v>
      </c>
      <c r="E670" s="180">
        <f>(E623/E612)*SUM(C670:D670)</f>
        <v>8425132.0807208903</v>
      </c>
      <c r="F670" s="180">
        <f>(F624/F612)*E64</f>
        <v>95795.648653449258</v>
      </c>
      <c r="G670" s="180">
        <f>(G625/G612)*E77</f>
        <v>7406488.6880835881</v>
      </c>
      <c r="H670" s="180">
        <f>(H628/H612)*E60</f>
        <v>67110.200492413394</v>
      </c>
      <c r="I670" s="180">
        <f>(I629/I612)*E78</f>
        <v>1422200.2336609808</v>
      </c>
      <c r="J670" s="180">
        <f>(J630/J612)*E79</f>
        <v>206599.61846866756</v>
      </c>
      <c r="K670" s="180">
        <f>(K644/K612)*E75</f>
        <v>2414391.645643177</v>
      </c>
      <c r="L670" s="180">
        <f>(L647/L612)*E80</f>
        <v>5147750.5793495141</v>
      </c>
      <c r="M670" s="180">
        <f t="shared" si="20"/>
        <v>28128245</v>
      </c>
      <c r="N670" s="196" t="s">
        <v>666</v>
      </c>
    </row>
    <row r="671" spans="1:14" ht="12.6" customHeight="1" x14ac:dyDescent="0.2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6" t="s">
        <v>668</v>
      </c>
    </row>
    <row r="672" spans="1:14" ht="12.6" customHeight="1" x14ac:dyDescent="0.2">
      <c r="A672" s="194">
        <v>6120</v>
      </c>
      <c r="B672" s="196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6" t="s">
        <v>670</v>
      </c>
    </row>
    <row r="673" spans="1:14" ht="12.6" customHeight="1" x14ac:dyDescent="0.2">
      <c r="A673" s="194">
        <v>6140</v>
      </c>
      <c r="B673" s="196" t="s">
        <v>671</v>
      </c>
      <c r="C673" s="180">
        <f>H71</f>
        <v>715.07999999999993</v>
      </c>
      <c r="D673" s="180">
        <f>(D615/D612)*H76</f>
        <v>0</v>
      </c>
      <c r="E673" s="180">
        <f>(E623/E612)*SUM(C673:D673)</f>
        <v>97.962929005891212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98</v>
      </c>
      <c r="N673" s="196" t="s">
        <v>672</v>
      </c>
    </row>
    <row r="674" spans="1:14" ht="12.6" customHeight="1" x14ac:dyDescent="0.2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6" t="s">
        <v>674</v>
      </c>
    </row>
    <row r="675" spans="1:14" ht="12.6" customHeight="1" x14ac:dyDescent="0.2">
      <c r="A675" s="194">
        <v>6170</v>
      </c>
      <c r="B675" s="196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6" t="s">
        <v>675</v>
      </c>
    </row>
    <row r="676" spans="1:14" ht="12.6" customHeight="1" x14ac:dyDescent="0.2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6" t="s">
        <v>676</v>
      </c>
    </row>
    <row r="677" spans="1:14" ht="12.6" customHeight="1" x14ac:dyDescent="0.2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6" t="s">
        <v>677</v>
      </c>
    </row>
    <row r="678" spans="1:14" ht="12.6" customHeight="1" x14ac:dyDescent="0.2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6" t="s">
        <v>679</v>
      </c>
    </row>
    <row r="679" spans="1:14" ht="12.6" customHeight="1" x14ac:dyDescent="0.2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6" t="s">
        <v>681</v>
      </c>
    </row>
    <row r="680" spans="1:14" ht="12.6" customHeight="1" x14ac:dyDescent="0.2">
      <c r="A680" s="194">
        <v>7010</v>
      </c>
      <c r="B680" s="196" t="s">
        <v>682</v>
      </c>
      <c r="C680" s="180">
        <f>O71</f>
        <v>13437668.41</v>
      </c>
      <c r="D680" s="180">
        <f>(D615/D612)*O76</f>
        <v>522816.15445085603</v>
      </c>
      <c r="E680" s="180">
        <f>(E623/E612)*SUM(C680:D680)</f>
        <v>1912527.2113262005</v>
      </c>
      <c r="F680" s="180">
        <f>(F624/F612)*O64</f>
        <v>33782.512674656951</v>
      </c>
      <c r="G680" s="180">
        <f>(G625/G612)*O77</f>
        <v>441508.4229273863</v>
      </c>
      <c r="H680" s="180">
        <f>(H628/H612)*O60</f>
        <v>11751.790175728129</v>
      </c>
      <c r="I680" s="180">
        <f>(I629/I612)*O78</f>
        <v>252693.92511853552</v>
      </c>
      <c r="J680" s="180">
        <f>(J630/J612)*O79</f>
        <v>18311.107476982015</v>
      </c>
      <c r="K680" s="180">
        <f>(K644/K612)*O75</f>
        <v>618027.65474051982</v>
      </c>
      <c r="L680" s="180">
        <f>(L647/L612)*O80</f>
        <v>1144311.6630987516</v>
      </c>
      <c r="M680" s="180">
        <f t="shared" si="20"/>
        <v>4955730</v>
      </c>
      <c r="N680" s="196" t="s">
        <v>683</v>
      </c>
    </row>
    <row r="681" spans="1:14" ht="12.6" customHeight="1" x14ac:dyDescent="0.2">
      <c r="A681" s="194">
        <v>7020</v>
      </c>
      <c r="B681" s="196" t="s">
        <v>684</v>
      </c>
      <c r="C681" s="180">
        <f>P71</f>
        <v>45847889.230000004</v>
      </c>
      <c r="D681" s="180">
        <f>(D615/D612)*P76</f>
        <v>1916047.3840693801</v>
      </c>
      <c r="E681" s="180">
        <f>(E623/E612)*SUM(C681:D681)</f>
        <v>6543456.8601638526</v>
      </c>
      <c r="F681" s="180">
        <f>(F624/F612)*P64</f>
        <v>1012535.9558732283</v>
      </c>
      <c r="G681" s="180">
        <f>(G625/G612)*P77</f>
        <v>214.99241474843507</v>
      </c>
      <c r="H681" s="180">
        <f>(H628/H612)*P60</f>
        <v>13937.235579614067</v>
      </c>
      <c r="I681" s="180">
        <f>(I629/I612)*P78</f>
        <v>925997.42315274908</v>
      </c>
      <c r="J681" s="180">
        <f>(J630/J612)*P79</f>
        <v>103273.62464804687</v>
      </c>
      <c r="K681" s="180">
        <f>(K644/K612)*P75</f>
        <v>4170769.9934754022</v>
      </c>
      <c r="L681" s="180">
        <f>(L647/L612)*P80</f>
        <v>648460.01780510601</v>
      </c>
      <c r="M681" s="180">
        <f t="shared" si="20"/>
        <v>15334693</v>
      </c>
      <c r="N681" s="196" t="s">
        <v>685</v>
      </c>
    </row>
    <row r="682" spans="1:14" ht="12.6" customHeight="1" x14ac:dyDescent="0.2">
      <c r="A682" s="194">
        <v>7030</v>
      </c>
      <c r="B682" s="196" t="s">
        <v>686</v>
      </c>
      <c r="C682" s="180">
        <f>Q71</f>
        <v>6985695.7000000011</v>
      </c>
      <c r="D682" s="180">
        <f>(D615/D612)*Q76</f>
        <v>281175.42325587774</v>
      </c>
      <c r="E682" s="180">
        <f>(E623/E612)*SUM(C682:D682)</f>
        <v>995530.54195681133</v>
      </c>
      <c r="F682" s="180">
        <f>(F624/F612)*Q64</f>
        <v>21193.513744537653</v>
      </c>
      <c r="G682" s="180">
        <f>(G625/G612)*Q77</f>
        <v>0</v>
      </c>
      <c r="H682" s="180">
        <f>(H628/H612)*Q60</f>
        <v>7656.7472333028845</v>
      </c>
      <c r="I682" s="180">
        <f>(I629/I612)*Q78</f>
        <v>135887.93239332462</v>
      </c>
      <c r="J682" s="180">
        <f>(J630/J612)*Q79</f>
        <v>0</v>
      </c>
      <c r="K682" s="180">
        <f>(K644/K612)*Q75</f>
        <v>514847.21271601983</v>
      </c>
      <c r="L682" s="180">
        <f>(L647/L612)*Q80</f>
        <v>710403.1342863274</v>
      </c>
      <c r="M682" s="180">
        <f t="shared" si="20"/>
        <v>2666695</v>
      </c>
      <c r="N682" s="196" t="s">
        <v>687</v>
      </c>
    </row>
    <row r="683" spans="1:14" ht="12.6" customHeight="1" x14ac:dyDescent="0.2">
      <c r="A683" s="194">
        <v>7040</v>
      </c>
      <c r="B683" s="196" t="s">
        <v>107</v>
      </c>
      <c r="C683" s="180">
        <f>R71</f>
        <v>1500047.3699999999</v>
      </c>
      <c r="D683" s="180">
        <f>(D615/D612)*R76</f>
        <v>3780.7290017018454</v>
      </c>
      <c r="E683" s="180">
        <f>(E623/E612)*SUM(C683:D683)</f>
        <v>206018.07531963984</v>
      </c>
      <c r="F683" s="180">
        <f>(F624/F612)*R64</f>
        <v>16024.474070659435</v>
      </c>
      <c r="G683" s="180">
        <f>(G625/G612)*R77</f>
        <v>0</v>
      </c>
      <c r="H683" s="180">
        <f>(H628/H612)*R60</f>
        <v>560.23894656466643</v>
      </c>
      <c r="I683" s="180">
        <f>(I629/I612)*R78</f>
        <v>1827.1705294570131</v>
      </c>
      <c r="J683" s="180">
        <f>(J630/J612)*R79</f>
        <v>0</v>
      </c>
      <c r="K683" s="180">
        <f>(K644/K612)*R75</f>
        <v>205472.85077408366</v>
      </c>
      <c r="L683" s="180">
        <f>(L647/L612)*R80</f>
        <v>58750.360642922387</v>
      </c>
      <c r="M683" s="180">
        <f t="shared" si="20"/>
        <v>492434</v>
      </c>
      <c r="N683" s="196" t="s">
        <v>688</v>
      </c>
    </row>
    <row r="684" spans="1:14" ht="12.6" customHeight="1" x14ac:dyDescent="0.2">
      <c r="A684" s="194">
        <v>7050</v>
      </c>
      <c r="B684" s="196" t="s">
        <v>689</v>
      </c>
      <c r="C684" s="180">
        <f>S71</f>
        <v>2081053.6243250007</v>
      </c>
      <c r="D684" s="180">
        <f>(D615/D612)*S76</f>
        <v>274396.18504592963</v>
      </c>
      <c r="E684" s="180">
        <f>(E623/E612)*SUM(C684:D684)</f>
        <v>322686.63988972484</v>
      </c>
      <c r="F684" s="180">
        <f>(F624/F612)*S64</f>
        <v>-11780.842698362836</v>
      </c>
      <c r="G684" s="180">
        <f>(G625/G612)*S77</f>
        <v>0</v>
      </c>
      <c r="H684" s="180">
        <f>(H628/H612)*S60</f>
        <v>4052.7454872125813</v>
      </c>
      <c r="I684" s="180">
        <f>(I629/I612)*S78</f>
        <v>132611.6266163672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721966</v>
      </c>
      <c r="N684" s="196" t="s">
        <v>690</v>
      </c>
    </row>
    <row r="685" spans="1:14" ht="12.6" customHeight="1" x14ac:dyDescent="0.2">
      <c r="A685" s="194">
        <v>7060</v>
      </c>
      <c r="B685" s="196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6" t="s">
        <v>692</v>
      </c>
    </row>
    <row r="686" spans="1:14" ht="12.6" customHeight="1" x14ac:dyDescent="0.2">
      <c r="A686" s="194">
        <v>7070</v>
      </c>
      <c r="B686" s="196" t="s">
        <v>109</v>
      </c>
      <c r="C686" s="180">
        <f>U71</f>
        <v>15323169.450000001</v>
      </c>
      <c r="D686" s="180">
        <f>(D615/D612)*U76</f>
        <v>435891.97990310757</v>
      </c>
      <c r="E686" s="180">
        <f>(E623/E612)*SUM(C686:D686)</f>
        <v>2158924.6183043532</v>
      </c>
      <c r="F686" s="180">
        <f>(F624/F612)*U64</f>
        <v>204423.79933268615</v>
      </c>
      <c r="G686" s="180">
        <f>(G625/G612)*U77</f>
        <v>0</v>
      </c>
      <c r="H686" s="180">
        <f>(H628/H612)*U60</f>
        <v>10072.100196435274</v>
      </c>
      <c r="I686" s="180">
        <f>(I629/I612)*U78</f>
        <v>210660.16087032846</v>
      </c>
      <c r="J686" s="180">
        <f>(J630/J612)*U79</f>
        <v>0</v>
      </c>
      <c r="K686" s="180">
        <f>(K644/K612)*U75</f>
        <v>1062726.7503832486</v>
      </c>
      <c r="L686" s="180">
        <f>(L647/L612)*U80</f>
        <v>0</v>
      </c>
      <c r="M686" s="180">
        <f t="shared" si="20"/>
        <v>4082699</v>
      </c>
      <c r="N686" s="196" t="s">
        <v>693</v>
      </c>
    </row>
    <row r="687" spans="1:14" ht="12.6" customHeight="1" x14ac:dyDescent="0.2">
      <c r="A687" s="194">
        <v>7110</v>
      </c>
      <c r="B687" s="196" t="s">
        <v>694</v>
      </c>
      <c r="C687" s="180">
        <f>V71</f>
        <v>1186698.48</v>
      </c>
      <c r="D687" s="180">
        <f>(D615/D612)*V76</f>
        <v>0</v>
      </c>
      <c r="E687" s="180">
        <f>(E623/E612)*SUM(C687:D687)</f>
        <v>162572.66172685436</v>
      </c>
      <c r="F687" s="180">
        <f>(F624/F612)*V64</f>
        <v>9343.5269463150125</v>
      </c>
      <c r="G687" s="180">
        <f>(G625/G612)*V77</f>
        <v>0</v>
      </c>
      <c r="H687" s="180">
        <f>(H628/H612)*V60</f>
        <v>738.02944150260817</v>
      </c>
      <c r="I687" s="180">
        <f>(I629/I612)*V78</f>
        <v>0</v>
      </c>
      <c r="J687" s="180">
        <f>(J630/J612)*V79</f>
        <v>0</v>
      </c>
      <c r="K687" s="180">
        <f>(K644/K612)*V75</f>
        <v>358848.19683320203</v>
      </c>
      <c r="L687" s="180">
        <f>(L647/L612)*V80</f>
        <v>0</v>
      </c>
      <c r="M687" s="180">
        <f t="shared" si="20"/>
        <v>531502</v>
      </c>
      <c r="N687" s="196" t="s">
        <v>695</v>
      </c>
    </row>
    <row r="688" spans="1:14" ht="12.6" customHeight="1" x14ac:dyDescent="0.2">
      <c r="A688" s="194">
        <v>7120</v>
      </c>
      <c r="B688" s="196" t="s">
        <v>696</v>
      </c>
      <c r="C688" s="180">
        <f>W71</f>
        <v>924998.70000000007</v>
      </c>
      <c r="D688" s="180">
        <f>(D615/D612)*W76</f>
        <v>71442.741135607284</v>
      </c>
      <c r="E688" s="180">
        <f>(E623/E612)*SUM(C688:D688)</f>
        <v>136508.25384082261</v>
      </c>
      <c r="F688" s="180">
        <f>(F624/F612)*W64</f>
        <v>3307.1475749359874</v>
      </c>
      <c r="G688" s="180">
        <f>(G625/G612)*W77</f>
        <v>0</v>
      </c>
      <c r="H688" s="180">
        <f>(H628/H612)*W60</f>
        <v>581.0404623806819</v>
      </c>
      <c r="I688" s="180">
        <f>(I629/I612)*W78</f>
        <v>34527.222418704943</v>
      </c>
      <c r="J688" s="180">
        <f>(J630/J612)*W79</f>
        <v>0</v>
      </c>
      <c r="K688" s="180">
        <f>(K644/K612)*W75</f>
        <v>209253.33791078249</v>
      </c>
      <c r="L688" s="180">
        <f>(L647/L612)*W80</f>
        <v>0</v>
      </c>
      <c r="M688" s="180">
        <f t="shared" si="20"/>
        <v>455620</v>
      </c>
      <c r="N688" s="196" t="s">
        <v>697</v>
      </c>
    </row>
    <row r="689" spans="1:14" ht="12.6" customHeight="1" x14ac:dyDescent="0.2">
      <c r="A689" s="194">
        <v>7130</v>
      </c>
      <c r="B689" s="196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6" t="s">
        <v>699</v>
      </c>
    </row>
    <row r="690" spans="1:14" ht="12.6" customHeight="1" x14ac:dyDescent="0.2">
      <c r="A690" s="194">
        <v>7140</v>
      </c>
      <c r="B690" s="196" t="s">
        <v>1250</v>
      </c>
      <c r="C690" s="180">
        <f>Y71</f>
        <v>42045074.289999992</v>
      </c>
      <c r="D690" s="180">
        <f>(D615/D612)*Y76</f>
        <v>752006.55393333349</v>
      </c>
      <c r="E690" s="180">
        <f>(E623/E612)*SUM(C690:D690)</f>
        <v>5863018.6725591924</v>
      </c>
      <c r="F690" s="180">
        <f>(F624/F612)*Y64</f>
        <v>740631.28265265899</v>
      </c>
      <c r="G690" s="180">
        <f>(G625/G612)*Y77</f>
        <v>0</v>
      </c>
      <c r="H690" s="180">
        <f>(H628/H612)*Y60</f>
        <v>24530.573727330204</v>
      </c>
      <c r="I690" s="180">
        <f>(I629/I612)*Y78</f>
        <v>363433.66919104889</v>
      </c>
      <c r="J690" s="180">
        <f>(J630/J612)*Y79</f>
        <v>31153.192351471589</v>
      </c>
      <c r="K690" s="180">
        <f>(K644/K612)*Y75</f>
        <v>4635851.5852347398</v>
      </c>
      <c r="L690" s="180">
        <f>(L647/L612)*Y80</f>
        <v>440087.17420572211</v>
      </c>
      <c r="M690" s="180">
        <f t="shared" si="20"/>
        <v>12850713</v>
      </c>
      <c r="N690" s="196" t="s">
        <v>700</v>
      </c>
    </row>
    <row r="691" spans="1:14" ht="12.6" customHeight="1" x14ac:dyDescent="0.2">
      <c r="A691" s="194">
        <v>7150</v>
      </c>
      <c r="B691" s="196" t="s">
        <v>701</v>
      </c>
      <c r="C691" s="180">
        <f>Z71</f>
        <v>4941343.43</v>
      </c>
      <c r="D691" s="180">
        <f>(D615/D612)*Z76</f>
        <v>383711.4011813433</v>
      </c>
      <c r="E691" s="180">
        <f>(E623/E612)*SUM(C691:D691)</f>
        <v>729509.94067726121</v>
      </c>
      <c r="F691" s="180">
        <f>(F624/F612)*Z64</f>
        <v>2647.4535233104407</v>
      </c>
      <c r="G691" s="180">
        <f>(G625/G612)*Z77</f>
        <v>0</v>
      </c>
      <c r="H691" s="180">
        <f>(H628/H612)*Z60</f>
        <v>3429.5766609402895</v>
      </c>
      <c r="I691" s="180">
        <f>(I629/I612)*Z78</f>
        <v>185442.05726980534</v>
      </c>
      <c r="J691" s="180">
        <f>(J630/J612)*Z79</f>
        <v>8905.3454695272321</v>
      </c>
      <c r="K691" s="180">
        <f>(K644/K612)*Z75</f>
        <v>458368.00617925229</v>
      </c>
      <c r="L691" s="180">
        <f>(L647/L612)*Z80</f>
        <v>53465.072785088894</v>
      </c>
      <c r="M691" s="180">
        <f t="shared" si="20"/>
        <v>1825479</v>
      </c>
      <c r="N691" s="196" t="s">
        <v>702</v>
      </c>
    </row>
    <row r="692" spans="1:14" ht="12.6" customHeight="1" x14ac:dyDescent="0.2">
      <c r="A692" s="194">
        <v>7160</v>
      </c>
      <c r="B692" s="196" t="s">
        <v>703</v>
      </c>
      <c r="C692" s="180">
        <f>AA71</f>
        <v>1149465.01</v>
      </c>
      <c r="D692" s="180">
        <f>(D615/D612)*AA76</f>
        <v>0</v>
      </c>
      <c r="E692" s="180">
        <f>(E623/E612)*SUM(C692:D692)</f>
        <v>157471.83415755726</v>
      </c>
      <c r="F692" s="180">
        <f>(F624/F612)*AA64</f>
        <v>22749.874510524754</v>
      </c>
      <c r="G692" s="180">
        <f>(G625/G612)*AA77</f>
        <v>0</v>
      </c>
      <c r="H692" s="180">
        <f>(H628/H612)*AA60</f>
        <v>554.52677907340092</v>
      </c>
      <c r="I692" s="180">
        <f>(I629/I612)*AA78</f>
        <v>0</v>
      </c>
      <c r="J692" s="180">
        <f>(J630/J612)*AA79</f>
        <v>0</v>
      </c>
      <c r="K692" s="180">
        <f>(K644/K612)*AA75</f>
        <v>172077.95278534575</v>
      </c>
      <c r="L692" s="180">
        <f>(L647/L612)*AA80</f>
        <v>0</v>
      </c>
      <c r="M692" s="180">
        <f t="shared" si="20"/>
        <v>352854</v>
      </c>
      <c r="N692" s="196" t="s">
        <v>704</v>
      </c>
    </row>
    <row r="693" spans="1:14" ht="12.6" customHeight="1" x14ac:dyDescent="0.2">
      <c r="A693" s="194">
        <v>7170</v>
      </c>
      <c r="B693" s="196" t="s">
        <v>115</v>
      </c>
      <c r="C693" s="180">
        <f>AB71</f>
        <v>20779029.439999998</v>
      </c>
      <c r="D693" s="180">
        <f>(D615/D612)*AB76</f>
        <v>180953.51221938487</v>
      </c>
      <c r="E693" s="180">
        <f>(E623/E612)*SUM(C693:D693)</f>
        <v>2871428.8218282675</v>
      </c>
      <c r="F693" s="180">
        <f>(F624/F612)*AB64</f>
        <v>621791.56466519844</v>
      </c>
      <c r="G693" s="180">
        <f>(G625/G612)*AB77</f>
        <v>0</v>
      </c>
      <c r="H693" s="180">
        <f>(H628/H612)*AB60</f>
        <v>7766.8790373653346</v>
      </c>
      <c r="I693" s="180">
        <f>(I629/I612)*AB78</f>
        <v>87452.161892632241</v>
      </c>
      <c r="J693" s="180">
        <f>(J630/J612)*AB79</f>
        <v>0</v>
      </c>
      <c r="K693" s="180">
        <f>(K644/K612)*AB75</f>
        <v>2541721.5078682471</v>
      </c>
      <c r="L693" s="180">
        <f>(L647/L612)*AB80</f>
        <v>0</v>
      </c>
      <c r="M693" s="180">
        <f t="shared" si="20"/>
        <v>6311114</v>
      </c>
      <c r="N693" s="196" t="s">
        <v>705</v>
      </c>
    </row>
    <row r="694" spans="1:14" ht="12.6" customHeight="1" x14ac:dyDescent="0.2">
      <c r="A694" s="194">
        <v>7180</v>
      </c>
      <c r="B694" s="196" t="s">
        <v>706</v>
      </c>
      <c r="C694" s="180">
        <f>AC71</f>
        <v>6879542.71</v>
      </c>
      <c r="D694" s="180">
        <f>(D615/D612)*AC76</f>
        <v>247996.26701680466</v>
      </c>
      <c r="E694" s="180">
        <f>(E623/E612)*SUM(C694:D694)</f>
        <v>976442.62850620877</v>
      </c>
      <c r="F694" s="180">
        <f>(F624/F612)*AC64</f>
        <v>27996.827696326738</v>
      </c>
      <c r="G694" s="180">
        <f>(G625/G612)*AC77</f>
        <v>0</v>
      </c>
      <c r="H694" s="180">
        <f>(H628/H612)*AC60</f>
        <v>8383.092136188141</v>
      </c>
      <c r="I694" s="180">
        <f>(I629/I612)*AC78</f>
        <v>119852.93585033117</v>
      </c>
      <c r="J694" s="180">
        <f>(J630/J612)*AC79</f>
        <v>4923.0254884358292</v>
      </c>
      <c r="K694" s="180">
        <f>(K644/K612)*AC75</f>
        <v>504490.31647525687</v>
      </c>
      <c r="L694" s="180">
        <f>(L647/L612)*AC80</f>
        <v>36138.956970583087</v>
      </c>
      <c r="M694" s="180">
        <f t="shared" si="20"/>
        <v>1926224</v>
      </c>
      <c r="N694" s="196" t="s">
        <v>707</v>
      </c>
    </row>
    <row r="695" spans="1:14" ht="12.6" customHeight="1" x14ac:dyDescent="0.2">
      <c r="A695" s="194">
        <v>7190</v>
      </c>
      <c r="B695" s="196" t="s">
        <v>117</v>
      </c>
      <c r="C695" s="180">
        <f>AD71</f>
        <v>1097548.7400000002</v>
      </c>
      <c r="D695" s="180">
        <f>(D615/D612)*AD76</f>
        <v>26399.918029124954</v>
      </c>
      <c r="E695" s="180">
        <f>(E623/E612)*SUM(C695:D695)</f>
        <v>153976.20209315585</v>
      </c>
      <c r="F695" s="180">
        <f>(F624/F612)*AD64</f>
        <v>807.47731848936724</v>
      </c>
      <c r="G695" s="180">
        <f>(G625/G612)*AD77</f>
        <v>0</v>
      </c>
      <c r="H695" s="180">
        <f>(H628/H612)*AD60</f>
        <v>0</v>
      </c>
      <c r="I695" s="180">
        <f>(I629/I612)*AD78</f>
        <v>12758.690766036045</v>
      </c>
      <c r="J695" s="180">
        <f>(J630/J612)*AD79</f>
        <v>0</v>
      </c>
      <c r="K695" s="180">
        <f>(K644/K612)*AD75</f>
        <v>39657.159578854647</v>
      </c>
      <c r="L695" s="180">
        <f>(L647/L612)*AD80</f>
        <v>0</v>
      </c>
      <c r="M695" s="180">
        <f t="shared" si="20"/>
        <v>233599</v>
      </c>
      <c r="N695" s="196" t="s">
        <v>708</v>
      </c>
    </row>
    <row r="696" spans="1:14" ht="12.6" customHeight="1" x14ac:dyDescent="0.2">
      <c r="A696" s="194">
        <v>7200</v>
      </c>
      <c r="B696" s="196" t="s">
        <v>709</v>
      </c>
      <c r="C696" s="180">
        <f>AE71</f>
        <v>4604051.4000000004</v>
      </c>
      <c r="D696" s="180">
        <f>(D615/D612)*AE76</f>
        <v>712145.93695849413</v>
      </c>
      <c r="E696" s="180">
        <f>(E623/E612)*SUM(C696:D696)</f>
        <v>728296.50151279988</v>
      </c>
      <c r="F696" s="180">
        <f>(F624/F612)*AE64</f>
        <v>1000.4974047330941</v>
      </c>
      <c r="G696" s="180">
        <f>(G625/G612)*AE77</f>
        <v>0</v>
      </c>
      <c r="H696" s="180">
        <f>(H628/H612)*AE60</f>
        <v>4346.4677826913876</v>
      </c>
      <c r="I696" s="180">
        <f>(I629/I612)*AE78</f>
        <v>344169.62128134264</v>
      </c>
      <c r="J696" s="180">
        <f>(J630/J612)*AE79</f>
        <v>7498.1664064790239</v>
      </c>
      <c r="K696" s="180">
        <f>(K644/K612)*AE75</f>
        <v>129720.2692467962</v>
      </c>
      <c r="L696" s="180">
        <f>(L647/L612)*AE80</f>
        <v>0</v>
      </c>
      <c r="M696" s="180">
        <f t="shared" si="20"/>
        <v>1927177</v>
      </c>
      <c r="N696" s="196" t="s">
        <v>710</v>
      </c>
    </row>
    <row r="697" spans="1:14" ht="12.6" customHeight="1" x14ac:dyDescent="0.2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6" t="s">
        <v>712</v>
      </c>
    </row>
    <row r="698" spans="1:14" ht="12.6" customHeight="1" x14ac:dyDescent="0.2">
      <c r="A698" s="194">
        <v>7230</v>
      </c>
      <c r="B698" s="196" t="s">
        <v>713</v>
      </c>
      <c r="C698" s="180">
        <f>AG71</f>
        <v>22025999.486168943</v>
      </c>
      <c r="D698" s="180">
        <f>(D615/D612)*AG76</f>
        <v>929211.92964241048</v>
      </c>
      <c r="E698" s="180">
        <f>(E623/E612)*SUM(C698:D698)</f>
        <v>3144766.6642086916</v>
      </c>
      <c r="F698" s="180">
        <f>(F624/F612)*AG64</f>
        <v>77891.463208840374</v>
      </c>
      <c r="G698" s="180">
        <f>(G625/G612)*AG77</f>
        <v>507683.08818695461</v>
      </c>
      <c r="H698" s="180">
        <f>(H628/H612)*AG60</f>
        <v>16018.608558719134</v>
      </c>
      <c r="I698" s="180">
        <f>(I629/I612)*AG78</f>
        <v>449074.41202430555</v>
      </c>
      <c r="J698" s="180">
        <f>(J630/J612)*AG79</f>
        <v>156249.89170391968</v>
      </c>
      <c r="K698" s="180">
        <f>(K644/K612)*AG75</f>
        <v>2578999.0690189209</v>
      </c>
      <c r="L698" s="180">
        <f>(L647/L612)*AG80</f>
        <v>1141032.059281277</v>
      </c>
      <c r="M698" s="180">
        <f t="shared" si="20"/>
        <v>9000927</v>
      </c>
      <c r="N698" s="196" t="s">
        <v>714</v>
      </c>
    </row>
    <row r="699" spans="1:14" ht="12.6" customHeight="1" x14ac:dyDescent="0.2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6" t="s">
        <v>715</v>
      </c>
    </row>
    <row r="700" spans="1:14" ht="12.6" customHeight="1" x14ac:dyDescent="0.2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6" t="s">
        <v>717</v>
      </c>
    </row>
    <row r="701" spans="1:14" ht="12.6" customHeight="1" x14ac:dyDescent="0.2">
      <c r="A701" s="194">
        <v>7260</v>
      </c>
      <c r="B701" s="196" t="s">
        <v>121</v>
      </c>
      <c r="C701" s="180">
        <f>AJ71</f>
        <v>162600052.47999999</v>
      </c>
      <c r="D701" s="180">
        <f>(D615/D612)*AJ76</f>
        <v>0</v>
      </c>
      <c r="E701" s="180">
        <f>(E623/E612)*SUM(C701:D701)</f>
        <v>22275517.980439149</v>
      </c>
      <c r="F701" s="180">
        <f>(F624/F612)*AJ64</f>
        <v>171614.67890179469</v>
      </c>
      <c r="G701" s="180">
        <f>(G625/G612)*AJ77</f>
        <v>0</v>
      </c>
      <c r="H701" s="180">
        <f>(H628/H612)*AJ60</f>
        <v>84360.656512554386</v>
      </c>
      <c r="I701" s="180">
        <f>(I629/I612)*AJ78</f>
        <v>0</v>
      </c>
      <c r="J701" s="180">
        <f>(J630/J612)*AJ79</f>
        <v>0</v>
      </c>
      <c r="K701" s="180">
        <f>(K644/K612)*AJ75</f>
        <v>2669585.6574887894</v>
      </c>
      <c r="L701" s="180">
        <f>(L647/L612)*AJ80</f>
        <v>1243433.0736863131</v>
      </c>
      <c r="M701" s="180">
        <f t="shared" si="20"/>
        <v>26444512</v>
      </c>
      <c r="N701" s="196" t="s">
        <v>718</v>
      </c>
    </row>
    <row r="702" spans="1:14" ht="12.6" customHeight="1" x14ac:dyDescent="0.2">
      <c r="A702" s="194">
        <v>7310</v>
      </c>
      <c r="B702" s="196" t="s">
        <v>719</v>
      </c>
      <c r="C702" s="180">
        <f>AK71</f>
        <v>1598237.19</v>
      </c>
      <c r="D702" s="180">
        <f>(D615/D612)*AK76</f>
        <v>152565.45221522707</v>
      </c>
      <c r="E702" s="180">
        <f>(E623/E612)*SUM(C702:D702)</f>
        <v>239852.54089424547</v>
      </c>
      <c r="F702" s="180">
        <f>(F624/F612)*AK64</f>
        <v>405.2954855776419</v>
      </c>
      <c r="G702" s="180">
        <f>(G625/G612)*AK77</f>
        <v>0</v>
      </c>
      <c r="H702" s="180">
        <f>(H628/H612)*AK60</f>
        <v>1497.6984679415914</v>
      </c>
      <c r="I702" s="180">
        <f>(I629/I612)*AK78</f>
        <v>73732.631451623107</v>
      </c>
      <c r="J702" s="180">
        <f>(J630/J612)*AK79</f>
        <v>0</v>
      </c>
      <c r="K702" s="180">
        <f>(K644/K612)*AK75</f>
        <v>68446.122821719589</v>
      </c>
      <c r="L702" s="180">
        <f>(L647/L612)*AK80</f>
        <v>0</v>
      </c>
      <c r="M702" s="180">
        <f t="shared" si="20"/>
        <v>536500</v>
      </c>
      <c r="N702" s="196" t="s">
        <v>720</v>
      </c>
    </row>
    <row r="703" spans="1:14" ht="12.6" customHeight="1" x14ac:dyDescent="0.2">
      <c r="A703" s="194">
        <v>7320</v>
      </c>
      <c r="B703" s="196" t="s">
        <v>721</v>
      </c>
      <c r="C703" s="180">
        <f>AL71</f>
        <v>784227.79</v>
      </c>
      <c r="D703" s="180">
        <f>(D615/D612)*AL76</f>
        <v>50192.436746731393</v>
      </c>
      <c r="E703" s="180">
        <f>(E623/E612)*SUM(C703:D703)</f>
        <v>114312.03422535899</v>
      </c>
      <c r="F703" s="180">
        <f>(F624/F612)*AL64</f>
        <v>345.71124349429601</v>
      </c>
      <c r="G703" s="180">
        <f>(G625/G612)*AL77</f>
        <v>0</v>
      </c>
      <c r="H703" s="180">
        <f>(H628/H612)*AL60</f>
        <v>741.29635149186493</v>
      </c>
      <c r="I703" s="180">
        <f>(I629/I612)*AL78</f>
        <v>24257.263925550007</v>
      </c>
      <c r="J703" s="180">
        <f>(J630/J612)*AL79</f>
        <v>0</v>
      </c>
      <c r="K703" s="180">
        <f>(K644/K612)*AL75</f>
        <v>34007.012693926583</v>
      </c>
      <c r="L703" s="180">
        <f>(L647/L612)*AL80</f>
        <v>0</v>
      </c>
      <c r="M703" s="180">
        <f t="shared" si="20"/>
        <v>223856</v>
      </c>
      <c r="N703" s="196" t="s">
        <v>722</v>
      </c>
    </row>
    <row r="704" spans="1:14" ht="12.6" customHeight="1" x14ac:dyDescent="0.2">
      <c r="A704" s="194">
        <v>7330</v>
      </c>
      <c r="B704" s="196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6" t="s">
        <v>724</v>
      </c>
    </row>
    <row r="705" spans="1:83" ht="12.6" customHeight="1" x14ac:dyDescent="0.2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6" t="s">
        <v>726</v>
      </c>
    </row>
    <row r="706" spans="1:83" ht="12.6" customHeight="1" x14ac:dyDescent="0.2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6" t="s">
        <v>728</v>
      </c>
    </row>
    <row r="707" spans="1:83" ht="12.6" customHeight="1" x14ac:dyDescent="0.2">
      <c r="A707" s="194">
        <v>7380</v>
      </c>
      <c r="B707" s="196" t="s">
        <v>729</v>
      </c>
      <c r="C707" s="180">
        <f>AP71</f>
        <v>51592031.570000008</v>
      </c>
      <c r="D707" s="180">
        <f>(D615/D612)*AP76</f>
        <v>2068710.6137587891</v>
      </c>
      <c r="E707" s="180">
        <f>(E623/E612)*SUM(C707:D707)</f>
        <v>7351294.2285492467</v>
      </c>
      <c r="F707" s="180">
        <f>(F624/F612)*AP64</f>
        <v>1774324.1872143708</v>
      </c>
      <c r="G707" s="180">
        <f>(G625/G612)*AP77</f>
        <v>0</v>
      </c>
      <c r="H707" s="180">
        <f>(H628/H612)*AP60</f>
        <v>15567.888254970192</v>
      </c>
      <c r="I707" s="180">
        <f>(I629/I612)*AP78</f>
        <v>999777.30901461688</v>
      </c>
      <c r="J707" s="180">
        <f>(J630/J612)*AP79</f>
        <v>0</v>
      </c>
      <c r="K707" s="180">
        <f>(K644/K612)*AP75</f>
        <v>3895720.1148241777</v>
      </c>
      <c r="L707" s="180">
        <f>(L647/L612)*AP80</f>
        <v>733851.41629219009</v>
      </c>
      <c r="M707" s="180">
        <f t="shared" si="20"/>
        <v>16839246</v>
      </c>
      <c r="N707" s="196" t="s">
        <v>730</v>
      </c>
    </row>
    <row r="708" spans="1:83" ht="12.6" customHeight="1" x14ac:dyDescent="0.2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6" t="s">
        <v>732</v>
      </c>
    </row>
    <row r="709" spans="1:83" ht="12.6" customHeight="1" x14ac:dyDescent="0.2">
      <c r="A709" s="194">
        <v>7400</v>
      </c>
      <c r="B709" s="196" t="s">
        <v>733</v>
      </c>
      <c r="C709" s="180">
        <f>AR71</f>
        <v>129810.49500000002</v>
      </c>
      <c r="D709" s="180">
        <f>(D615/D612)*AR76</f>
        <v>0</v>
      </c>
      <c r="E709" s="180">
        <f>(E623/E612)*SUM(C709:D709)</f>
        <v>17783.487590066285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17783</v>
      </c>
      <c r="N709" s="196" t="s">
        <v>734</v>
      </c>
    </row>
    <row r="710" spans="1:83" ht="12.6" customHeight="1" x14ac:dyDescent="0.2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6" t="s">
        <v>735</v>
      </c>
    </row>
    <row r="711" spans="1:83" ht="12.6" customHeight="1" x14ac:dyDescent="0.2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6" t="s">
        <v>737</v>
      </c>
    </row>
    <row r="712" spans="1:83" ht="12.6" customHeight="1" x14ac:dyDescent="0.2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6" t="s">
        <v>739</v>
      </c>
    </row>
    <row r="713" spans="1:83" ht="12.6" customHeight="1" x14ac:dyDescent="0.2">
      <c r="A713" s="194">
        <v>7490</v>
      </c>
      <c r="B713" s="196" t="s">
        <v>740</v>
      </c>
      <c r="C713" s="180">
        <f>AV71</f>
        <v>4868557.3</v>
      </c>
      <c r="D713" s="180">
        <f>(D615/D612)*AV76</f>
        <v>103285.60522752714</v>
      </c>
      <c r="E713" s="180">
        <f>(E623/E612)*SUM(C713:D713)</f>
        <v>681121.40397332911</v>
      </c>
      <c r="F713" s="180">
        <f>(F624/F612)*AV64</f>
        <v>41762.80260624006</v>
      </c>
      <c r="G713" s="180">
        <f>(G625/G612)*AV77</f>
        <v>0</v>
      </c>
      <c r="H713" s="180">
        <f>(H628/H612)*AV60</f>
        <v>4074.0485311701632</v>
      </c>
      <c r="I713" s="180">
        <f>(I629/I612)*AV78</f>
        <v>49916.408688355834</v>
      </c>
      <c r="J713" s="180">
        <f>(J630/J612)*AV79</f>
        <v>2137.4380806052727</v>
      </c>
      <c r="K713" s="180">
        <f>(K644/K612)*AV75</f>
        <v>41964.919184959712</v>
      </c>
      <c r="L713" s="180">
        <f>(L647/L612)*AV80</f>
        <v>296421.90231113893</v>
      </c>
      <c r="M713" s="180">
        <f t="shared" si="20"/>
        <v>1220685</v>
      </c>
      <c r="N713" s="197" t="s">
        <v>741</v>
      </c>
    </row>
    <row r="715" spans="1:83" ht="12.6" customHeight="1" x14ac:dyDescent="0.2">
      <c r="C715" s="180">
        <f>SUM(C614:C647)+SUM(C668:C713)</f>
        <v>622113851.12197173</v>
      </c>
      <c r="D715" s="180">
        <f>SUM(D616:D647)+SUM(D668:D713)</f>
        <v>16163659.441999996</v>
      </c>
      <c r="E715" s="180">
        <f>SUM(E624:E647)+SUM(E668:E713)</f>
        <v>74958028.483883053</v>
      </c>
      <c r="F715" s="180">
        <f>SUM(F625:F648)+SUM(F668:F713)</f>
        <v>5012114.2683272613</v>
      </c>
      <c r="G715" s="180">
        <f>SUM(G626:G647)+SUM(G668:G713)</f>
        <v>8621281.8283781447</v>
      </c>
      <c r="H715" s="180">
        <f>SUM(H629:H647)+SUM(H668:H713)</f>
        <v>326454.53205075051</v>
      </c>
      <c r="I715" s="180">
        <f>SUM(I630:I647)+SUM(I668:I713)</f>
        <v>6340180.318995961</v>
      </c>
      <c r="J715" s="180">
        <f>SUM(J631:J647)+SUM(J668:J713)</f>
        <v>559037.36129398702</v>
      </c>
      <c r="K715" s="180">
        <f>SUM(K668:K713)</f>
        <v>27720153.345659435</v>
      </c>
      <c r="L715" s="180">
        <f>SUM(L668:L713)</f>
        <v>12514903.806879522</v>
      </c>
      <c r="M715" s="180">
        <f>SUM(M668:M713)</f>
        <v>140581042</v>
      </c>
      <c r="N715" s="196" t="s">
        <v>742</v>
      </c>
    </row>
    <row r="716" spans="1:83" ht="12.6" customHeight="1" x14ac:dyDescent="0.2">
      <c r="C716" s="180">
        <f>CE71</f>
        <v>622113851.12197161</v>
      </c>
      <c r="D716" s="180">
        <f>D615</f>
        <v>16163659.441999998</v>
      </c>
      <c r="E716" s="180">
        <f>E623</f>
        <v>74958028.483883053</v>
      </c>
      <c r="F716" s="180">
        <f>F624</f>
        <v>5012114.2683272604</v>
      </c>
      <c r="G716" s="180">
        <f>G625</f>
        <v>8621281.8283781465</v>
      </c>
      <c r="H716" s="180">
        <f>H628</f>
        <v>326454.53205075051</v>
      </c>
      <c r="I716" s="180">
        <f>I629</f>
        <v>6340180.3189959619</v>
      </c>
      <c r="J716" s="180">
        <f>J630</f>
        <v>559037.36129398702</v>
      </c>
      <c r="K716" s="180">
        <f>K644</f>
        <v>27720153.345659424</v>
      </c>
      <c r="L716" s="180">
        <f>L647</f>
        <v>12514903.806879519</v>
      </c>
      <c r="M716" s="180">
        <f>C648</f>
        <v>140581044.06647781</v>
      </c>
      <c r="N716" s="196" t="s">
        <v>743</v>
      </c>
    </row>
    <row r="717" spans="1:83" ht="12.6" customHeight="1" x14ac:dyDescent="0.2">
      <c r="O717" s="196"/>
    </row>
    <row r="718" spans="1:83" ht="12.6" customHeight="1" x14ac:dyDescent="0.2">
      <c r="O718" s="196"/>
    </row>
    <row r="719" spans="1:83" ht="12.6" customHeight="1" x14ac:dyDescent="0.2">
      <c r="O719" s="196"/>
    </row>
    <row r="720" spans="1:83" s="199" customFormat="1" ht="12.6" customHeight="1" x14ac:dyDescent="0.2">
      <c r="A720" s="199" t="s">
        <v>744</v>
      </c>
      <c r="B720" s="270"/>
      <c r="C720" s="270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  <c r="CA720" s="270"/>
      <c r="CB720" s="270"/>
      <c r="CC720" s="270"/>
      <c r="CD720" s="270"/>
      <c r="CE720" s="270"/>
    </row>
    <row r="721" spans="1:84" s="201" customFormat="1" ht="12.6" customHeight="1" x14ac:dyDescent="0.2">
      <c r="A721" s="201" t="s">
        <v>745</v>
      </c>
      <c r="B721" s="201" t="s">
        <v>746</v>
      </c>
      <c r="C721" s="201" t="s">
        <v>747</v>
      </c>
      <c r="D721" s="201" t="s">
        <v>748</v>
      </c>
      <c r="E721" s="201" t="s">
        <v>749</v>
      </c>
      <c r="F721" s="201" t="s">
        <v>750</v>
      </c>
      <c r="G721" s="201" t="s">
        <v>751</v>
      </c>
      <c r="H721" s="201" t="s">
        <v>752</v>
      </c>
      <c r="I721" s="201" t="s">
        <v>753</v>
      </c>
      <c r="J721" s="201" t="s">
        <v>754</v>
      </c>
      <c r="K721" s="201" t="s">
        <v>755</v>
      </c>
      <c r="L721" s="201" t="s">
        <v>756</v>
      </c>
      <c r="M721" s="201" t="s">
        <v>757</v>
      </c>
      <c r="N721" s="201" t="s">
        <v>758</v>
      </c>
      <c r="O721" s="201" t="s">
        <v>759</v>
      </c>
      <c r="P721" s="201" t="s">
        <v>760</v>
      </c>
      <c r="Q721" s="201" t="s">
        <v>761</v>
      </c>
      <c r="R721" s="201" t="s">
        <v>762</v>
      </c>
      <c r="S721" s="201" t="s">
        <v>763</v>
      </c>
      <c r="T721" s="201" t="s">
        <v>764</v>
      </c>
      <c r="U721" s="201" t="s">
        <v>765</v>
      </c>
      <c r="V721" s="201" t="s">
        <v>766</v>
      </c>
      <c r="W721" s="201" t="s">
        <v>767</v>
      </c>
      <c r="X721" s="201" t="s">
        <v>768</v>
      </c>
      <c r="Y721" s="201" t="s">
        <v>769</v>
      </c>
      <c r="Z721" s="201" t="s">
        <v>770</v>
      </c>
      <c r="AA721" s="201" t="s">
        <v>771</v>
      </c>
      <c r="AB721" s="201" t="s">
        <v>772</v>
      </c>
      <c r="AC721" s="201" t="s">
        <v>773</v>
      </c>
      <c r="AD721" s="201" t="s">
        <v>774</v>
      </c>
      <c r="AE721" s="201" t="s">
        <v>775</v>
      </c>
      <c r="AF721" s="201" t="s">
        <v>776</v>
      </c>
      <c r="AG721" s="201" t="s">
        <v>777</v>
      </c>
      <c r="AH721" s="201" t="s">
        <v>778</v>
      </c>
      <c r="AI721" s="201" t="s">
        <v>779</v>
      </c>
      <c r="AJ721" s="201" t="s">
        <v>780</v>
      </c>
      <c r="AK721" s="201" t="s">
        <v>781</v>
      </c>
      <c r="AL721" s="201" t="s">
        <v>782</v>
      </c>
      <c r="AM721" s="201" t="s">
        <v>783</v>
      </c>
      <c r="AN721" s="201" t="s">
        <v>784</v>
      </c>
      <c r="AO721" s="201" t="s">
        <v>785</v>
      </c>
      <c r="AP721" s="201" t="s">
        <v>786</v>
      </c>
      <c r="AQ721" s="201" t="s">
        <v>787</v>
      </c>
      <c r="AR721" s="201" t="s">
        <v>788</v>
      </c>
      <c r="AS721" s="201" t="s">
        <v>789</v>
      </c>
      <c r="AT721" s="201" t="s">
        <v>790</v>
      </c>
      <c r="AU721" s="201" t="s">
        <v>791</v>
      </c>
      <c r="AV721" s="201" t="s">
        <v>792</v>
      </c>
      <c r="AW721" s="201" t="s">
        <v>793</v>
      </c>
      <c r="AX721" s="201" t="s">
        <v>794</v>
      </c>
      <c r="AY721" s="201" t="s">
        <v>795</v>
      </c>
      <c r="AZ721" s="201" t="s">
        <v>796</v>
      </c>
      <c r="BA721" s="201" t="s">
        <v>797</v>
      </c>
      <c r="BB721" s="201" t="s">
        <v>798</v>
      </c>
      <c r="BC721" s="201" t="s">
        <v>799</v>
      </c>
      <c r="BD721" s="201" t="s">
        <v>800</v>
      </c>
      <c r="BE721" s="201" t="s">
        <v>801</v>
      </c>
      <c r="BF721" s="201" t="s">
        <v>802</v>
      </c>
      <c r="BG721" s="201" t="s">
        <v>803</v>
      </c>
      <c r="BH721" s="201" t="s">
        <v>804</v>
      </c>
      <c r="BI721" s="201" t="s">
        <v>805</v>
      </c>
      <c r="BJ721" s="201" t="s">
        <v>806</v>
      </c>
      <c r="BK721" s="201" t="s">
        <v>807</v>
      </c>
      <c r="BL721" s="201" t="s">
        <v>808</v>
      </c>
      <c r="BM721" s="201" t="s">
        <v>809</v>
      </c>
      <c r="BN721" s="201" t="s">
        <v>810</v>
      </c>
      <c r="BO721" s="201" t="s">
        <v>811</v>
      </c>
      <c r="BP721" s="201" t="s">
        <v>812</v>
      </c>
      <c r="BQ721" s="201" t="s">
        <v>813</v>
      </c>
      <c r="BR721" s="201" t="s">
        <v>814</v>
      </c>
      <c r="BS721" s="201" t="s">
        <v>815</v>
      </c>
      <c r="BT721" s="201" t="s">
        <v>816</v>
      </c>
      <c r="BU721" s="201" t="s">
        <v>817</v>
      </c>
      <c r="BV721" s="201" t="s">
        <v>818</v>
      </c>
      <c r="BW721" s="201" t="s">
        <v>819</v>
      </c>
      <c r="BX721" s="201" t="s">
        <v>820</v>
      </c>
      <c r="BY721" s="201" t="s">
        <v>821</v>
      </c>
      <c r="BZ721" s="201" t="s">
        <v>822</v>
      </c>
      <c r="CA721" s="201" t="s">
        <v>823</v>
      </c>
      <c r="CB721" s="201" t="s">
        <v>824</v>
      </c>
      <c r="CC721" s="201" t="s">
        <v>825</v>
      </c>
      <c r="CD721" s="201" t="s">
        <v>1256</v>
      </c>
    </row>
    <row r="722" spans="1:84" s="199" customFormat="1" ht="12.6" customHeight="1" x14ac:dyDescent="0.2">
      <c r="A722" s="200" t="str">
        <f>RIGHT(C83,3)&amp;"*"&amp;RIGHT(C82,4)&amp;"*"&amp;"A"</f>
        <v>142*2020*A</v>
      </c>
      <c r="B722" s="270">
        <f>ROUND(C165,0)</f>
        <v>12797251</v>
      </c>
      <c r="C722" s="270">
        <f>ROUND(C166,0)</f>
        <v>952685</v>
      </c>
      <c r="D722" s="270">
        <f>ROUND(C167,0)</f>
        <v>1854237</v>
      </c>
      <c r="E722" s="270">
        <f>ROUND(C168,0)</f>
        <v>21625856</v>
      </c>
      <c r="F722" s="270">
        <f>ROUND(C169,0)</f>
        <v>335915</v>
      </c>
      <c r="G722" s="270">
        <f>ROUND(C170,0)</f>
        <v>9339683</v>
      </c>
      <c r="H722" s="270">
        <f>ROUND(C171+C172,0)</f>
        <v>788644</v>
      </c>
      <c r="I722" s="270">
        <f>ROUND(C175,0)</f>
        <v>12588960</v>
      </c>
      <c r="J722" s="270">
        <f>ROUND(C176,0)</f>
        <v>2585731</v>
      </c>
      <c r="K722" s="270">
        <f>ROUND(C179,0)</f>
        <v>4814550</v>
      </c>
      <c r="L722" s="270">
        <f>ROUND(C180,0)</f>
        <v>680828</v>
      </c>
      <c r="M722" s="270">
        <f>ROUND(C183,0)</f>
        <v>0</v>
      </c>
      <c r="N722" s="270">
        <f>ROUND(C184,0)</f>
        <v>15141138</v>
      </c>
      <c r="O722" s="270">
        <f>ROUND(C185,0)</f>
        <v>0</v>
      </c>
      <c r="P722" s="270">
        <f>ROUND(C188,0)</f>
        <v>0</v>
      </c>
      <c r="Q722" s="270">
        <f>ROUND(C189,0)</f>
        <v>-10715891</v>
      </c>
      <c r="R722" s="270">
        <f>ROUND(B195,0)</f>
        <v>10245719</v>
      </c>
      <c r="S722" s="270">
        <f>ROUND(C195,0)</f>
        <v>-1800000</v>
      </c>
      <c r="T722" s="270">
        <f>ROUND(D195,0)</f>
        <v>1750000</v>
      </c>
      <c r="U722" s="270">
        <f>ROUND(B196,0)</f>
        <v>2319119</v>
      </c>
      <c r="V722" s="270">
        <f>ROUND(C196,0)</f>
        <v>0</v>
      </c>
      <c r="W722" s="270">
        <f>ROUND(D196,0)</f>
        <v>165970</v>
      </c>
      <c r="X722" s="270">
        <f>ROUND(B197,0)</f>
        <v>99727204</v>
      </c>
      <c r="Y722" s="270">
        <f>ROUND(C197,0)</f>
        <v>0</v>
      </c>
      <c r="Z722" s="270">
        <f>ROUND(D197,0)</f>
        <v>0</v>
      </c>
      <c r="AA722" s="270">
        <f>ROUND(B198,0)</f>
        <v>15429086</v>
      </c>
      <c r="AB722" s="270">
        <f>ROUND(C198,0)</f>
        <v>-109905</v>
      </c>
      <c r="AC722" s="270">
        <f>ROUND(D198,0)</f>
        <v>7102773</v>
      </c>
      <c r="AD722" s="270">
        <f>ROUND(B199,0)</f>
        <v>5283866</v>
      </c>
      <c r="AE722" s="270">
        <f>ROUND(C199,0)</f>
        <v>-211682</v>
      </c>
      <c r="AF722" s="270">
        <f>ROUND(D199,0)</f>
        <v>289335</v>
      </c>
      <c r="AG722" s="270">
        <f>ROUND(B200,0)</f>
        <v>157648655</v>
      </c>
      <c r="AH722" s="270">
        <f>ROUND(C200,0)</f>
        <v>-4300413</v>
      </c>
      <c r="AI722" s="270">
        <f>ROUND(D200,0)</f>
        <v>1648864</v>
      </c>
      <c r="AJ722" s="270">
        <f>ROUND(B201,0)</f>
        <v>0</v>
      </c>
      <c r="AK722" s="270">
        <f>ROUND(C201,0)</f>
        <v>0</v>
      </c>
      <c r="AL722" s="270">
        <f>ROUND(D201,0)</f>
        <v>0</v>
      </c>
      <c r="AM722" s="270">
        <f>ROUND(B202,0)</f>
        <v>33510769</v>
      </c>
      <c r="AN722" s="270">
        <f>ROUND(C202,0)</f>
        <v>-1146556</v>
      </c>
      <c r="AO722" s="270">
        <f>ROUND(D202,0)</f>
        <v>-1639881</v>
      </c>
      <c r="AP722" s="270">
        <f>ROUND(B203,0)</f>
        <v>279920957</v>
      </c>
      <c r="AQ722" s="270">
        <f>ROUND(C203,0)</f>
        <v>150839625</v>
      </c>
      <c r="AR722" s="270">
        <f>ROUND(D203,0)</f>
        <v>0</v>
      </c>
      <c r="AS722" s="270"/>
      <c r="AT722" s="270"/>
      <c r="AU722" s="270"/>
      <c r="AV722" s="270">
        <f>ROUND(B209,0)</f>
        <v>578966</v>
      </c>
      <c r="AW722" s="270">
        <f>ROUND(C209,0)</f>
        <v>117443</v>
      </c>
      <c r="AX722" s="270">
        <f>ROUND(D209,0)</f>
        <v>43011</v>
      </c>
      <c r="AY722" s="270">
        <f>ROUND(B210,0)</f>
        <v>51716521</v>
      </c>
      <c r="AZ722" s="270">
        <f>ROUND(C210,0)</f>
        <v>13704496</v>
      </c>
      <c r="BA722" s="270">
        <f>ROUND(D210,0)</f>
        <v>0</v>
      </c>
      <c r="BB722" s="270">
        <f>ROUND(B211,0)</f>
        <v>4708223</v>
      </c>
      <c r="BC722" s="270">
        <f>ROUND(C211,0)</f>
        <v>2742379</v>
      </c>
      <c r="BD722" s="270">
        <f>ROUND(D211,0)</f>
        <v>1372943</v>
      </c>
      <c r="BE722" s="270">
        <f>ROUND(B212,0)</f>
        <v>3510153</v>
      </c>
      <c r="BF722" s="270">
        <f>ROUND(C212,0)</f>
        <v>476014</v>
      </c>
      <c r="BG722" s="270">
        <f>ROUND(D212,0)</f>
        <v>220644</v>
      </c>
      <c r="BH722" s="270">
        <f>ROUND(B213,0)</f>
        <v>113558304</v>
      </c>
      <c r="BI722" s="270">
        <f>ROUND(C213,0)</f>
        <v>18362672</v>
      </c>
      <c r="BJ722" s="270">
        <f>ROUND(D213,0)</f>
        <v>5554540</v>
      </c>
      <c r="BK722" s="270">
        <f>ROUND(B214,0)</f>
        <v>0</v>
      </c>
      <c r="BL722" s="270">
        <f>ROUND(C214,0)</f>
        <v>0</v>
      </c>
      <c r="BM722" s="270">
        <f>ROUND(D214,0)</f>
        <v>0</v>
      </c>
      <c r="BN722" s="270">
        <f>ROUND(B215,0)</f>
        <v>20041671</v>
      </c>
      <c r="BO722" s="270">
        <f>ROUND(C215,0)</f>
        <v>2786873</v>
      </c>
      <c r="BP722" s="270">
        <f>ROUND(D215,0)</f>
        <v>2254305</v>
      </c>
      <c r="BQ722" s="270">
        <f>ROUND(B216,0)</f>
        <v>0</v>
      </c>
      <c r="BR722" s="270">
        <f>ROUND(C216,0)</f>
        <v>0</v>
      </c>
      <c r="BS722" s="270">
        <f>ROUND(D216,0)</f>
        <v>0</v>
      </c>
      <c r="BT722" s="270">
        <f>ROUND(C223,0)</f>
        <v>1227684165</v>
      </c>
      <c r="BU722" s="270">
        <f>ROUND(C224,0)</f>
        <v>352878761</v>
      </c>
      <c r="BV722" s="270">
        <f>ROUND(C225,0)</f>
        <v>0</v>
      </c>
      <c r="BW722" s="270">
        <f>ROUND(C226,0)</f>
        <v>0</v>
      </c>
      <c r="BX722" s="270">
        <f>ROUND(C227,0)</f>
        <v>0</v>
      </c>
      <c r="BY722" s="270">
        <f>ROUND(C228,0)</f>
        <v>502986823</v>
      </c>
      <c r="BZ722" s="270">
        <f>ROUND(C231,0)</f>
        <v>16200</v>
      </c>
      <c r="CA722" s="270">
        <f>ROUND(C233,0)</f>
        <v>11326985</v>
      </c>
      <c r="CB722" s="270">
        <f>ROUND(C234,0)</f>
        <v>15043451</v>
      </c>
      <c r="CC722" s="270">
        <f>ROUND(C238+C239,0)</f>
        <v>13003088</v>
      </c>
      <c r="CD722" s="270">
        <f>D221</f>
        <v>7170734.9900000002</v>
      </c>
      <c r="CE722" s="270"/>
    </row>
    <row r="723" spans="1:84" ht="12.6" customHeight="1" x14ac:dyDescent="0.2">
      <c r="B723" s="271"/>
      <c r="C723" s="271"/>
      <c r="D723" s="271"/>
      <c r="E723" s="271"/>
      <c r="F723" s="271"/>
      <c r="G723" s="27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  <c r="CA723" s="271"/>
      <c r="CB723" s="271"/>
      <c r="CC723" s="271"/>
      <c r="CD723" s="271"/>
      <c r="CE723" s="271"/>
    </row>
    <row r="724" spans="1:84" s="199" customFormat="1" ht="12.6" customHeight="1" x14ac:dyDescent="0.2">
      <c r="A724" s="199" t="s">
        <v>148</v>
      </c>
      <c r="B724" s="270"/>
      <c r="C724" s="270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  <c r="CA724" s="270"/>
      <c r="CB724" s="270"/>
      <c r="CC724" s="270"/>
      <c r="CD724" s="270"/>
      <c r="CE724" s="270"/>
    </row>
    <row r="725" spans="1:84" s="201" customFormat="1" ht="12.6" customHeight="1" x14ac:dyDescent="0.2">
      <c r="A725" s="201" t="s">
        <v>745</v>
      </c>
      <c r="B725" s="201" t="s">
        <v>826</v>
      </c>
      <c r="C725" s="201" t="s">
        <v>827</v>
      </c>
      <c r="D725" s="201" t="s">
        <v>828</v>
      </c>
      <c r="E725" s="201" t="s">
        <v>829</v>
      </c>
      <c r="F725" s="201" t="s">
        <v>830</v>
      </c>
      <c r="G725" s="201" t="s">
        <v>831</v>
      </c>
      <c r="H725" s="201" t="s">
        <v>832</v>
      </c>
      <c r="I725" s="201" t="s">
        <v>833</v>
      </c>
      <c r="J725" s="201" t="s">
        <v>834</v>
      </c>
      <c r="K725" s="201" t="s">
        <v>835</v>
      </c>
      <c r="L725" s="201" t="s">
        <v>836</v>
      </c>
      <c r="M725" s="201" t="s">
        <v>837</v>
      </c>
      <c r="N725" s="201" t="s">
        <v>838</v>
      </c>
      <c r="O725" s="201" t="s">
        <v>839</v>
      </c>
      <c r="P725" s="201" t="s">
        <v>840</v>
      </c>
      <c r="Q725" s="201" t="s">
        <v>841</v>
      </c>
      <c r="R725" s="201" t="s">
        <v>842</v>
      </c>
      <c r="S725" s="201" t="s">
        <v>843</v>
      </c>
      <c r="T725" s="201" t="s">
        <v>844</v>
      </c>
      <c r="U725" s="201" t="s">
        <v>845</v>
      </c>
      <c r="V725" s="201" t="s">
        <v>846</v>
      </c>
      <c r="W725" s="201" t="s">
        <v>847</v>
      </c>
      <c r="X725" s="201" t="s">
        <v>848</v>
      </c>
      <c r="Y725" s="201" t="s">
        <v>849</v>
      </c>
      <c r="Z725" s="201" t="s">
        <v>850</v>
      </c>
      <c r="AA725" s="201" t="s">
        <v>851</v>
      </c>
      <c r="AB725" s="201" t="s">
        <v>852</v>
      </c>
      <c r="AC725" s="201" t="s">
        <v>853</v>
      </c>
      <c r="AD725" s="201" t="s">
        <v>854</v>
      </c>
      <c r="AE725" s="201" t="s">
        <v>855</v>
      </c>
      <c r="AF725" s="201" t="s">
        <v>856</v>
      </c>
      <c r="AG725" s="201" t="s">
        <v>857</v>
      </c>
      <c r="AH725" s="201" t="s">
        <v>858</v>
      </c>
      <c r="AI725" s="201" t="s">
        <v>859</v>
      </c>
      <c r="AJ725" s="201" t="s">
        <v>860</v>
      </c>
      <c r="AK725" s="201" t="s">
        <v>861</v>
      </c>
      <c r="AL725" s="201" t="s">
        <v>862</v>
      </c>
      <c r="AM725" s="201" t="s">
        <v>863</v>
      </c>
      <c r="AN725" s="201" t="s">
        <v>864</v>
      </c>
      <c r="AO725" s="201" t="s">
        <v>865</v>
      </c>
      <c r="AP725" s="201" t="s">
        <v>866</v>
      </c>
      <c r="AQ725" s="201" t="s">
        <v>867</v>
      </c>
      <c r="AR725" s="201" t="s">
        <v>868</v>
      </c>
      <c r="AS725" s="201" t="s">
        <v>869</v>
      </c>
      <c r="AT725" s="201" t="s">
        <v>870</v>
      </c>
      <c r="AU725" s="201" t="s">
        <v>871</v>
      </c>
      <c r="AV725" s="201" t="s">
        <v>872</v>
      </c>
      <c r="AW725" s="201" t="s">
        <v>873</v>
      </c>
      <c r="AX725" s="201" t="s">
        <v>874</v>
      </c>
      <c r="AY725" s="201" t="s">
        <v>875</v>
      </c>
      <c r="AZ725" s="201" t="s">
        <v>876</v>
      </c>
      <c r="BA725" s="201" t="s">
        <v>877</v>
      </c>
      <c r="BB725" s="201" t="s">
        <v>878</v>
      </c>
      <c r="BC725" s="201" t="s">
        <v>879</v>
      </c>
      <c r="BD725" s="201" t="s">
        <v>880</v>
      </c>
      <c r="BE725" s="201" t="s">
        <v>881</v>
      </c>
      <c r="BF725" s="201" t="s">
        <v>882</v>
      </c>
      <c r="BG725" s="201" t="s">
        <v>883</v>
      </c>
      <c r="BH725" s="201" t="s">
        <v>884</v>
      </c>
      <c r="BI725" s="201" t="s">
        <v>885</v>
      </c>
      <c r="BJ725" s="201" t="s">
        <v>886</v>
      </c>
      <c r="BK725" s="201" t="s">
        <v>887</v>
      </c>
      <c r="BL725" s="201" t="s">
        <v>888</v>
      </c>
      <c r="BM725" s="201" t="s">
        <v>889</v>
      </c>
      <c r="BN725" s="201" t="s">
        <v>890</v>
      </c>
      <c r="BO725" s="201" t="s">
        <v>891</v>
      </c>
      <c r="BP725" s="201" t="s">
        <v>892</v>
      </c>
      <c r="BQ725" s="201" t="s">
        <v>893</v>
      </c>
      <c r="BR725" s="201" t="s">
        <v>894</v>
      </c>
    </row>
    <row r="726" spans="1:84" s="199" customFormat="1" ht="12.6" customHeight="1" x14ac:dyDescent="0.2">
      <c r="A726" s="200" t="str">
        <f>RIGHT(C83,3)&amp;"*"&amp;RIGHT(C82,4)&amp;"*"&amp;"A"</f>
        <v>142*2020*A</v>
      </c>
      <c r="B726" s="270">
        <f>ROUND(C111,0)</f>
        <v>12581</v>
      </c>
      <c r="C726" s="270">
        <f>ROUND(C112,0)</f>
        <v>0</v>
      </c>
      <c r="D726" s="270">
        <f>ROUND(C113,0)</f>
        <v>0</v>
      </c>
      <c r="E726" s="270">
        <f>ROUND(C114,0)</f>
        <v>1753</v>
      </c>
      <c r="F726" s="270">
        <f>ROUND(D111,0)</f>
        <v>61948</v>
      </c>
      <c r="G726" s="270">
        <f>ROUND(D112,0)</f>
        <v>0</v>
      </c>
      <c r="H726" s="270">
        <f>ROUND(D113,0)</f>
        <v>0</v>
      </c>
      <c r="I726" s="270">
        <f>ROUND(D114,0)</f>
        <v>2689</v>
      </c>
      <c r="J726" s="270">
        <f>ROUND(C116,0)</f>
        <v>20</v>
      </c>
      <c r="K726" s="270">
        <f>ROUND(C117,0)</f>
        <v>56</v>
      </c>
      <c r="L726" s="270">
        <f>ROUND(C118,0)</f>
        <v>192</v>
      </c>
      <c r="M726" s="270">
        <f>ROUND(C119,0)</f>
        <v>0</v>
      </c>
      <c r="N726" s="270">
        <f>ROUND(C120,0)</f>
        <v>20</v>
      </c>
      <c r="O726" s="270">
        <f>ROUND(C121,0)</f>
        <v>0</v>
      </c>
      <c r="P726" s="270">
        <f>ROUND(C122,0)</f>
        <v>0</v>
      </c>
      <c r="Q726" s="270">
        <f>ROUND(C123,0)</f>
        <v>0</v>
      </c>
      <c r="R726" s="270">
        <f>ROUND(C124,0)</f>
        <v>0</v>
      </c>
      <c r="S726" s="270">
        <f>ROUND(C125,0)</f>
        <v>0</v>
      </c>
      <c r="T726" s="270"/>
      <c r="U726" s="270">
        <f>ROUND(C126,0)</f>
        <v>10</v>
      </c>
      <c r="V726" s="270">
        <f>ROUND(C128,0)</f>
        <v>336</v>
      </c>
      <c r="W726" s="270">
        <f>ROUND(C129,0)</f>
        <v>22</v>
      </c>
      <c r="X726" s="270">
        <f>ROUND(B138,0)</f>
        <v>6842</v>
      </c>
      <c r="Y726" s="270">
        <f>ROUND(B139,0)</f>
        <v>38266</v>
      </c>
      <c r="Z726" s="270">
        <f>ROUND(B140,0)</f>
        <v>0</v>
      </c>
      <c r="AA726" s="270">
        <f>ROUND(B141,0)</f>
        <v>680192669</v>
      </c>
      <c r="AB726" s="270">
        <f>ROUND(B142,0)</f>
        <v>794344595</v>
      </c>
      <c r="AC726" s="270">
        <f>ROUND(C138,0)</f>
        <v>2187</v>
      </c>
      <c r="AD726" s="270">
        <f>ROUND(C139,0)</f>
        <v>10452</v>
      </c>
      <c r="AE726" s="270">
        <f>ROUND(C140,0)</f>
        <v>0</v>
      </c>
      <c r="AF726" s="270">
        <f>ROUND(C141,0)</f>
        <v>159425934</v>
      </c>
      <c r="AG726" s="270">
        <f>ROUND(C142,0)</f>
        <v>250201509</v>
      </c>
      <c r="AH726" s="270">
        <f>ROUND(D138,0)</f>
        <v>3552</v>
      </c>
      <c r="AI726" s="270">
        <f>ROUND(D139,0)</f>
        <v>13230</v>
      </c>
      <c r="AJ726" s="270">
        <f>ROUND(D140,0)</f>
        <v>0</v>
      </c>
      <c r="AK726" s="270">
        <f>ROUND(D141,0)</f>
        <v>262574981</v>
      </c>
      <c r="AL726" s="270">
        <f>ROUND(D142,0)</f>
        <v>657822587</v>
      </c>
      <c r="AM726" s="270">
        <f>ROUND(B144,0)</f>
        <v>0</v>
      </c>
      <c r="AN726" s="270">
        <f>ROUND(B145,0)</f>
        <v>0</v>
      </c>
      <c r="AO726" s="270">
        <f>ROUND(B146,0)</f>
        <v>0</v>
      </c>
      <c r="AP726" s="270">
        <f>ROUND(B147,0)</f>
        <v>0</v>
      </c>
      <c r="AQ726" s="270">
        <f>ROUND(B148,0)</f>
        <v>0</v>
      </c>
      <c r="AR726" s="270">
        <f>ROUND(C144,0)</f>
        <v>0</v>
      </c>
      <c r="AS726" s="270">
        <f>ROUND(C145,0)</f>
        <v>0</v>
      </c>
      <c r="AT726" s="270">
        <f>ROUND(C146,0)</f>
        <v>0</v>
      </c>
      <c r="AU726" s="270">
        <f>ROUND(C147,0)</f>
        <v>0</v>
      </c>
      <c r="AV726" s="270">
        <f>ROUND(C148,0)</f>
        <v>0</v>
      </c>
      <c r="AW726" s="270">
        <f>ROUND(D144,0)</f>
        <v>0</v>
      </c>
      <c r="AX726" s="270">
        <f>ROUND(D145,0)</f>
        <v>0</v>
      </c>
      <c r="AY726" s="270">
        <f>ROUND(D146,0)</f>
        <v>0</v>
      </c>
      <c r="AZ726" s="270">
        <f>ROUND(D147,0)</f>
        <v>0</v>
      </c>
      <c r="BA726" s="270">
        <f>ROUND(D148,0)</f>
        <v>0</v>
      </c>
      <c r="BB726" s="270">
        <f>ROUND(B150,0)</f>
        <v>0</v>
      </c>
      <c r="BC726" s="270">
        <f>ROUND(B151,0)</f>
        <v>0</v>
      </c>
      <c r="BD726" s="270">
        <f>ROUND(B152,0)</f>
        <v>0</v>
      </c>
      <c r="BE726" s="270">
        <f>ROUND(B153,0)</f>
        <v>0</v>
      </c>
      <c r="BF726" s="270">
        <f>ROUND(B154,0)</f>
        <v>0</v>
      </c>
      <c r="BG726" s="270">
        <f>ROUND(C150,0)</f>
        <v>0</v>
      </c>
      <c r="BH726" s="270">
        <f>ROUND(C151,0)</f>
        <v>0</v>
      </c>
      <c r="BI726" s="270">
        <f>ROUND(C152,0)</f>
        <v>0</v>
      </c>
      <c r="BJ726" s="270">
        <f>ROUND(C153,0)</f>
        <v>0</v>
      </c>
      <c r="BK726" s="270">
        <f>ROUND(C154,0)</f>
        <v>0</v>
      </c>
      <c r="BL726" s="270">
        <f>ROUND(D150,0)</f>
        <v>0</v>
      </c>
      <c r="BM726" s="270">
        <f>ROUND(D151,0)</f>
        <v>0</v>
      </c>
      <c r="BN726" s="270">
        <f>ROUND(D152,0)</f>
        <v>0</v>
      </c>
      <c r="BO726" s="270">
        <f>ROUND(D153,0)</f>
        <v>0</v>
      </c>
      <c r="BP726" s="270">
        <f>ROUND(D154,0)</f>
        <v>0</v>
      </c>
      <c r="BQ726" s="270">
        <f>ROUND(B157,0)</f>
        <v>4245764</v>
      </c>
      <c r="BR726" s="270">
        <f>ROUND(C157,0)</f>
        <v>2932314</v>
      </c>
      <c r="BS726" s="270"/>
      <c r="BT726" s="270"/>
      <c r="BU726" s="270"/>
      <c r="BV726" s="270"/>
      <c r="BW726" s="270"/>
      <c r="BX726" s="270"/>
      <c r="BY726" s="270"/>
      <c r="BZ726" s="270"/>
      <c r="CA726" s="270"/>
      <c r="CB726" s="270"/>
      <c r="CC726" s="270"/>
      <c r="CD726" s="270"/>
      <c r="CE726" s="270"/>
    </row>
    <row r="727" spans="1:84" ht="12.6" customHeight="1" x14ac:dyDescent="0.2">
      <c r="B727" s="271"/>
      <c r="C727" s="271"/>
      <c r="D727" s="271"/>
      <c r="E727" s="271"/>
      <c r="F727" s="271"/>
      <c r="G727" s="27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</row>
    <row r="728" spans="1:84" s="199" customFormat="1" ht="12.6" customHeight="1" x14ac:dyDescent="0.2">
      <c r="A728" s="199" t="s">
        <v>895</v>
      </c>
      <c r="B728" s="270"/>
      <c r="C728" s="270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  <c r="CA728" s="270"/>
      <c r="CB728" s="270"/>
      <c r="CC728" s="270"/>
      <c r="CD728" s="270"/>
      <c r="CE728" s="270"/>
    </row>
    <row r="729" spans="1:84" s="201" customFormat="1" ht="12.6" customHeight="1" x14ac:dyDescent="0.2">
      <c r="A729" s="201" t="s">
        <v>745</v>
      </c>
      <c r="B729" s="201" t="s">
        <v>896</v>
      </c>
      <c r="C729" s="201" t="s">
        <v>897</v>
      </c>
      <c r="D729" s="201" t="s">
        <v>898</v>
      </c>
      <c r="E729" s="201" t="s">
        <v>899</v>
      </c>
      <c r="F729" s="201" t="s">
        <v>900</v>
      </c>
      <c r="G729" s="201" t="s">
        <v>901</v>
      </c>
      <c r="H729" s="201" t="s">
        <v>902</v>
      </c>
      <c r="I729" s="201" t="s">
        <v>903</v>
      </c>
      <c r="J729" s="201" t="s">
        <v>904</v>
      </c>
      <c r="K729" s="201" t="s">
        <v>905</v>
      </c>
      <c r="L729" s="201" t="s">
        <v>906</v>
      </c>
      <c r="M729" s="201" t="s">
        <v>907</v>
      </c>
      <c r="N729" s="201" t="s">
        <v>908</v>
      </c>
      <c r="O729" s="201" t="s">
        <v>909</v>
      </c>
      <c r="P729" s="201" t="s">
        <v>910</v>
      </c>
      <c r="Q729" s="201" t="s">
        <v>911</v>
      </c>
      <c r="R729" s="201" t="s">
        <v>912</v>
      </c>
      <c r="S729" s="201" t="s">
        <v>913</v>
      </c>
      <c r="T729" s="201" t="s">
        <v>914</v>
      </c>
      <c r="U729" s="201" t="s">
        <v>915</v>
      </c>
      <c r="V729" s="201" t="s">
        <v>916</v>
      </c>
      <c r="W729" s="201" t="s">
        <v>917</v>
      </c>
      <c r="X729" s="201" t="s">
        <v>918</v>
      </c>
      <c r="Y729" s="201" t="s">
        <v>919</v>
      </c>
      <c r="Z729" s="201" t="s">
        <v>920</v>
      </c>
      <c r="AA729" s="201" t="s">
        <v>921</v>
      </c>
      <c r="AB729" s="201" t="s">
        <v>922</v>
      </c>
      <c r="AC729" s="201" t="s">
        <v>923</v>
      </c>
      <c r="AD729" s="201" t="s">
        <v>924</v>
      </c>
      <c r="AE729" s="201" t="s">
        <v>925</v>
      </c>
      <c r="AF729" s="201" t="s">
        <v>926</v>
      </c>
      <c r="AG729" s="201" t="s">
        <v>927</v>
      </c>
      <c r="AH729" s="201" t="s">
        <v>928</v>
      </c>
      <c r="AI729" s="201" t="s">
        <v>929</v>
      </c>
      <c r="AJ729" s="201" t="s">
        <v>930</v>
      </c>
      <c r="AK729" s="201" t="s">
        <v>931</v>
      </c>
      <c r="AL729" s="201" t="s">
        <v>932</v>
      </c>
      <c r="AM729" s="201" t="s">
        <v>933</v>
      </c>
      <c r="AN729" s="201" t="s">
        <v>934</v>
      </c>
      <c r="AO729" s="201" t="s">
        <v>935</v>
      </c>
      <c r="AP729" s="201" t="s">
        <v>936</v>
      </c>
      <c r="AQ729" s="201" t="s">
        <v>937</v>
      </c>
      <c r="AR729" s="201" t="s">
        <v>938</v>
      </c>
      <c r="AS729" s="201" t="s">
        <v>939</v>
      </c>
      <c r="AT729" s="201" t="s">
        <v>940</v>
      </c>
      <c r="AU729" s="201" t="s">
        <v>941</v>
      </c>
      <c r="AV729" s="201" t="s">
        <v>942</v>
      </c>
      <c r="AW729" s="201" t="s">
        <v>943</v>
      </c>
      <c r="AX729" s="201" t="s">
        <v>944</v>
      </c>
      <c r="AY729" s="201" t="s">
        <v>945</v>
      </c>
      <c r="AZ729" s="201" t="s">
        <v>946</v>
      </c>
      <c r="BA729" s="201" t="s">
        <v>947</v>
      </c>
      <c r="BB729" s="201" t="s">
        <v>948</v>
      </c>
      <c r="BC729" s="201" t="s">
        <v>949</v>
      </c>
      <c r="BD729" s="201" t="s">
        <v>950</v>
      </c>
      <c r="BE729" s="201" t="s">
        <v>951</v>
      </c>
      <c r="BF729" s="201" t="s">
        <v>952</v>
      </c>
      <c r="BG729" s="201" t="s">
        <v>953</v>
      </c>
      <c r="BH729" s="201" t="s">
        <v>954</v>
      </c>
      <c r="BI729" s="201" t="s">
        <v>955</v>
      </c>
      <c r="BJ729" s="201" t="s">
        <v>956</v>
      </c>
      <c r="BK729" s="201" t="s">
        <v>957</v>
      </c>
      <c r="BL729" s="201" t="s">
        <v>958</v>
      </c>
      <c r="BM729" s="201" t="s">
        <v>959</v>
      </c>
      <c r="BN729" s="201" t="s">
        <v>960</v>
      </c>
      <c r="BO729" s="201" t="s">
        <v>961</v>
      </c>
      <c r="BP729" s="201" t="s">
        <v>962</v>
      </c>
      <c r="BQ729" s="201" t="s">
        <v>963</v>
      </c>
      <c r="BR729" s="201" t="s">
        <v>964</v>
      </c>
      <c r="BS729" s="201" t="s">
        <v>965</v>
      </c>
      <c r="BT729" s="201" t="s">
        <v>966</v>
      </c>
      <c r="BU729" s="201" t="s">
        <v>967</v>
      </c>
      <c r="BV729" s="201" t="s">
        <v>968</v>
      </c>
      <c r="BW729" s="201" t="s">
        <v>969</v>
      </c>
      <c r="BX729" s="201" t="s">
        <v>970</v>
      </c>
      <c r="BY729" s="201" t="s">
        <v>971</v>
      </c>
      <c r="BZ729" s="201" t="s">
        <v>972</v>
      </c>
      <c r="CA729" s="201" t="s">
        <v>973</v>
      </c>
      <c r="CB729" s="201" t="s">
        <v>974</v>
      </c>
      <c r="CC729" s="201" t="s">
        <v>975</v>
      </c>
      <c r="CD729" s="201" t="s">
        <v>976</v>
      </c>
      <c r="CE729" s="201" t="s">
        <v>977</v>
      </c>
      <c r="CF729" s="201" t="s">
        <v>978</v>
      </c>
    </row>
    <row r="730" spans="1:84" s="199" customFormat="1" ht="12.6" customHeight="1" x14ac:dyDescent="0.2">
      <c r="A730" s="200" t="str">
        <f>RIGHT(C83,3)&amp;"*"&amp;RIGHT(C82,4)&amp;"*"&amp;"A"</f>
        <v>142*2020*A</v>
      </c>
      <c r="B730" s="270">
        <f>ROUND(C250,0)</f>
        <v>146201594</v>
      </c>
      <c r="C730" s="270">
        <f>ROUND(C251,0)</f>
        <v>0</v>
      </c>
      <c r="D730" s="270">
        <f>ROUND(C252,0)</f>
        <v>329928557</v>
      </c>
      <c r="E730" s="270">
        <f>ROUND(C253,0)</f>
        <v>244513652</v>
      </c>
      <c r="F730" s="270">
        <f>ROUND(C254,0)</f>
        <v>0</v>
      </c>
      <c r="G730" s="270">
        <f>ROUND(C255,0)</f>
        <v>4647347</v>
      </c>
      <c r="H730" s="270">
        <f>ROUND(C256,0)</f>
        <v>0</v>
      </c>
      <c r="I730" s="270">
        <f>ROUND(C257,0)</f>
        <v>11754774</v>
      </c>
      <c r="J730" s="270">
        <f>ROUND(C258,0)</f>
        <v>1297251</v>
      </c>
      <c r="K730" s="270">
        <f>ROUND(C259,0)</f>
        <v>0</v>
      </c>
      <c r="L730" s="270">
        <f>ROUND(C262,0)</f>
        <v>0</v>
      </c>
      <c r="M730" s="270">
        <f>ROUND(C263,0)</f>
        <v>0</v>
      </c>
      <c r="N730" s="270">
        <f>ROUND(C264,0)</f>
        <v>0</v>
      </c>
      <c r="O730" s="270">
        <f>ROUND(C267,0)</f>
        <v>6695719</v>
      </c>
      <c r="P730" s="270">
        <f>ROUND(C268,0)</f>
        <v>2153149</v>
      </c>
      <c r="Q730" s="270">
        <f>ROUND(C269,0)</f>
        <v>99727204</v>
      </c>
      <c r="R730" s="270">
        <f>ROUND(C270,0)</f>
        <v>8216408</v>
      </c>
      <c r="S730" s="270">
        <f>ROUND(C271,0)</f>
        <v>4782848</v>
      </c>
      <c r="T730" s="270">
        <f>ROUND(C272,0)</f>
        <v>151699377</v>
      </c>
      <c r="U730" s="270">
        <f>ROUND(C273,0)</f>
        <v>34004094</v>
      </c>
      <c r="V730" s="270">
        <f>ROUND(C274,0)</f>
        <v>430760582</v>
      </c>
      <c r="W730" s="270">
        <f>ROUND(C275,0)</f>
        <v>0</v>
      </c>
      <c r="X730" s="270">
        <f>ROUND(C276,0)</f>
        <v>222858271</v>
      </c>
      <c r="Y730" s="270">
        <f>ROUND(C279,0)</f>
        <v>0</v>
      </c>
      <c r="Z730" s="270">
        <f>ROUND(C280,0)</f>
        <v>0</v>
      </c>
      <c r="AA730" s="270">
        <f>ROUND(C281,0)</f>
        <v>335325357</v>
      </c>
      <c r="AB730" s="270">
        <f>ROUND(C282,0)</f>
        <v>71032064</v>
      </c>
      <c r="AC730" s="270">
        <f>ROUND(C286,0)</f>
        <v>8182912</v>
      </c>
      <c r="AD730" s="270">
        <f>ROUND(C287,0)</f>
        <v>0</v>
      </c>
      <c r="AE730" s="270">
        <f>ROUND(C288,0)</f>
        <v>0</v>
      </c>
      <c r="AF730" s="270">
        <f>ROUND(C289,0)</f>
        <v>22389788</v>
      </c>
      <c r="AG730" s="270">
        <f>ROUND(C304,0)</f>
        <v>0</v>
      </c>
      <c r="AH730" s="270">
        <f>ROUND(C305,0)</f>
        <v>10577899</v>
      </c>
      <c r="AI730" s="270">
        <f>ROUND(C306,0)</f>
        <v>25137963</v>
      </c>
      <c r="AJ730" s="270">
        <f>ROUND(C307,0)</f>
        <v>80109199</v>
      </c>
      <c r="AK730" s="270">
        <f>ROUND(C308,0)</f>
        <v>0</v>
      </c>
      <c r="AL730" s="270">
        <f>ROUND(C309,0)</f>
        <v>83914213</v>
      </c>
      <c r="AM730" s="270">
        <f>ROUND(C310,0)</f>
        <v>0</v>
      </c>
      <c r="AN730" s="270">
        <f>ROUND(C311,0)</f>
        <v>0</v>
      </c>
      <c r="AO730" s="270">
        <f>ROUND(C312,0)</f>
        <v>0</v>
      </c>
      <c r="AP730" s="270">
        <f>ROUND(C313,0)</f>
        <v>5599806</v>
      </c>
      <c r="AQ730" s="270">
        <f>ROUND(C316,0)</f>
        <v>0</v>
      </c>
      <c r="AR730" s="270">
        <f>ROUND(C317,0)</f>
        <v>0</v>
      </c>
      <c r="AS730" s="270">
        <f>ROUND(C318,0)</f>
        <v>0</v>
      </c>
      <c r="AT730" s="270">
        <f>ROUND(C321,0)</f>
        <v>0</v>
      </c>
      <c r="AU730" s="270">
        <f>ROUND(C322,0)</f>
        <v>0</v>
      </c>
      <c r="AV730" s="270">
        <f>ROUND(C323,0)</f>
        <v>491909</v>
      </c>
      <c r="AW730" s="270">
        <f>ROUND(C324,0)</f>
        <v>396011</v>
      </c>
      <c r="AX730" s="270">
        <f>ROUND(C325,0)</f>
        <v>0</v>
      </c>
      <c r="AY730" s="270">
        <f>ROUND(C326,0)</f>
        <v>78878942</v>
      </c>
      <c r="AZ730" s="270">
        <f>ROUND(C327,0)</f>
        <v>83730502</v>
      </c>
      <c r="BA730" s="270">
        <f>ROUND(C328,0)</f>
        <v>0</v>
      </c>
      <c r="BB730" s="270">
        <f>ROUND(C332,0)</f>
        <v>838190466</v>
      </c>
      <c r="BC730" s="270"/>
      <c r="BD730" s="270"/>
      <c r="BE730" s="270">
        <f>ROUND(C337,0)</f>
        <v>0</v>
      </c>
      <c r="BF730" s="270">
        <f>ROUND(C336,0)</f>
        <v>0</v>
      </c>
      <c r="BG730" s="270"/>
      <c r="BH730" s="270"/>
      <c r="BI730" s="270">
        <f>ROUND(CE60,2)</f>
        <v>2060.77</v>
      </c>
      <c r="BJ730" s="270">
        <f>ROUND(C359,0)</f>
        <v>1102193583</v>
      </c>
      <c r="BK730" s="270">
        <f>ROUND(C360,0)</f>
        <v>1702368690</v>
      </c>
      <c r="BL730" s="270">
        <f>ROUND(C364,0)</f>
        <v>2083549749</v>
      </c>
      <c r="BM730" s="270">
        <f>ROUND(C365,0)</f>
        <v>26370436</v>
      </c>
      <c r="BN730" s="270">
        <f>ROUND(C366,0)</f>
        <v>13003088</v>
      </c>
      <c r="BO730" s="270">
        <f>ROUND(C370,0)</f>
        <v>20878428</v>
      </c>
      <c r="BP730" s="270">
        <f>ROUND(C371,0)</f>
        <v>0</v>
      </c>
      <c r="BQ730" s="270">
        <f>ROUND(C378,0)</f>
        <v>208185542</v>
      </c>
      <c r="BR730" s="270">
        <f>ROUND(C379,0)</f>
        <v>47694270</v>
      </c>
      <c r="BS730" s="270">
        <f>ROUND(C380,0)</f>
        <v>46408850</v>
      </c>
      <c r="BT730" s="270">
        <f>ROUND(C381,0)</f>
        <v>108551314</v>
      </c>
      <c r="BU730" s="270">
        <f>ROUND(C382,0)</f>
        <v>4387848</v>
      </c>
      <c r="BV730" s="270">
        <f>ROUND(C383,0)</f>
        <v>159355618</v>
      </c>
      <c r="BW730" s="270">
        <f>ROUND(C384,0)</f>
        <v>38189878</v>
      </c>
      <c r="BX730" s="270">
        <f>ROUND(C385,0)</f>
        <v>15174692</v>
      </c>
      <c r="BY730" s="270">
        <f>ROUND(C386,0)</f>
        <v>5495379</v>
      </c>
      <c r="BZ730" s="270">
        <f>ROUND(C387,0)</f>
        <v>15141138</v>
      </c>
      <c r="CA730" s="270">
        <f>ROUND(C388,0)</f>
        <v>-10715891</v>
      </c>
      <c r="CB730" s="270">
        <f>C363</f>
        <v>7170734.9900000002</v>
      </c>
      <c r="CC730" s="270">
        <f>ROUND(C389,0)</f>
        <v>5123641</v>
      </c>
      <c r="CD730" s="270">
        <f>ROUND(C392,0)</f>
        <v>14238374</v>
      </c>
      <c r="CE730" s="270">
        <f>ROUND(C394,0)</f>
        <v>0</v>
      </c>
      <c r="CF730" s="199">
        <f>ROUND(C395,0)</f>
        <v>0</v>
      </c>
    </row>
    <row r="731" spans="1:84" ht="12.6" customHeight="1" x14ac:dyDescent="0.2">
      <c r="B731" s="271"/>
      <c r="C731" s="271"/>
      <c r="D731" s="271"/>
      <c r="E731" s="271"/>
      <c r="F731" s="271"/>
      <c r="G731" s="27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  <c r="CA731" s="271"/>
      <c r="CB731" s="271"/>
      <c r="CC731" s="271"/>
      <c r="CD731" s="271"/>
      <c r="CE731" s="271"/>
    </row>
    <row r="732" spans="1:84" s="199" customFormat="1" ht="12.6" customHeight="1" x14ac:dyDescent="0.2">
      <c r="A732" s="199" t="s">
        <v>979</v>
      </c>
      <c r="B732" s="270"/>
      <c r="C732" s="270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  <c r="CA732" s="270"/>
      <c r="CB732" s="270"/>
      <c r="CC732" s="270"/>
      <c r="CD732" s="270"/>
      <c r="CE732" s="270"/>
    </row>
    <row r="733" spans="1:84" s="201" customFormat="1" ht="12.6" customHeight="1" x14ac:dyDescent="0.2">
      <c r="A733" s="201" t="s">
        <v>745</v>
      </c>
      <c r="B733" s="201" t="s">
        <v>980</v>
      </c>
      <c r="C733" s="201" t="s">
        <v>981</v>
      </c>
      <c r="D733" s="201" t="s">
        <v>982</v>
      </c>
      <c r="E733" s="201" t="s">
        <v>983</v>
      </c>
      <c r="F733" s="201" t="s">
        <v>984</v>
      </c>
      <c r="G733" s="201" t="s">
        <v>985</v>
      </c>
      <c r="H733" s="201" t="s">
        <v>986</v>
      </c>
      <c r="I733" s="201" t="s">
        <v>987</v>
      </c>
      <c r="J733" s="201" t="s">
        <v>988</v>
      </c>
      <c r="K733" s="201" t="s">
        <v>989</v>
      </c>
      <c r="L733" s="201" t="s">
        <v>990</v>
      </c>
      <c r="M733" s="201" t="s">
        <v>991</v>
      </c>
      <c r="N733" s="201" t="s">
        <v>992</v>
      </c>
      <c r="O733" s="201" t="s">
        <v>993</v>
      </c>
      <c r="P733" s="201" t="s">
        <v>994</v>
      </c>
      <c r="Q733" s="201" t="s">
        <v>995</v>
      </c>
      <c r="R733" s="201" t="s">
        <v>996</v>
      </c>
      <c r="S733" s="201" t="s">
        <v>997</v>
      </c>
      <c r="T733" s="201" t="s">
        <v>998</v>
      </c>
      <c r="U733" s="201" t="s">
        <v>999</v>
      </c>
      <c r="V733" s="201" t="s">
        <v>1000</v>
      </c>
      <c r="W733" s="201" t="s">
        <v>1001</v>
      </c>
      <c r="X733" s="201" t="s">
        <v>1002</v>
      </c>
      <c r="Y733" s="201" t="s">
        <v>1003</v>
      </c>
    </row>
    <row r="734" spans="1:84" s="199" customFormat="1" ht="12.6" customHeight="1" x14ac:dyDescent="0.2">
      <c r="A734" s="200" t="str">
        <f>RIGHT($C$83,3)&amp;"*"&amp;RIGHT($C$82,4)&amp;"*"&amp;C$55&amp;"*"&amp;"A"</f>
        <v>142*2020*6010*A</v>
      </c>
      <c r="B734" s="270">
        <f>ROUND(C59,0)</f>
        <v>5067</v>
      </c>
      <c r="C734" s="270">
        <f>ROUND(C60,2)</f>
        <v>52.86</v>
      </c>
      <c r="D734" s="270">
        <f>ROUND(C61,0)</f>
        <v>6370290</v>
      </c>
      <c r="E734" s="270">
        <f>ROUND(C62,0)</f>
        <v>1357591</v>
      </c>
      <c r="F734" s="270">
        <f>ROUND(C63,0)</f>
        <v>1481689</v>
      </c>
      <c r="G734" s="270">
        <f>ROUND(C64,0)</f>
        <v>740809</v>
      </c>
      <c r="H734" s="270">
        <f>ROUND(C65,0)</f>
        <v>1149</v>
      </c>
      <c r="I734" s="270">
        <f>ROUND(C66,0)</f>
        <v>91372</v>
      </c>
      <c r="J734" s="270">
        <f>ROUND(C67,0)</f>
        <v>528453</v>
      </c>
      <c r="K734" s="270">
        <f>ROUND(C68,0)</f>
        <v>20203</v>
      </c>
      <c r="L734" s="270">
        <f>ROUND(C69,0)</f>
        <v>1904</v>
      </c>
      <c r="M734" s="270">
        <f>ROUND(C70,0)</f>
        <v>0</v>
      </c>
      <c r="N734" s="270">
        <f>ROUND(C75,0)</f>
        <v>39984622</v>
      </c>
      <c r="O734" s="270">
        <f>ROUND(C73,0)</f>
        <v>39803770</v>
      </c>
      <c r="P734" s="270">
        <f>IF(C76&gt;0,ROUND(C76,0),0)</f>
        <v>8800</v>
      </c>
      <c r="Q734" s="270">
        <f>IF(C77&gt;0,ROUND(C77,0),0)</f>
        <v>6172</v>
      </c>
      <c r="R734" s="270">
        <f>IF(C78&gt;0,ROUND(C78,0),0)</f>
        <v>2532</v>
      </c>
      <c r="S734" s="270">
        <f>IF(C79&gt;0,ROUND(C79,0),0)</f>
        <v>61803</v>
      </c>
      <c r="T734" s="270">
        <f>IF(C80&gt;0,ROUND(C80,2),0)</f>
        <v>36.79</v>
      </c>
      <c r="U734" s="270"/>
      <c r="V734" s="270"/>
      <c r="W734" s="270"/>
      <c r="X734" s="270"/>
      <c r="Y734" s="270">
        <f>IF(M668&lt;&gt;0,ROUND(M668,0),0)</f>
        <v>3500691</v>
      </c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  <c r="CA734" s="270"/>
      <c r="CB734" s="270"/>
      <c r="CC734" s="270"/>
      <c r="CD734" s="270"/>
      <c r="CE734" s="270"/>
    </row>
    <row r="735" spans="1:84" ht="12.6" customHeight="1" x14ac:dyDescent="0.2">
      <c r="A735" s="207" t="str">
        <f>RIGHT($C$83,3)&amp;"*"&amp;RIGHT($C$82,4)&amp;"*"&amp;D$55&amp;"*"&amp;"A"</f>
        <v>142*2020*6030*A</v>
      </c>
      <c r="B735" s="270">
        <f>ROUND(D59,0)</f>
        <v>0</v>
      </c>
      <c r="C735" s="272">
        <f>ROUND(D60,2)</f>
        <v>0</v>
      </c>
      <c r="D735" s="270">
        <f>ROUND(D61,0)</f>
        <v>0</v>
      </c>
      <c r="E735" s="270">
        <f>ROUND(D62,0)</f>
        <v>0</v>
      </c>
      <c r="F735" s="270">
        <f>ROUND(D63,0)</f>
        <v>0</v>
      </c>
      <c r="G735" s="270">
        <f>ROUND(D64,0)</f>
        <v>0</v>
      </c>
      <c r="H735" s="270">
        <f>ROUND(D65,0)</f>
        <v>0</v>
      </c>
      <c r="I735" s="270">
        <f>ROUND(D66,0)</f>
        <v>0</v>
      </c>
      <c r="J735" s="270">
        <f>ROUND(D67,0)</f>
        <v>0</v>
      </c>
      <c r="K735" s="270">
        <f>ROUND(D68,0)</f>
        <v>0</v>
      </c>
      <c r="L735" s="270">
        <f>ROUND(D69,0)</f>
        <v>0</v>
      </c>
      <c r="M735" s="270">
        <f>ROUND(D70,0)</f>
        <v>0</v>
      </c>
      <c r="N735" s="270">
        <f>ROUND(D75,0)</f>
        <v>0</v>
      </c>
      <c r="O735" s="270">
        <f>ROUND(D73,0)</f>
        <v>0</v>
      </c>
      <c r="P735" s="270">
        <f>IF(D76&gt;0,ROUND(D76,0),0)</f>
        <v>0</v>
      </c>
      <c r="Q735" s="270">
        <f>IF(D77&gt;0,ROUND(D77,0),0)</f>
        <v>0</v>
      </c>
      <c r="R735" s="270">
        <f>IF(D78&gt;0,ROUND(D78,0),0)</f>
        <v>0</v>
      </c>
      <c r="S735" s="270">
        <f>IF(D79&gt;0,ROUND(D79,0),0)</f>
        <v>0</v>
      </c>
      <c r="T735" s="272">
        <f>IF(D80&gt;0,ROUND(D80,2),0)</f>
        <v>0</v>
      </c>
      <c r="U735" s="270"/>
      <c r="V735" s="271"/>
      <c r="W735" s="270"/>
      <c r="X735" s="270"/>
      <c r="Y735" s="270">
        <f t="shared" ref="Y735:Y779" si="21">IF(M669&lt;&gt;0,ROUND(M669,0),0)</f>
        <v>0</v>
      </c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  <c r="CA735" s="271"/>
      <c r="CB735" s="271"/>
      <c r="CC735" s="271"/>
      <c r="CD735" s="271"/>
      <c r="CE735" s="271"/>
    </row>
    <row r="736" spans="1:84" ht="12.6" customHeight="1" x14ac:dyDescent="0.2">
      <c r="A736" s="207" t="str">
        <f>RIGHT($C$83,3)&amp;"*"&amp;RIGHT($C$82,4)&amp;"*"&amp;E$55&amp;"*"&amp;"A"</f>
        <v>142*2020*6070*A</v>
      </c>
      <c r="B736" s="270">
        <f>ROUND(E59,0)</f>
        <v>56881</v>
      </c>
      <c r="C736" s="272">
        <f>ROUND(E60,2)</f>
        <v>391.57</v>
      </c>
      <c r="D736" s="270">
        <f>ROUND(E61,0)</f>
        <v>37260445</v>
      </c>
      <c r="E736" s="270">
        <f>ROUND(E62,0)</f>
        <v>9064291</v>
      </c>
      <c r="F736" s="270">
        <f>ROUND(E63,0)</f>
        <v>5322231</v>
      </c>
      <c r="G736" s="270">
        <f>ROUND(E64,0)</f>
        <v>2069958</v>
      </c>
      <c r="H736" s="270">
        <f>ROUND(E65,0)</f>
        <v>16843</v>
      </c>
      <c r="I736" s="270">
        <f>ROUND(E66,0)</f>
        <v>578024</v>
      </c>
      <c r="J736" s="270">
        <f>ROUND(E67,0)</f>
        <v>4055916</v>
      </c>
      <c r="K736" s="270">
        <f>ROUND(E68,0)</f>
        <v>42810</v>
      </c>
      <c r="L736" s="270">
        <f>ROUND(E69,0)</f>
        <v>145922</v>
      </c>
      <c r="M736" s="270">
        <f>ROUND(E70,0)</f>
        <v>0</v>
      </c>
      <c r="N736" s="270">
        <f>ROUND(E75,0)</f>
        <v>244273963</v>
      </c>
      <c r="O736" s="270">
        <f>ROUND(E73,0)</f>
        <v>221202881</v>
      </c>
      <c r="P736" s="270">
        <f>IF(E76&gt;0,ROUND(E76,0),0)</f>
        <v>90290</v>
      </c>
      <c r="Q736" s="270">
        <f>IF(E77&gt;0,ROUND(E77,0),0)</f>
        <v>172250</v>
      </c>
      <c r="R736" s="270">
        <f>IF(E78&gt;0,ROUND(E78,0),0)</f>
        <v>25980</v>
      </c>
      <c r="S736" s="270">
        <f>IF(E79&gt;0,ROUND(E79,0),0)</f>
        <v>639100</v>
      </c>
      <c r="T736" s="272">
        <f>IF(E80&gt;0,ROUND(E80,2),0)</f>
        <v>220</v>
      </c>
      <c r="U736" s="270"/>
      <c r="V736" s="271"/>
      <c r="W736" s="270"/>
      <c r="X736" s="270"/>
      <c r="Y736" s="270">
        <f t="shared" si="21"/>
        <v>28128245</v>
      </c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  <c r="CA736" s="271"/>
      <c r="CB736" s="271"/>
      <c r="CC736" s="271"/>
      <c r="CD736" s="271"/>
      <c r="CE736" s="271"/>
    </row>
    <row r="737" spans="1:83" ht="12.6" customHeight="1" x14ac:dyDescent="0.2">
      <c r="A737" s="207" t="str">
        <f>RIGHT($C$83,3)&amp;"*"&amp;RIGHT($C$82,4)&amp;"*"&amp;F$55&amp;"*"&amp;"A"</f>
        <v>142*2020*6100*A</v>
      </c>
      <c r="B737" s="270">
        <f>ROUND(F59,0)</f>
        <v>0</v>
      </c>
      <c r="C737" s="272">
        <f>ROUND(F60,2)</f>
        <v>0</v>
      </c>
      <c r="D737" s="270">
        <f>ROUND(F61,0)</f>
        <v>0</v>
      </c>
      <c r="E737" s="270">
        <f>ROUND(F62,0)</f>
        <v>0</v>
      </c>
      <c r="F737" s="270">
        <f>ROUND(F63,0)</f>
        <v>0</v>
      </c>
      <c r="G737" s="270">
        <f>ROUND(F64,0)</f>
        <v>0</v>
      </c>
      <c r="H737" s="270">
        <f>ROUND(F65,0)</f>
        <v>0</v>
      </c>
      <c r="I737" s="270">
        <f>ROUND(F66,0)</f>
        <v>0</v>
      </c>
      <c r="J737" s="270">
        <f>ROUND(F67,0)</f>
        <v>0</v>
      </c>
      <c r="K737" s="270">
        <f>ROUND(F68,0)</f>
        <v>0</v>
      </c>
      <c r="L737" s="270">
        <f>ROUND(F69,0)</f>
        <v>0</v>
      </c>
      <c r="M737" s="270">
        <f>ROUND(F70,0)</f>
        <v>0</v>
      </c>
      <c r="N737" s="270">
        <f>ROUND(F75,0)</f>
        <v>0</v>
      </c>
      <c r="O737" s="270">
        <f>ROUND(F73,0)</f>
        <v>0</v>
      </c>
      <c r="P737" s="270">
        <f>IF(F76&gt;0,ROUND(F76,0),0)</f>
        <v>0</v>
      </c>
      <c r="Q737" s="270">
        <f>IF(F77&gt;0,ROUND(F77,0),0)</f>
        <v>0</v>
      </c>
      <c r="R737" s="270">
        <f>IF(F78&gt;0,ROUND(F78,0),0)</f>
        <v>0</v>
      </c>
      <c r="S737" s="270">
        <f>IF(F79&gt;0,ROUND(F79,0),0)</f>
        <v>0</v>
      </c>
      <c r="T737" s="272">
        <f>IF(F80&gt;0,ROUND(F80,2),0)</f>
        <v>0</v>
      </c>
      <c r="U737" s="270"/>
      <c r="V737" s="271"/>
      <c r="W737" s="270"/>
      <c r="X737" s="270"/>
      <c r="Y737" s="270">
        <f t="shared" si="21"/>
        <v>0</v>
      </c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  <c r="CA737" s="271"/>
      <c r="CB737" s="271"/>
      <c r="CC737" s="271"/>
      <c r="CD737" s="271"/>
      <c r="CE737" s="271"/>
    </row>
    <row r="738" spans="1:83" ht="12.6" customHeight="1" x14ac:dyDescent="0.2">
      <c r="A738" s="207" t="str">
        <f>RIGHT($C$83,3)&amp;"*"&amp;RIGHT($C$82,4)&amp;"*"&amp;G$55&amp;"*"&amp;"A"</f>
        <v>142*2020*6120*A</v>
      </c>
      <c r="B738" s="270">
        <f>ROUND(G59,0)</f>
        <v>0</v>
      </c>
      <c r="C738" s="272">
        <f>ROUND(G60,2)</f>
        <v>0</v>
      </c>
      <c r="D738" s="270">
        <f>ROUND(G61,0)</f>
        <v>0</v>
      </c>
      <c r="E738" s="270">
        <f>ROUND(G62,0)</f>
        <v>0</v>
      </c>
      <c r="F738" s="270">
        <f>ROUND(G63,0)</f>
        <v>0</v>
      </c>
      <c r="G738" s="270">
        <f>ROUND(G64,0)</f>
        <v>0</v>
      </c>
      <c r="H738" s="270">
        <f>ROUND(G65,0)</f>
        <v>0</v>
      </c>
      <c r="I738" s="270">
        <f>ROUND(G66,0)</f>
        <v>0</v>
      </c>
      <c r="J738" s="270">
        <f>ROUND(G67,0)</f>
        <v>0</v>
      </c>
      <c r="K738" s="270">
        <f>ROUND(G68,0)</f>
        <v>0</v>
      </c>
      <c r="L738" s="270">
        <f>ROUND(G69,0)</f>
        <v>0</v>
      </c>
      <c r="M738" s="270">
        <f>ROUND(G70,0)</f>
        <v>0</v>
      </c>
      <c r="N738" s="270">
        <f>ROUND(G75,0)</f>
        <v>0</v>
      </c>
      <c r="O738" s="270">
        <f>ROUND(G73,0)</f>
        <v>0</v>
      </c>
      <c r="P738" s="270">
        <f>IF(G76&gt;0,ROUND(G76,0),0)</f>
        <v>0</v>
      </c>
      <c r="Q738" s="270">
        <f>IF(G77&gt;0,ROUND(G77,0),0)</f>
        <v>0</v>
      </c>
      <c r="R738" s="270">
        <f>IF(G78&gt;0,ROUND(G78,0),0)</f>
        <v>0</v>
      </c>
      <c r="S738" s="270">
        <f>IF(G79&gt;0,ROUND(G79,0),0)</f>
        <v>0</v>
      </c>
      <c r="T738" s="272">
        <f>IF(G80&gt;0,ROUND(G80,2),0)</f>
        <v>0</v>
      </c>
      <c r="U738" s="270"/>
      <c r="V738" s="271"/>
      <c r="W738" s="270"/>
      <c r="X738" s="270"/>
      <c r="Y738" s="270">
        <f t="shared" si="21"/>
        <v>0</v>
      </c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  <c r="CA738" s="271"/>
      <c r="CB738" s="271"/>
      <c r="CC738" s="271"/>
      <c r="CD738" s="271"/>
      <c r="CE738" s="271"/>
    </row>
    <row r="739" spans="1:83" ht="12.6" customHeight="1" x14ac:dyDescent="0.2">
      <c r="A739" s="207" t="str">
        <f>RIGHT($C$83,3)&amp;"*"&amp;RIGHT($C$82,4)&amp;"*"&amp;H$55&amp;"*"&amp;"A"</f>
        <v>142*2020*6140*A</v>
      </c>
      <c r="B739" s="270">
        <f>ROUND(H59,0)</f>
        <v>0</v>
      </c>
      <c r="C739" s="272">
        <f>ROUND(H60,2)</f>
        <v>0</v>
      </c>
      <c r="D739" s="270">
        <f>ROUND(H61,0)</f>
        <v>0</v>
      </c>
      <c r="E739" s="270">
        <f>ROUND(H62,0)</f>
        <v>0</v>
      </c>
      <c r="F739" s="270">
        <f>ROUND(H63,0)</f>
        <v>0</v>
      </c>
      <c r="G739" s="270">
        <f>ROUND(H64,0)</f>
        <v>0</v>
      </c>
      <c r="H739" s="270">
        <f>ROUND(H65,0)</f>
        <v>316</v>
      </c>
      <c r="I739" s="270">
        <f>ROUND(H66,0)</f>
        <v>0</v>
      </c>
      <c r="J739" s="270">
        <f>ROUND(H67,0)</f>
        <v>0</v>
      </c>
      <c r="K739" s="270">
        <f>ROUND(H68,0)</f>
        <v>399</v>
      </c>
      <c r="L739" s="270">
        <f>ROUND(H69,0)</f>
        <v>0</v>
      </c>
      <c r="M739" s="270">
        <f>ROUND(H70,0)</f>
        <v>0</v>
      </c>
      <c r="N739" s="270">
        <f>ROUND(H75,0)</f>
        <v>0</v>
      </c>
      <c r="O739" s="270">
        <f>ROUND(H73,0)</f>
        <v>0</v>
      </c>
      <c r="P739" s="270">
        <f>IF(H76&gt;0,ROUND(H76,0),0)</f>
        <v>0</v>
      </c>
      <c r="Q739" s="270">
        <f>IF(H77&gt;0,ROUND(H77,0),0)</f>
        <v>0</v>
      </c>
      <c r="R739" s="270">
        <f>IF(H78&gt;0,ROUND(H78,0),0)</f>
        <v>0</v>
      </c>
      <c r="S739" s="270">
        <f>IF(H79&gt;0,ROUND(H79,0),0)</f>
        <v>0</v>
      </c>
      <c r="T739" s="272">
        <f>IF(H80&gt;0,ROUND(H80,2),0)</f>
        <v>0</v>
      </c>
      <c r="U739" s="270"/>
      <c r="V739" s="271"/>
      <c r="W739" s="270"/>
      <c r="X739" s="270"/>
      <c r="Y739" s="270">
        <f t="shared" si="21"/>
        <v>98</v>
      </c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  <c r="CA739" s="271"/>
      <c r="CB739" s="271"/>
      <c r="CC739" s="271"/>
      <c r="CD739" s="271"/>
      <c r="CE739" s="271"/>
    </row>
    <row r="740" spans="1:83" ht="12.6" customHeight="1" x14ac:dyDescent="0.2">
      <c r="A740" s="207" t="str">
        <f>RIGHT($C$83,3)&amp;"*"&amp;RIGHT($C$82,4)&amp;"*"&amp;I$55&amp;"*"&amp;"A"</f>
        <v>142*2020*6150*A</v>
      </c>
      <c r="B740" s="270">
        <f>ROUND(I59,0)</f>
        <v>0</v>
      </c>
      <c r="C740" s="272">
        <f>ROUND(I60,2)</f>
        <v>0</v>
      </c>
      <c r="D740" s="270">
        <f>ROUND(I61,0)</f>
        <v>0</v>
      </c>
      <c r="E740" s="270">
        <f>ROUND(I62,0)</f>
        <v>0</v>
      </c>
      <c r="F740" s="270">
        <f>ROUND(I63,0)</f>
        <v>0</v>
      </c>
      <c r="G740" s="270">
        <f>ROUND(I64,0)</f>
        <v>0</v>
      </c>
      <c r="H740" s="270">
        <f>ROUND(I65,0)</f>
        <v>0</v>
      </c>
      <c r="I740" s="270">
        <f>ROUND(I66,0)</f>
        <v>0</v>
      </c>
      <c r="J740" s="270">
        <f>ROUND(I67,0)</f>
        <v>0</v>
      </c>
      <c r="K740" s="270">
        <f>ROUND(I68,0)</f>
        <v>0</v>
      </c>
      <c r="L740" s="270">
        <f>ROUND(I69,0)</f>
        <v>0</v>
      </c>
      <c r="M740" s="270">
        <f>ROUND(I70,0)</f>
        <v>0</v>
      </c>
      <c r="N740" s="270">
        <f>ROUND(I75,0)</f>
        <v>0</v>
      </c>
      <c r="O740" s="270">
        <f>ROUND(I73,0)</f>
        <v>0</v>
      </c>
      <c r="P740" s="270">
        <f>IF(I76&gt;0,ROUND(I76,0),0)</f>
        <v>0</v>
      </c>
      <c r="Q740" s="270">
        <f>IF(I77&gt;0,ROUND(I77,0),0)</f>
        <v>0</v>
      </c>
      <c r="R740" s="270">
        <f>IF(I78&gt;0,ROUND(I78,0),0)</f>
        <v>0</v>
      </c>
      <c r="S740" s="270">
        <f>IF(I79&gt;0,ROUND(I79,0),0)</f>
        <v>0</v>
      </c>
      <c r="T740" s="272">
        <f>IF(I80&gt;0,ROUND(I80,2),0)</f>
        <v>0</v>
      </c>
      <c r="U740" s="270"/>
      <c r="V740" s="271"/>
      <c r="W740" s="270"/>
      <c r="X740" s="270"/>
      <c r="Y740" s="270">
        <f t="shared" si="21"/>
        <v>0</v>
      </c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  <c r="CA740" s="271"/>
      <c r="CB740" s="271"/>
      <c r="CC740" s="271"/>
      <c r="CD740" s="271"/>
      <c r="CE740" s="271"/>
    </row>
    <row r="741" spans="1:83" ht="12.6" customHeight="1" x14ac:dyDescent="0.2">
      <c r="A741" s="207" t="str">
        <f>RIGHT($C$83,3)&amp;"*"&amp;RIGHT($C$82,4)&amp;"*"&amp;J$55&amp;"*"&amp;"A"</f>
        <v>142*2020*6170*A</v>
      </c>
      <c r="B741" s="270">
        <f>ROUND(J59,0)</f>
        <v>0</v>
      </c>
      <c r="C741" s="272">
        <f>ROUND(J60,2)</f>
        <v>0</v>
      </c>
      <c r="D741" s="270">
        <f>ROUND(J61,0)</f>
        <v>0</v>
      </c>
      <c r="E741" s="270">
        <f>ROUND(J62,0)</f>
        <v>0</v>
      </c>
      <c r="F741" s="270">
        <f>ROUND(J63,0)</f>
        <v>0</v>
      </c>
      <c r="G741" s="270">
        <f>ROUND(J64,0)</f>
        <v>0</v>
      </c>
      <c r="H741" s="270">
        <f>ROUND(J65,0)</f>
        <v>0</v>
      </c>
      <c r="I741" s="270">
        <f>ROUND(J66,0)</f>
        <v>0</v>
      </c>
      <c r="J741" s="270">
        <f>ROUND(J67,0)</f>
        <v>0</v>
      </c>
      <c r="K741" s="270">
        <f>ROUND(J68,0)</f>
        <v>0</v>
      </c>
      <c r="L741" s="270">
        <f>ROUND(J69,0)</f>
        <v>0</v>
      </c>
      <c r="M741" s="270">
        <f>ROUND(J70,0)</f>
        <v>0</v>
      </c>
      <c r="N741" s="270">
        <f>ROUND(J75,0)</f>
        <v>0</v>
      </c>
      <c r="O741" s="270">
        <f>ROUND(J73,0)</f>
        <v>0</v>
      </c>
      <c r="P741" s="270">
        <f>IF(J76&gt;0,ROUND(J76,0),0)</f>
        <v>0</v>
      </c>
      <c r="Q741" s="270">
        <f>IF(J77&gt;0,ROUND(J77,0),0)</f>
        <v>0</v>
      </c>
      <c r="R741" s="270">
        <f>IF(J78&gt;0,ROUND(J78,0),0)</f>
        <v>0</v>
      </c>
      <c r="S741" s="270">
        <f>IF(J79&gt;0,ROUND(J79,0),0)</f>
        <v>0</v>
      </c>
      <c r="T741" s="272">
        <f>IF(J80&gt;0,ROUND(J80,2),0)</f>
        <v>0</v>
      </c>
      <c r="U741" s="270"/>
      <c r="V741" s="271"/>
      <c r="W741" s="270"/>
      <c r="X741" s="270"/>
      <c r="Y741" s="270">
        <f t="shared" si="21"/>
        <v>0</v>
      </c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  <c r="CA741" s="271"/>
      <c r="CB741" s="271"/>
      <c r="CC741" s="271"/>
      <c r="CD741" s="271"/>
      <c r="CE741" s="271"/>
    </row>
    <row r="742" spans="1:83" ht="12.6" customHeight="1" x14ac:dyDescent="0.2">
      <c r="A742" s="207" t="str">
        <f>RIGHT($C$83,3)&amp;"*"&amp;RIGHT($C$82,4)&amp;"*"&amp;K$55&amp;"*"&amp;"A"</f>
        <v>142*2020*6200*A</v>
      </c>
      <c r="B742" s="270">
        <f>ROUND(K59,0)</f>
        <v>0</v>
      </c>
      <c r="C742" s="272">
        <f>ROUND(K60,2)</f>
        <v>0</v>
      </c>
      <c r="D742" s="270">
        <f>ROUND(K61,0)</f>
        <v>0</v>
      </c>
      <c r="E742" s="270">
        <f>ROUND(K62,0)</f>
        <v>0</v>
      </c>
      <c r="F742" s="270">
        <f>ROUND(K63,0)</f>
        <v>0</v>
      </c>
      <c r="G742" s="270">
        <f>ROUND(K64,0)</f>
        <v>0</v>
      </c>
      <c r="H742" s="270">
        <f>ROUND(K65,0)</f>
        <v>0</v>
      </c>
      <c r="I742" s="270">
        <f>ROUND(K66,0)</f>
        <v>0</v>
      </c>
      <c r="J742" s="270">
        <f>ROUND(K67,0)</f>
        <v>0</v>
      </c>
      <c r="K742" s="270">
        <f>ROUND(K68,0)</f>
        <v>0</v>
      </c>
      <c r="L742" s="270">
        <f>ROUND(K69,0)</f>
        <v>0</v>
      </c>
      <c r="M742" s="270">
        <f>ROUND(K70,0)</f>
        <v>0</v>
      </c>
      <c r="N742" s="270">
        <f>ROUND(K75,0)</f>
        <v>0</v>
      </c>
      <c r="O742" s="270">
        <f>ROUND(K73,0)</f>
        <v>0</v>
      </c>
      <c r="P742" s="270">
        <f>IF(K76&gt;0,ROUND(K76,0),0)</f>
        <v>0</v>
      </c>
      <c r="Q742" s="270">
        <f>IF(K77&gt;0,ROUND(K77,0),0)</f>
        <v>0</v>
      </c>
      <c r="R742" s="270">
        <f>IF(K78&gt;0,ROUND(K78,0),0)</f>
        <v>0</v>
      </c>
      <c r="S742" s="270">
        <f>IF(K79&gt;0,ROUND(K79,0),0)</f>
        <v>0</v>
      </c>
      <c r="T742" s="272">
        <f>IF(K80&gt;0,ROUND(K80,2),0)</f>
        <v>0</v>
      </c>
      <c r="U742" s="270"/>
      <c r="V742" s="271"/>
      <c r="W742" s="270"/>
      <c r="X742" s="270"/>
      <c r="Y742" s="270">
        <f t="shared" si="21"/>
        <v>0</v>
      </c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  <c r="CA742" s="271"/>
      <c r="CB742" s="271"/>
      <c r="CC742" s="271"/>
      <c r="CD742" s="271"/>
      <c r="CE742" s="271"/>
    </row>
    <row r="743" spans="1:83" ht="12.6" customHeight="1" x14ac:dyDescent="0.2">
      <c r="A743" s="207" t="str">
        <f>RIGHT($C$83,3)&amp;"*"&amp;RIGHT($C$82,4)&amp;"*"&amp;L$55&amp;"*"&amp;"A"</f>
        <v>142*2020*6210*A</v>
      </c>
      <c r="B743" s="270">
        <f>ROUND(L59,0)</f>
        <v>0</v>
      </c>
      <c r="C743" s="272">
        <f>ROUND(L60,2)</f>
        <v>0</v>
      </c>
      <c r="D743" s="270">
        <f>ROUND(L61,0)</f>
        <v>0</v>
      </c>
      <c r="E743" s="270">
        <f>ROUND(L62,0)</f>
        <v>0</v>
      </c>
      <c r="F743" s="270">
        <f>ROUND(L63,0)</f>
        <v>0</v>
      </c>
      <c r="G743" s="270">
        <f>ROUND(L64,0)</f>
        <v>0</v>
      </c>
      <c r="H743" s="270">
        <f>ROUND(L65,0)</f>
        <v>0</v>
      </c>
      <c r="I743" s="270">
        <f>ROUND(L66,0)</f>
        <v>0</v>
      </c>
      <c r="J743" s="270">
        <f>ROUND(L67,0)</f>
        <v>0</v>
      </c>
      <c r="K743" s="270">
        <f>ROUND(L68,0)</f>
        <v>0</v>
      </c>
      <c r="L743" s="270">
        <f>ROUND(L69,0)</f>
        <v>0</v>
      </c>
      <c r="M743" s="270">
        <f>ROUND(L70,0)</f>
        <v>0</v>
      </c>
      <c r="N743" s="270">
        <f>ROUND(L75,0)</f>
        <v>0</v>
      </c>
      <c r="O743" s="270">
        <f>ROUND(L73,0)</f>
        <v>0</v>
      </c>
      <c r="P743" s="270">
        <f>IF(L76&gt;0,ROUND(L76,0),0)</f>
        <v>0</v>
      </c>
      <c r="Q743" s="270">
        <f>IF(L77&gt;0,ROUND(L77,0),0)</f>
        <v>0</v>
      </c>
      <c r="R743" s="270">
        <f>IF(L78&gt;0,ROUND(L78,0),0)</f>
        <v>0</v>
      </c>
      <c r="S743" s="270">
        <f>IF(L79&gt;0,ROUND(L79,0),0)</f>
        <v>0</v>
      </c>
      <c r="T743" s="272">
        <f>IF(L80&gt;0,ROUND(L80,2),0)</f>
        <v>0</v>
      </c>
      <c r="U743" s="270"/>
      <c r="V743" s="271"/>
      <c r="W743" s="270"/>
      <c r="X743" s="270"/>
      <c r="Y743" s="270">
        <f t="shared" si="21"/>
        <v>0</v>
      </c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  <c r="CA743" s="271"/>
      <c r="CB743" s="271"/>
      <c r="CC743" s="271"/>
      <c r="CD743" s="271"/>
      <c r="CE743" s="271"/>
    </row>
    <row r="744" spans="1:83" ht="12.6" customHeight="1" x14ac:dyDescent="0.2">
      <c r="A744" s="207" t="str">
        <f>RIGHT($C$83,3)&amp;"*"&amp;RIGHT($C$82,4)&amp;"*"&amp;M$55&amp;"*"&amp;"A"</f>
        <v>142*2020*6330*A</v>
      </c>
      <c r="B744" s="270">
        <f>ROUND(M59,0)</f>
        <v>0</v>
      </c>
      <c r="C744" s="272">
        <f>ROUND(M60,2)</f>
        <v>0</v>
      </c>
      <c r="D744" s="270">
        <f>ROUND(M61,0)</f>
        <v>0</v>
      </c>
      <c r="E744" s="270">
        <f>ROUND(M62,0)</f>
        <v>0</v>
      </c>
      <c r="F744" s="270">
        <f>ROUND(M63,0)</f>
        <v>0</v>
      </c>
      <c r="G744" s="270">
        <f>ROUND(M64,0)</f>
        <v>0</v>
      </c>
      <c r="H744" s="270">
        <f>ROUND(M65,0)</f>
        <v>0</v>
      </c>
      <c r="I744" s="270">
        <f>ROUND(M66,0)</f>
        <v>0</v>
      </c>
      <c r="J744" s="270">
        <f>ROUND(M67,0)</f>
        <v>0</v>
      </c>
      <c r="K744" s="270">
        <f>ROUND(M68,0)</f>
        <v>0</v>
      </c>
      <c r="L744" s="270">
        <f>ROUND(M69,0)</f>
        <v>0</v>
      </c>
      <c r="M744" s="270">
        <f>ROUND(M70,0)</f>
        <v>0</v>
      </c>
      <c r="N744" s="270">
        <f>ROUND(M75,0)</f>
        <v>0</v>
      </c>
      <c r="O744" s="270">
        <f>ROUND(M73,0)</f>
        <v>0</v>
      </c>
      <c r="P744" s="270">
        <f>IF(M76&gt;0,ROUND(M76,0),0)</f>
        <v>0</v>
      </c>
      <c r="Q744" s="270">
        <f>IF(M77&gt;0,ROUND(M77,0),0)</f>
        <v>0</v>
      </c>
      <c r="R744" s="270">
        <f>IF(M78&gt;0,ROUND(M78,0),0)</f>
        <v>0</v>
      </c>
      <c r="S744" s="270">
        <f>IF(M79&gt;0,ROUND(M79,0),0)</f>
        <v>0</v>
      </c>
      <c r="T744" s="272">
        <f>IF(M80&gt;0,ROUND(M80,2),0)</f>
        <v>0</v>
      </c>
      <c r="U744" s="270"/>
      <c r="V744" s="271"/>
      <c r="W744" s="270"/>
      <c r="X744" s="270"/>
      <c r="Y744" s="270">
        <f t="shared" si="21"/>
        <v>0</v>
      </c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  <c r="CA744" s="271"/>
      <c r="CB744" s="271"/>
      <c r="CC744" s="271"/>
      <c r="CD744" s="271"/>
      <c r="CE744" s="271"/>
    </row>
    <row r="745" spans="1:83" ht="12.6" customHeight="1" x14ac:dyDescent="0.2">
      <c r="A745" s="207" t="str">
        <f>RIGHT($C$83,3)&amp;"*"&amp;RIGHT($C$82,4)&amp;"*"&amp;N$55&amp;"*"&amp;"A"</f>
        <v>142*2020*6400*A</v>
      </c>
      <c r="B745" s="270">
        <f>ROUND(N59,0)</f>
        <v>0</v>
      </c>
      <c r="C745" s="272">
        <f>ROUND(N60,2)</f>
        <v>0</v>
      </c>
      <c r="D745" s="270">
        <f>ROUND(N61,0)</f>
        <v>0</v>
      </c>
      <c r="E745" s="270">
        <f>ROUND(N62,0)</f>
        <v>0</v>
      </c>
      <c r="F745" s="270">
        <f>ROUND(N63,0)</f>
        <v>0</v>
      </c>
      <c r="G745" s="270">
        <f>ROUND(N64,0)</f>
        <v>0</v>
      </c>
      <c r="H745" s="270">
        <f>ROUND(N65,0)</f>
        <v>0</v>
      </c>
      <c r="I745" s="270">
        <f>ROUND(N66,0)</f>
        <v>0</v>
      </c>
      <c r="J745" s="270">
        <f>ROUND(N67,0)</f>
        <v>0</v>
      </c>
      <c r="K745" s="270">
        <f>ROUND(N68,0)</f>
        <v>0</v>
      </c>
      <c r="L745" s="270">
        <f>ROUND(N69,0)</f>
        <v>0</v>
      </c>
      <c r="M745" s="270">
        <f>ROUND(N70,0)</f>
        <v>0</v>
      </c>
      <c r="N745" s="270">
        <f>ROUND(N75,0)</f>
        <v>0</v>
      </c>
      <c r="O745" s="270">
        <f>ROUND(N73,0)</f>
        <v>0</v>
      </c>
      <c r="P745" s="270">
        <f>IF(N76&gt;0,ROUND(N76,0),0)</f>
        <v>0</v>
      </c>
      <c r="Q745" s="270">
        <f>IF(N77&gt;0,ROUND(N77,0),0)</f>
        <v>0</v>
      </c>
      <c r="R745" s="270">
        <f>IF(N78&gt;0,ROUND(N78,0),0)</f>
        <v>0</v>
      </c>
      <c r="S745" s="270">
        <f>IF(N79&gt;0,ROUND(N79,0),0)</f>
        <v>0</v>
      </c>
      <c r="T745" s="272">
        <f>IF(N80&gt;0,ROUND(N80,2),0)</f>
        <v>0</v>
      </c>
      <c r="U745" s="270"/>
      <c r="V745" s="271"/>
      <c r="W745" s="270"/>
      <c r="X745" s="270"/>
      <c r="Y745" s="270">
        <f t="shared" si="21"/>
        <v>0</v>
      </c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  <c r="CA745" s="271"/>
      <c r="CB745" s="271"/>
      <c r="CC745" s="271"/>
      <c r="CD745" s="271"/>
      <c r="CE745" s="271"/>
    </row>
    <row r="746" spans="1:83" ht="12.6" customHeight="1" x14ac:dyDescent="0.2">
      <c r="A746" s="207" t="str">
        <f>RIGHT($C$83,3)&amp;"*"&amp;RIGHT($C$82,4)&amp;"*"&amp;O$55&amp;"*"&amp;"A"</f>
        <v>142*2020*7010*A</v>
      </c>
      <c r="B746" s="270">
        <f>ROUND(O59,0)</f>
        <v>2689</v>
      </c>
      <c r="C746" s="272">
        <f>ROUND(O60,2)</f>
        <v>68.569999999999993</v>
      </c>
      <c r="D746" s="270">
        <f>ROUND(O61,0)</f>
        <v>7199109</v>
      </c>
      <c r="E746" s="270">
        <f>ROUND(O62,0)</f>
        <v>1735073</v>
      </c>
      <c r="F746" s="270">
        <f>ROUND(O63,0)</f>
        <v>1602460</v>
      </c>
      <c r="G746" s="270">
        <f>ROUND(O64,0)</f>
        <v>729975</v>
      </c>
      <c r="H746" s="270">
        <f>ROUND(O65,0)</f>
        <v>7771</v>
      </c>
      <c r="I746" s="270">
        <f>ROUND(O66,0)</f>
        <v>1206915</v>
      </c>
      <c r="J746" s="270">
        <f>ROUND(O67,0)</f>
        <v>914229</v>
      </c>
      <c r="K746" s="270">
        <f>ROUND(O68,0)</f>
        <v>11177</v>
      </c>
      <c r="L746" s="270">
        <f>ROUND(O69,0)</f>
        <v>32279</v>
      </c>
      <c r="M746" s="270">
        <f>ROUND(O70,0)</f>
        <v>1318</v>
      </c>
      <c r="N746" s="270">
        <f>ROUND(O75,0)</f>
        <v>62528408</v>
      </c>
      <c r="O746" s="270">
        <f>ROUND(O73,0)</f>
        <v>58976022</v>
      </c>
      <c r="P746" s="270">
        <f>IF(O76&gt;0,ROUND(O76,0),0)</f>
        <v>16041</v>
      </c>
      <c r="Q746" s="270">
        <f>IF(O77&gt;0,ROUND(O77,0),0)</f>
        <v>10268</v>
      </c>
      <c r="R746" s="270">
        <f>IF(O78&gt;0,ROUND(O78,0),0)</f>
        <v>4616</v>
      </c>
      <c r="S746" s="270">
        <f>IF(O79&gt;0,ROUND(O79,0),0)</f>
        <v>56644</v>
      </c>
      <c r="T746" s="272">
        <f>IF(O80&gt;0,ROUND(O80,2),0)</f>
        <v>48.91</v>
      </c>
      <c r="U746" s="270"/>
      <c r="V746" s="271"/>
      <c r="W746" s="270"/>
      <c r="X746" s="270"/>
      <c r="Y746" s="270">
        <f t="shared" si="21"/>
        <v>4955730</v>
      </c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  <c r="CA746" s="271"/>
      <c r="CB746" s="271"/>
      <c r="CC746" s="271"/>
      <c r="CD746" s="271"/>
      <c r="CE746" s="271"/>
    </row>
    <row r="747" spans="1:83" ht="12.6" customHeight="1" x14ac:dyDescent="0.2">
      <c r="A747" s="207" t="str">
        <f>RIGHT($C$83,3)&amp;"*"&amp;RIGHT($C$82,4)&amp;"*"&amp;P$55&amp;"*"&amp;"A"</f>
        <v>142*2020*7020*A</v>
      </c>
      <c r="B747" s="270">
        <f>ROUND(P59,0)</f>
        <v>908840</v>
      </c>
      <c r="C747" s="272">
        <f>ROUND(P60,2)</f>
        <v>81.319999999999993</v>
      </c>
      <c r="D747" s="270">
        <f>ROUND(P61,0)</f>
        <v>9198353</v>
      </c>
      <c r="E747" s="270">
        <f>ROUND(P62,0)</f>
        <v>1935985</v>
      </c>
      <c r="F747" s="270">
        <f>ROUND(P63,0)</f>
        <v>3286426</v>
      </c>
      <c r="G747" s="270">
        <f>ROUND(P64,0)</f>
        <v>21878940</v>
      </c>
      <c r="H747" s="270">
        <f>ROUND(P65,0)</f>
        <v>5219</v>
      </c>
      <c r="I747" s="270">
        <f>ROUND(P66,0)</f>
        <v>2291437</v>
      </c>
      <c r="J747" s="270">
        <f>ROUND(P67,0)</f>
        <v>5902971</v>
      </c>
      <c r="K747" s="270">
        <f>ROUND(P68,0)</f>
        <v>1249481</v>
      </c>
      <c r="L747" s="270">
        <f>ROUND(P69,0)</f>
        <v>108137</v>
      </c>
      <c r="M747" s="270">
        <f>ROUND(P70,0)</f>
        <v>9059</v>
      </c>
      <c r="N747" s="270">
        <f>ROUND(P75,0)</f>
        <v>421974007</v>
      </c>
      <c r="O747" s="270">
        <f>ROUND(P73,0)</f>
        <v>211206944</v>
      </c>
      <c r="P747" s="270">
        <f>IF(P76&gt;0,ROUND(P76,0),0)</f>
        <v>58788</v>
      </c>
      <c r="Q747" s="270">
        <f>IF(P77&gt;0,ROUND(P77,0),0)</f>
        <v>5</v>
      </c>
      <c r="R747" s="270">
        <f>IF(P78&gt;0,ROUND(P78,0),0)</f>
        <v>16915</v>
      </c>
      <c r="S747" s="270">
        <f>IF(P79&gt;0,ROUND(P79,0),0)</f>
        <v>319469</v>
      </c>
      <c r="T747" s="272">
        <f>IF(P80&gt;0,ROUND(P80,2),0)</f>
        <v>27.71</v>
      </c>
      <c r="U747" s="270"/>
      <c r="V747" s="271"/>
      <c r="W747" s="270"/>
      <c r="X747" s="270"/>
      <c r="Y747" s="270">
        <f t="shared" si="21"/>
        <v>15334693</v>
      </c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  <c r="CA747" s="271"/>
      <c r="CB747" s="271"/>
      <c r="CC747" s="271"/>
      <c r="CD747" s="271"/>
      <c r="CE747" s="271"/>
    </row>
    <row r="748" spans="1:83" ht="12.6" customHeight="1" x14ac:dyDescent="0.2">
      <c r="A748" s="207" t="str">
        <f>RIGHT($C$83,3)&amp;"*"&amp;RIGHT($C$82,4)&amp;"*"&amp;Q$55&amp;"*"&amp;"A"</f>
        <v>142*2020*7030*A</v>
      </c>
      <c r="B748" s="270">
        <f>ROUND(Q59,0)</f>
        <v>30625</v>
      </c>
      <c r="C748" s="272">
        <f>ROUND(Q60,2)</f>
        <v>44.67</v>
      </c>
      <c r="D748" s="270">
        <f>ROUND(Q61,0)</f>
        <v>4949765</v>
      </c>
      <c r="E748" s="270">
        <f>ROUND(Q62,0)</f>
        <v>1166101</v>
      </c>
      <c r="F748" s="270">
        <f>ROUND(Q63,0)</f>
        <v>0</v>
      </c>
      <c r="G748" s="270">
        <f>ROUND(Q64,0)</f>
        <v>457951</v>
      </c>
      <c r="H748" s="270">
        <f>ROUND(Q65,0)</f>
        <v>2297</v>
      </c>
      <c r="I748" s="270">
        <f>ROUND(Q66,0)</f>
        <v>21985</v>
      </c>
      <c r="J748" s="270">
        <f>ROUND(Q67,0)</f>
        <v>373406</v>
      </c>
      <c r="K748" s="270">
        <f>ROUND(Q68,0)</f>
        <v>2706</v>
      </c>
      <c r="L748" s="270">
        <f>ROUND(Q69,0)</f>
        <v>11484</v>
      </c>
      <c r="M748" s="270">
        <f>ROUND(Q70,0)</f>
        <v>0</v>
      </c>
      <c r="N748" s="270">
        <f>ROUND(Q75,0)</f>
        <v>52089217</v>
      </c>
      <c r="O748" s="270">
        <f>ROUND(Q73,0)</f>
        <v>15260116</v>
      </c>
      <c r="P748" s="270">
        <f>IF(Q76&gt;0,ROUND(Q76,0),0)</f>
        <v>8627</v>
      </c>
      <c r="Q748" s="270">
        <f>IF(Q77&gt;0,ROUND(Q77,0),0)</f>
        <v>0</v>
      </c>
      <c r="R748" s="270">
        <f>IF(Q78&gt;0,ROUND(Q78,0),0)</f>
        <v>2482</v>
      </c>
      <c r="S748" s="270">
        <f>IF(Q79&gt;0,ROUND(Q79,0),0)</f>
        <v>0</v>
      </c>
      <c r="T748" s="272">
        <f>IF(Q80&gt;0,ROUND(Q80,2),0)</f>
        <v>30.36</v>
      </c>
      <c r="U748" s="270"/>
      <c r="V748" s="271"/>
      <c r="W748" s="270"/>
      <c r="X748" s="270"/>
      <c r="Y748" s="270">
        <f t="shared" si="21"/>
        <v>2666695</v>
      </c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  <c r="CA748" s="271"/>
      <c r="CB748" s="271"/>
      <c r="CC748" s="271"/>
      <c r="CD748" s="271"/>
      <c r="CE748" s="271"/>
    </row>
    <row r="749" spans="1:83" ht="12.6" customHeight="1" x14ac:dyDescent="0.2">
      <c r="A749" s="207" t="str">
        <f>RIGHT($C$83,3)&amp;"*"&amp;RIGHT($C$82,4)&amp;"*"&amp;R$55&amp;"*"&amp;"A"</f>
        <v>142*2020*7040*A</v>
      </c>
      <c r="B749" s="270">
        <f>ROUND(R59,0)</f>
        <v>500310</v>
      </c>
      <c r="C749" s="272">
        <f>ROUND(R60,2)</f>
        <v>3.27</v>
      </c>
      <c r="D749" s="270">
        <f>ROUND(R61,0)</f>
        <v>320501</v>
      </c>
      <c r="E749" s="270">
        <f>ROUND(R62,0)</f>
        <v>71175</v>
      </c>
      <c r="F749" s="270">
        <f>ROUND(R63,0)</f>
        <v>376620</v>
      </c>
      <c r="G749" s="270">
        <f>ROUND(R64,0)</f>
        <v>346258</v>
      </c>
      <c r="H749" s="270">
        <f>ROUND(R65,0)</f>
        <v>0</v>
      </c>
      <c r="I749" s="270">
        <f>ROUND(R66,0)</f>
        <v>377317</v>
      </c>
      <c r="J749" s="270">
        <f>ROUND(R67,0)</f>
        <v>4894</v>
      </c>
      <c r="K749" s="270">
        <f>ROUND(R68,0)</f>
        <v>2689</v>
      </c>
      <c r="L749" s="270">
        <f>ROUND(R69,0)</f>
        <v>595</v>
      </c>
      <c r="M749" s="270">
        <f>ROUND(R70,0)</f>
        <v>0</v>
      </c>
      <c r="N749" s="270">
        <f>ROUND(R75,0)</f>
        <v>20788536</v>
      </c>
      <c r="O749" s="270">
        <f>ROUND(R73,0)</f>
        <v>7092956</v>
      </c>
      <c r="P749" s="270">
        <f>IF(R76&gt;0,ROUND(R76,0),0)</f>
        <v>116</v>
      </c>
      <c r="Q749" s="270">
        <f>IF(R77&gt;0,ROUND(R77,0),0)</f>
        <v>0</v>
      </c>
      <c r="R749" s="270">
        <f>IF(R78&gt;0,ROUND(R78,0),0)</f>
        <v>33</v>
      </c>
      <c r="S749" s="270">
        <f>IF(R79&gt;0,ROUND(R79,0),0)</f>
        <v>0</v>
      </c>
      <c r="T749" s="272">
        <f>IF(R80&gt;0,ROUND(R80,2),0)</f>
        <v>2.5099999999999998</v>
      </c>
      <c r="U749" s="270"/>
      <c r="V749" s="271"/>
      <c r="W749" s="270"/>
      <c r="X749" s="270"/>
      <c r="Y749" s="270">
        <f t="shared" si="21"/>
        <v>492434</v>
      </c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  <c r="CA749" s="271"/>
      <c r="CB749" s="271"/>
      <c r="CC749" s="271"/>
      <c r="CD749" s="271"/>
      <c r="CE749" s="271"/>
    </row>
    <row r="750" spans="1:83" ht="12.6" customHeight="1" x14ac:dyDescent="0.2">
      <c r="A750" s="207" t="str">
        <f>RIGHT($C$83,3)&amp;"*"&amp;RIGHT($C$82,4)&amp;"*"&amp;S$55&amp;"*"&amp;"A"</f>
        <v>142*2020*7050*A</v>
      </c>
      <c r="B750" s="270"/>
      <c r="C750" s="272">
        <f>ROUND(S60,2)</f>
        <v>23.65</v>
      </c>
      <c r="D750" s="270">
        <f>ROUND(S61,0)</f>
        <v>1168198</v>
      </c>
      <c r="E750" s="270">
        <f>ROUND(S62,0)</f>
        <v>451179</v>
      </c>
      <c r="F750" s="270">
        <f>ROUND(S63,0)</f>
        <v>0</v>
      </c>
      <c r="G750" s="270">
        <f>ROUND(S64,0)</f>
        <v>-254561</v>
      </c>
      <c r="H750" s="270">
        <f>ROUND(S65,0)</f>
        <v>0</v>
      </c>
      <c r="I750" s="270">
        <f>ROUND(S66,0)</f>
        <v>139096</v>
      </c>
      <c r="J750" s="270">
        <f>ROUND(S67,0)</f>
        <v>460460</v>
      </c>
      <c r="K750" s="270">
        <f>ROUND(S68,0)</f>
        <v>93710</v>
      </c>
      <c r="L750" s="270">
        <f>ROUND(S69,0)</f>
        <v>22972</v>
      </c>
      <c r="M750" s="270">
        <f>ROUND(S70,0)</f>
        <v>0</v>
      </c>
      <c r="N750" s="270">
        <f>ROUND(S75,0)</f>
        <v>0</v>
      </c>
      <c r="O750" s="270">
        <f>ROUND(S73,0)</f>
        <v>0</v>
      </c>
      <c r="P750" s="270">
        <f>IF(S76&gt;0,ROUND(S76,0),0)</f>
        <v>8419</v>
      </c>
      <c r="Q750" s="270">
        <f>IF(S77&gt;0,ROUND(S77,0),0)</f>
        <v>0</v>
      </c>
      <c r="R750" s="270">
        <f>IF(S78&gt;0,ROUND(S78,0),0)</f>
        <v>2422</v>
      </c>
      <c r="S750" s="270">
        <f>IF(S79&gt;0,ROUND(S79,0),0)</f>
        <v>0</v>
      </c>
      <c r="T750" s="272">
        <f>IF(S80&gt;0,ROUND(S80,2),0)</f>
        <v>0</v>
      </c>
      <c r="U750" s="270"/>
      <c r="V750" s="271"/>
      <c r="W750" s="270"/>
      <c r="X750" s="270"/>
      <c r="Y750" s="270">
        <f t="shared" si="21"/>
        <v>721966</v>
      </c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  <c r="CA750" s="271"/>
      <c r="CB750" s="271"/>
      <c r="CC750" s="271"/>
      <c r="CD750" s="271"/>
      <c r="CE750" s="271"/>
    </row>
    <row r="751" spans="1:83" ht="12.6" customHeight="1" x14ac:dyDescent="0.2">
      <c r="A751" s="207" t="str">
        <f>RIGHT($C$83,3)&amp;"*"&amp;RIGHT($C$82,4)&amp;"*"&amp;T$55&amp;"*"&amp;"A"</f>
        <v>142*2020*7060*A</v>
      </c>
      <c r="B751" s="270"/>
      <c r="C751" s="272">
        <f>ROUND(T60,2)</f>
        <v>0</v>
      </c>
      <c r="D751" s="270">
        <f>ROUND(T61,0)</f>
        <v>0</v>
      </c>
      <c r="E751" s="270">
        <f>ROUND(T62,0)</f>
        <v>0</v>
      </c>
      <c r="F751" s="270">
        <f>ROUND(T63,0)</f>
        <v>0</v>
      </c>
      <c r="G751" s="270">
        <f>ROUND(T64,0)</f>
        <v>0</v>
      </c>
      <c r="H751" s="270">
        <f>ROUND(T65,0)</f>
        <v>0</v>
      </c>
      <c r="I751" s="270">
        <f>ROUND(T66,0)</f>
        <v>0</v>
      </c>
      <c r="J751" s="270">
        <f>ROUND(T67,0)</f>
        <v>0</v>
      </c>
      <c r="K751" s="270">
        <f>ROUND(T68,0)</f>
        <v>0</v>
      </c>
      <c r="L751" s="270">
        <f>ROUND(T69,0)</f>
        <v>0</v>
      </c>
      <c r="M751" s="270">
        <f>ROUND(T70,0)</f>
        <v>0</v>
      </c>
      <c r="N751" s="270">
        <f>ROUND(T75,0)</f>
        <v>0</v>
      </c>
      <c r="O751" s="270">
        <f>ROUND(T73,0)</f>
        <v>0</v>
      </c>
      <c r="P751" s="270">
        <f>IF(T76&gt;0,ROUND(T76,0),0)</f>
        <v>0</v>
      </c>
      <c r="Q751" s="270">
        <f>IF(T77&gt;0,ROUND(T77,0),0)</f>
        <v>0</v>
      </c>
      <c r="R751" s="270">
        <f>IF(T78&gt;0,ROUND(T78,0),0)</f>
        <v>0</v>
      </c>
      <c r="S751" s="270">
        <f>IF(T79&gt;0,ROUND(T79,0),0)</f>
        <v>0</v>
      </c>
      <c r="T751" s="272">
        <f>IF(T80&gt;0,ROUND(T80,2),0)</f>
        <v>0</v>
      </c>
      <c r="U751" s="270"/>
      <c r="V751" s="271"/>
      <c r="W751" s="270"/>
      <c r="X751" s="270"/>
      <c r="Y751" s="270">
        <f t="shared" si="21"/>
        <v>0</v>
      </c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  <c r="CA751" s="271"/>
      <c r="CB751" s="271"/>
      <c r="CC751" s="271"/>
      <c r="CD751" s="271"/>
      <c r="CE751" s="271"/>
    </row>
    <row r="752" spans="1:83" ht="12.6" customHeight="1" x14ac:dyDescent="0.2">
      <c r="A752" s="207" t="str">
        <f>RIGHT($C$83,3)&amp;"*"&amp;RIGHT($C$82,4)&amp;"*"&amp;U$55&amp;"*"&amp;"A"</f>
        <v>142*2020*7070*A</v>
      </c>
      <c r="B752" s="270">
        <f>ROUND(U59,0)</f>
        <v>1068434</v>
      </c>
      <c r="C752" s="272">
        <f>ROUND(U60,2)</f>
        <v>58.77</v>
      </c>
      <c r="D752" s="270">
        <f>ROUND(U61,0)</f>
        <v>4556409</v>
      </c>
      <c r="E752" s="270">
        <f>ROUND(U62,0)</f>
        <v>1254350</v>
      </c>
      <c r="F752" s="270">
        <f>ROUND(U63,0)</f>
        <v>56854</v>
      </c>
      <c r="G752" s="270">
        <f>ROUND(U64,0)</f>
        <v>4417202</v>
      </c>
      <c r="H752" s="270">
        <f>ROUND(U65,0)</f>
        <v>282</v>
      </c>
      <c r="I752" s="270">
        <f>ROUND(U66,0)</f>
        <v>4434905</v>
      </c>
      <c r="J752" s="270">
        <f>ROUND(U67,0)</f>
        <v>637312</v>
      </c>
      <c r="K752" s="270">
        <f>ROUND(U68,0)</f>
        <v>72417</v>
      </c>
      <c r="L752" s="270">
        <f>ROUND(U69,0)</f>
        <v>120690</v>
      </c>
      <c r="M752" s="270">
        <f>ROUND(U70,0)</f>
        <v>227252</v>
      </c>
      <c r="N752" s="270">
        <f>ROUND(U75,0)</f>
        <v>107520450</v>
      </c>
      <c r="O752" s="270">
        <f>ROUND(U73,0)</f>
        <v>68906934</v>
      </c>
      <c r="P752" s="270">
        <f>IF(U76&gt;0,ROUND(U76,0),0)</f>
        <v>13374</v>
      </c>
      <c r="Q752" s="270">
        <f>IF(U77&gt;0,ROUND(U77,0),0)</f>
        <v>0</v>
      </c>
      <c r="R752" s="270">
        <f>IF(U78&gt;0,ROUND(U78,0),0)</f>
        <v>3848</v>
      </c>
      <c r="S752" s="270">
        <f>IF(U79&gt;0,ROUND(U79,0),0)</f>
        <v>0</v>
      </c>
      <c r="T752" s="272">
        <f>IF(U80&gt;0,ROUND(U80,2),0)</f>
        <v>0</v>
      </c>
      <c r="U752" s="270"/>
      <c r="V752" s="271"/>
      <c r="W752" s="270"/>
      <c r="X752" s="270"/>
      <c r="Y752" s="270">
        <f t="shared" si="21"/>
        <v>4082699</v>
      </c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  <c r="CA752" s="271"/>
      <c r="CB752" s="271"/>
      <c r="CC752" s="271"/>
      <c r="CD752" s="271"/>
      <c r="CE752" s="271"/>
    </row>
    <row r="753" spans="1:83" ht="12.6" customHeight="1" x14ac:dyDescent="0.2">
      <c r="A753" s="207" t="str">
        <f>RIGHT($C$83,3)&amp;"*"&amp;RIGHT($C$82,4)&amp;"*"&amp;V$55&amp;"*"&amp;"A"</f>
        <v>142*2020*7110*A</v>
      </c>
      <c r="B753" s="270">
        <f>ROUND(V59,0)</f>
        <v>6698</v>
      </c>
      <c r="C753" s="272">
        <f>ROUND(V60,2)</f>
        <v>4.3099999999999996</v>
      </c>
      <c r="D753" s="270">
        <f>ROUND(V61,0)</f>
        <v>447809</v>
      </c>
      <c r="E753" s="270">
        <f>ROUND(V62,0)</f>
        <v>111002</v>
      </c>
      <c r="F753" s="270">
        <f>ROUND(V63,0)</f>
        <v>62884</v>
      </c>
      <c r="G753" s="270">
        <f>ROUND(V64,0)</f>
        <v>201896</v>
      </c>
      <c r="H753" s="270">
        <f>ROUND(V65,0)</f>
        <v>15</v>
      </c>
      <c r="I753" s="270">
        <f>ROUND(V66,0)</f>
        <v>198714</v>
      </c>
      <c r="J753" s="270">
        <f>ROUND(V67,0)</f>
        <v>164379</v>
      </c>
      <c r="K753" s="270">
        <f>ROUND(V68,0)</f>
        <v>0</v>
      </c>
      <c r="L753" s="270">
        <f>ROUND(V69,0)</f>
        <v>0</v>
      </c>
      <c r="M753" s="270">
        <f>ROUND(V70,0)</f>
        <v>0</v>
      </c>
      <c r="N753" s="270">
        <f>ROUND(V75,0)</f>
        <v>36306153</v>
      </c>
      <c r="O753" s="270">
        <f>ROUND(V73,0)</f>
        <v>23204151</v>
      </c>
      <c r="P753" s="270">
        <f>IF(V76&gt;0,ROUND(V76,0),0)</f>
        <v>0</v>
      </c>
      <c r="Q753" s="270">
        <f>IF(V77&gt;0,ROUND(V77,0),0)</f>
        <v>0</v>
      </c>
      <c r="R753" s="270">
        <f>IF(V78&gt;0,ROUND(V78,0),0)</f>
        <v>0</v>
      </c>
      <c r="S753" s="270">
        <f>IF(V79&gt;0,ROUND(V79,0),0)</f>
        <v>0</v>
      </c>
      <c r="T753" s="272">
        <f>IF(V80&gt;0,ROUND(V80,2),0)</f>
        <v>0</v>
      </c>
      <c r="U753" s="270"/>
      <c r="V753" s="271"/>
      <c r="W753" s="270"/>
      <c r="X753" s="270"/>
      <c r="Y753" s="270">
        <f t="shared" si="21"/>
        <v>531502</v>
      </c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  <c r="CA753" s="271"/>
      <c r="CB753" s="271"/>
      <c r="CC753" s="271"/>
      <c r="CD753" s="271"/>
      <c r="CE753" s="271"/>
    </row>
    <row r="754" spans="1:83" ht="12.6" customHeight="1" x14ac:dyDescent="0.2">
      <c r="A754" s="207" t="str">
        <f>RIGHT($C$83,3)&amp;"*"&amp;RIGHT($C$82,4)&amp;"*"&amp;W$55&amp;"*"&amp;"A"</f>
        <v>142*2020*7120*A</v>
      </c>
      <c r="B754" s="270">
        <f>ROUND(W59,0)</f>
        <v>2893</v>
      </c>
      <c r="C754" s="272">
        <f>ROUND(W60,2)</f>
        <v>3.39</v>
      </c>
      <c r="D754" s="270">
        <f>ROUND(W61,0)</f>
        <v>599332</v>
      </c>
      <c r="E754" s="270">
        <f>ROUND(W62,0)</f>
        <v>92172</v>
      </c>
      <c r="F754" s="270">
        <f>ROUND(W63,0)</f>
        <v>0</v>
      </c>
      <c r="G754" s="270">
        <f>ROUND(W64,0)</f>
        <v>71461</v>
      </c>
      <c r="H754" s="270">
        <f>ROUND(W65,0)</f>
        <v>738</v>
      </c>
      <c r="I754" s="270">
        <f>ROUND(W66,0)</f>
        <v>58930</v>
      </c>
      <c r="J754" s="270">
        <f>ROUND(W67,0)</f>
        <v>99915</v>
      </c>
      <c r="K754" s="270">
        <f>ROUND(W68,0)</f>
        <v>1792</v>
      </c>
      <c r="L754" s="270">
        <f>ROUND(W69,0)</f>
        <v>659</v>
      </c>
      <c r="M754" s="270">
        <f>ROUND(W70,0)</f>
        <v>0</v>
      </c>
      <c r="N754" s="270">
        <f>ROUND(W75,0)</f>
        <v>21171023</v>
      </c>
      <c r="O754" s="270">
        <f>ROUND(W73,0)</f>
        <v>7016612</v>
      </c>
      <c r="P754" s="270">
        <f>IF(W76&gt;0,ROUND(W76,0),0)</f>
        <v>2192</v>
      </c>
      <c r="Q754" s="270">
        <f>IF(W77&gt;0,ROUND(W77,0),0)</f>
        <v>0</v>
      </c>
      <c r="R754" s="270">
        <f>IF(W78&gt;0,ROUND(W78,0),0)</f>
        <v>631</v>
      </c>
      <c r="S754" s="270">
        <f>IF(W79&gt;0,ROUND(W79,0),0)</f>
        <v>0</v>
      </c>
      <c r="T754" s="272">
        <f>IF(W80&gt;0,ROUND(W80,2),0)</f>
        <v>0</v>
      </c>
      <c r="U754" s="270"/>
      <c r="V754" s="271"/>
      <c r="W754" s="270"/>
      <c r="X754" s="270"/>
      <c r="Y754" s="270">
        <f t="shared" si="21"/>
        <v>455620</v>
      </c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  <c r="CA754" s="271"/>
      <c r="CB754" s="271"/>
      <c r="CC754" s="271"/>
      <c r="CD754" s="271"/>
      <c r="CE754" s="271"/>
    </row>
    <row r="755" spans="1:83" ht="12.6" customHeight="1" x14ac:dyDescent="0.2">
      <c r="A755" s="207" t="str">
        <f>RIGHT($C$83,3)&amp;"*"&amp;RIGHT($C$82,4)&amp;"*"&amp;X$55&amp;"*"&amp;"A"</f>
        <v>142*2020*7130*A</v>
      </c>
      <c r="B755" s="270">
        <f>ROUND(X59,0)</f>
        <v>0</v>
      </c>
      <c r="C755" s="272">
        <f>ROUND(X60,2)</f>
        <v>0</v>
      </c>
      <c r="D755" s="270">
        <f>ROUND(X61,0)</f>
        <v>0</v>
      </c>
      <c r="E755" s="270">
        <f>ROUND(X62,0)</f>
        <v>0</v>
      </c>
      <c r="F755" s="270">
        <f>ROUND(X63,0)</f>
        <v>0</v>
      </c>
      <c r="G755" s="270">
        <f>ROUND(X64,0)</f>
        <v>0</v>
      </c>
      <c r="H755" s="270">
        <f>ROUND(X65,0)</f>
        <v>0</v>
      </c>
      <c r="I755" s="270">
        <f>ROUND(X66,0)</f>
        <v>0</v>
      </c>
      <c r="J755" s="270">
        <f>ROUND(X67,0)</f>
        <v>0</v>
      </c>
      <c r="K755" s="270">
        <f>ROUND(X68,0)</f>
        <v>0</v>
      </c>
      <c r="L755" s="270">
        <f>ROUND(X69,0)</f>
        <v>0</v>
      </c>
      <c r="M755" s="270">
        <f>ROUND(X70,0)</f>
        <v>0</v>
      </c>
      <c r="N755" s="270">
        <f>ROUND(X75,0)</f>
        <v>0</v>
      </c>
      <c r="O755" s="270">
        <f>ROUND(X73,0)</f>
        <v>0</v>
      </c>
      <c r="P755" s="270">
        <f>IF(X76&gt;0,ROUND(X76,0),0)</f>
        <v>0</v>
      </c>
      <c r="Q755" s="270">
        <f>IF(X77&gt;0,ROUND(X77,0),0)</f>
        <v>0</v>
      </c>
      <c r="R755" s="270">
        <f>IF(X78&gt;0,ROUND(X78,0),0)</f>
        <v>0</v>
      </c>
      <c r="S755" s="270">
        <f>IF(X79&gt;0,ROUND(X79,0),0)</f>
        <v>0</v>
      </c>
      <c r="T755" s="272">
        <f>IF(X80&gt;0,ROUND(X80,2),0)</f>
        <v>0</v>
      </c>
      <c r="U755" s="270"/>
      <c r="V755" s="271"/>
      <c r="W755" s="270"/>
      <c r="X755" s="270"/>
      <c r="Y755" s="270">
        <f t="shared" si="21"/>
        <v>0</v>
      </c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  <c r="CA755" s="271"/>
      <c r="CB755" s="271"/>
      <c r="CC755" s="271"/>
      <c r="CD755" s="271"/>
      <c r="CE755" s="271"/>
    </row>
    <row r="756" spans="1:83" ht="12.6" customHeight="1" x14ac:dyDescent="0.2">
      <c r="A756" s="207" t="str">
        <f>RIGHT($C$83,3)&amp;"*"&amp;RIGHT($C$82,4)&amp;"*"&amp;Y$55&amp;"*"&amp;"A"</f>
        <v>142*2020*7140*A</v>
      </c>
      <c r="B756" s="270">
        <f>ROUND(Y59,0)</f>
        <v>130982</v>
      </c>
      <c r="C756" s="272">
        <f>ROUND(Y60,2)</f>
        <v>143.13</v>
      </c>
      <c r="D756" s="270">
        <f>ROUND(Y61,0)</f>
        <v>13328434</v>
      </c>
      <c r="E756" s="270">
        <f>ROUND(Y62,0)</f>
        <v>3420904</v>
      </c>
      <c r="F756" s="270">
        <f>ROUND(Y63,0)</f>
        <v>1241883</v>
      </c>
      <c r="G756" s="270">
        <f>ROUND(Y64,0)</f>
        <v>16003607</v>
      </c>
      <c r="H756" s="270">
        <f>ROUND(Y65,0)</f>
        <v>285957</v>
      </c>
      <c r="I756" s="270">
        <f>ROUND(Y66,0)</f>
        <v>3914130</v>
      </c>
      <c r="J756" s="270">
        <f>ROUND(Y67,0)</f>
        <v>2723682</v>
      </c>
      <c r="K756" s="270">
        <f>ROUND(Y68,0)</f>
        <v>1058104</v>
      </c>
      <c r="L756" s="270">
        <f>ROUND(Y69,0)</f>
        <v>79693</v>
      </c>
      <c r="M756" s="270">
        <f>ROUND(Y70,0)</f>
        <v>11320</v>
      </c>
      <c r="N756" s="270">
        <f>ROUND(Y75,0)</f>
        <v>469028230</v>
      </c>
      <c r="O756" s="270">
        <f>ROUND(Y73,0)</f>
        <v>177825251</v>
      </c>
      <c r="P756" s="270">
        <f>IF(Y76&gt;0,ROUND(Y76,0),0)</f>
        <v>23073</v>
      </c>
      <c r="Q756" s="270">
        <f>IF(Y77&gt;0,ROUND(Y77,0),0)</f>
        <v>0</v>
      </c>
      <c r="R756" s="270">
        <f>IF(Y78&gt;0,ROUND(Y78,0),0)</f>
        <v>6639</v>
      </c>
      <c r="S756" s="270">
        <f>IF(Y79&gt;0,ROUND(Y79,0),0)</f>
        <v>96370</v>
      </c>
      <c r="T756" s="272">
        <f>IF(Y80&gt;0,ROUND(Y80,2),0)</f>
        <v>18.809999999999999</v>
      </c>
      <c r="U756" s="270"/>
      <c r="V756" s="271"/>
      <c r="W756" s="270"/>
      <c r="X756" s="270"/>
      <c r="Y756" s="270">
        <f t="shared" si="21"/>
        <v>12850713</v>
      </c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  <c r="CA756" s="271"/>
      <c r="CB756" s="271"/>
      <c r="CC756" s="271"/>
      <c r="CD756" s="271"/>
      <c r="CE756" s="271"/>
    </row>
    <row r="757" spans="1:83" ht="12.6" customHeight="1" x14ac:dyDescent="0.2">
      <c r="A757" s="207" t="str">
        <f>RIGHT($C$83,3)&amp;"*"&amp;RIGHT($C$82,4)&amp;"*"&amp;Z$55&amp;"*"&amp;"A"</f>
        <v>142*2020*7150*A</v>
      </c>
      <c r="B757" s="270">
        <f>ROUND(Z59,0)</f>
        <v>15185</v>
      </c>
      <c r="C757" s="272">
        <f>ROUND(Z60,2)</f>
        <v>20.010000000000002</v>
      </c>
      <c r="D757" s="270">
        <f>ROUND(Z61,0)</f>
        <v>1968095</v>
      </c>
      <c r="E757" s="270">
        <f>ROUND(Z62,0)</f>
        <v>508298</v>
      </c>
      <c r="F757" s="270">
        <f>ROUND(Z63,0)</f>
        <v>146013</v>
      </c>
      <c r="G757" s="270">
        <f>ROUND(Z64,0)</f>
        <v>57206</v>
      </c>
      <c r="H757" s="270">
        <f>ROUND(Z65,0)</f>
        <v>38</v>
      </c>
      <c r="I757" s="270">
        <f>ROUND(Z66,0)</f>
        <v>1612778</v>
      </c>
      <c r="J757" s="270">
        <f>ROUND(Z67,0)</f>
        <v>635660</v>
      </c>
      <c r="K757" s="270">
        <f>ROUND(Z68,0)</f>
        <v>9520</v>
      </c>
      <c r="L757" s="270">
        <f>ROUND(Z69,0)</f>
        <v>5460</v>
      </c>
      <c r="M757" s="270">
        <f>ROUND(Z70,0)</f>
        <v>1725</v>
      </c>
      <c r="N757" s="270">
        <f>ROUND(Z75,0)</f>
        <v>46374982</v>
      </c>
      <c r="O757" s="270">
        <f>ROUND(Z73,0)</f>
        <v>2622770</v>
      </c>
      <c r="P757" s="270">
        <f>IF(Z76&gt;0,ROUND(Z76,0),0)</f>
        <v>11773</v>
      </c>
      <c r="Q757" s="270">
        <f>IF(Z77&gt;0,ROUND(Z77,0),0)</f>
        <v>0</v>
      </c>
      <c r="R757" s="270">
        <f>IF(Z78&gt;0,ROUND(Z78,0),0)</f>
        <v>3387</v>
      </c>
      <c r="S757" s="270">
        <f>IF(Z79&gt;0,ROUND(Z79,0),0)</f>
        <v>27548</v>
      </c>
      <c r="T757" s="272">
        <f>IF(Z80&gt;0,ROUND(Z80,2),0)</f>
        <v>2.2799999999999998</v>
      </c>
      <c r="U757" s="270"/>
      <c r="V757" s="271"/>
      <c r="W757" s="270"/>
      <c r="X757" s="270"/>
      <c r="Y757" s="270">
        <f t="shared" si="21"/>
        <v>1825479</v>
      </c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  <c r="CA757" s="271"/>
      <c r="CB757" s="271"/>
      <c r="CC757" s="271"/>
      <c r="CD757" s="271"/>
      <c r="CE757" s="271"/>
    </row>
    <row r="758" spans="1:83" ht="12.6" customHeight="1" x14ac:dyDescent="0.2">
      <c r="A758" s="207" t="str">
        <f>RIGHT($C$83,3)&amp;"*"&amp;RIGHT($C$82,4)&amp;"*"&amp;AA$55&amp;"*"&amp;"A"</f>
        <v>142*2020*7160*A</v>
      </c>
      <c r="B758" s="270">
        <f>ROUND(AA59,0)</f>
        <v>2947</v>
      </c>
      <c r="C758" s="272">
        <f>ROUND(AA60,2)</f>
        <v>3.24</v>
      </c>
      <c r="D758" s="270">
        <f>ROUND(AA61,0)</f>
        <v>360519</v>
      </c>
      <c r="E758" s="270">
        <f>ROUND(AA62,0)</f>
        <v>86748</v>
      </c>
      <c r="F758" s="270">
        <f>ROUND(AA63,0)</f>
        <v>0</v>
      </c>
      <c r="G758" s="270">
        <f>ROUND(AA64,0)</f>
        <v>491581</v>
      </c>
      <c r="H758" s="270">
        <f>ROUND(AA65,0)</f>
        <v>0</v>
      </c>
      <c r="I758" s="270">
        <f>ROUND(AA66,0)</f>
        <v>75312</v>
      </c>
      <c r="J758" s="270">
        <f>ROUND(AA67,0)</f>
        <v>134761</v>
      </c>
      <c r="K758" s="270">
        <f>ROUND(AA68,0)</f>
        <v>402</v>
      </c>
      <c r="L758" s="270">
        <f>ROUND(AA69,0)</f>
        <v>142</v>
      </c>
      <c r="M758" s="270">
        <f>ROUND(AA70,0)</f>
        <v>0</v>
      </c>
      <c r="N758" s="270">
        <f>ROUND(AA75,0)</f>
        <v>17409836</v>
      </c>
      <c r="O758" s="270">
        <f>ROUND(AA73,0)</f>
        <v>5811664</v>
      </c>
      <c r="P758" s="270">
        <f>IF(AA76&gt;0,ROUND(AA76,0),0)</f>
        <v>0</v>
      </c>
      <c r="Q758" s="270">
        <f>IF(AA77&gt;0,ROUND(AA77,0),0)</f>
        <v>0</v>
      </c>
      <c r="R758" s="270">
        <f>IF(AA78&gt;0,ROUND(AA78,0),0)</f>
        <v>0</v>
      </c>
      <c r="S758" s="270">
        <f>IF(AA79&gt;0,ROUND(AA79,0),0)</f>
        <v>0</v>
      </c>
      <c r="T758" s="272">
        <f>IF(AA80&gt;0,ROUND(AA80,2),0)</f>
        <v>0</v>
      </c>
      <c r="U758" s="270"/>
      <c r="V758" s="271"/>
      <c r="W758" s="270"/>
      <c r="X758" s="270"/>
      <c r="Y758" s="270">
        <f t="shared" si="21"/>
        <v>352854</v>
      </c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  <c r="CA758" s="271"/>
      <c r="CB758" s="271"/>
      <c r="CC758" s="271"/>
      <c r="CD758" s="271"/>
      <c r="CE758" s="271"/>
    </row>
    <row r="759" spans="1:83" ht="12.6" customHeight="1" x14ac:dyDescent="0.2">
      <c r="A759" s="207" t="str">
        <f>RIGHT($C$83,3)&amp;"*"&amp;RIGHT($C$82,4)&amp;"*"&amp;AB$55&amp;"*"&amp;"A"</f>
        <v>142*2020*7170*A</v>
      </c>
      <c r="B759" s="270"/>
      <c r="C759" s="272">
        <f>ROUND(AB60,2)</f>
        <v>45.32</v>
      </c>
      <c r="D759" s="270">
        <f>ROUND(AB61,0)</f>
        <v>4968474</v>
      </c>
      <c r="E759" s="270">
        <f>ROUND(AB62,0)</f>
        <v>1191534</v>
      </c>
      <c r="F759" s="270">
        <f>ROUND(AB63,0)</f>
        <v>0</v>
      </c>
      <c r="G759" s="270">
        <f>ROUND(AB64,0)</f>
        <v>13435711</v>
      </c>
      <c r="H759" s="270">
        <f>ROUND(AB65,0)</f>
        <v>1132</v>
      </c>
      <c r="I759" s="270">
        <f>ROUND(AB66,0)</f>
        <v>548590</v>
      </c>
      <c r="J759" s="270">
        <f>ROUND(AB67,0)</f>
        <v>527847</v>
      </c>
      <c r="K759" s="270">
        <f>ROUND(AB68,0)</f>
        <v>40687</v>
      </c>
      <c r="L759" s="270">
        <f>ROUND(AB69,0)</f>
        <v>65055</v>
      </c>
      <c r="M759" s="270">
        <f>ROUND(AB70,0)</f>
        <v>0</v>
      </c>
      <c r="N759" s="270">
        <f>ROUND(AB75,0)</f>
        <v>257156451</v>
      </c>
      <c r="O759" s="270">
        <f>ROUND(AB73,0)</f>
        <v>151028761</v>
      </c>
      <c r="P759" s="270">
        <f>IF(AB76&gt;0,ROUND(AB76,0),0)</f>
        <v>5552</v>
      </c>
      <c r="Q759" s="270">
        <f>IF(AB77&gt;0,ROUND(AB77,0),0)</f>
        <v>0</v>
      </c>
      <c r="R759" s="270">
        <f>IF(AB78&gt;0,ROUND(AB78,0),0)</f>
        <v>1598</v>
      </c>
      <c r="S759" s="270">
        <f>IF(AB79&gt;0,ROUND(AB79,0),0)</f>
        <v>0</v>
      </c>
      <c r="T759" s="272">
        <f>IF(AB80&gt;0,ROUND(AB80,2),0)</f>
        <v>0</v>
      </c>
      <c r="U759" s="270"/>
      <c r="V759" s="271"/>
      <c r="W759" s="270"/>
      <c r="X759" s="270"/>
      <c r="Y759" s="270">
        <f t="shared" si="21"/>
        <v>6311114</v>
      </c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  <c r="CA759" s="271"/>
      <c r="CB759" s="271"/>
      <c r="CC759" s="271"/>
      <c r="CD759" s="271"/>
      <c r="CE759" s="271"/>
    </row>
    <row r="760" spans="1:83" ht="12.6" customHeight="1" x14ac:dyDescent="0.2">
      <c r="A760" s="207" t="str">
        <f>RIGHT($C$83,3)&amp;"*"&amp;RIGHT($C$82,4)&amp;"*"&amp;AC$55&amp;"*"&amp;"A"</f>
        <v>142*2020*7180*A</v>
      </c>
      <c r="B760" s="270">
        <f>ROUND(AC59,0)</f>
        <v>92514</v>
      </c>
      <c r="C760" s="272">
        <f>ROUND(AC60,2)</f>
        <v>48.91</v>
      </c>
      <c r="D760" s="270">
        <f>ROUND(AC61,0)</f>
        <v>4147695</v>
      </c>
      <c r="E760" s="270">
        <f>ROUND(AC62,0)</f>
        <v>1148778</v>
      </c>
      <c r="F760" s="270">
        <f>ROUND(AC63,0)</f>
        <v>39488</v>
      </c>
      <c r="G760" s="270">
        <f>ROUND(AC64,0)</f>
        <v>604957</v>
      </c>
      <c r="H760" s="270">
        <f>ROUND(AC65,0)</f>
        <v>4744</v>
      </c>
      <c r="I760" s="270">
        <f>ROUND(AC66,0)</f>
        <v>124250</v>
      </c>
      <c r="J760" s="270">
        <f>ROUND(AC67,0)</f>
        <v>478238</v>
      </c>
      <c r="K760" s="270">
        <f>ROUND(AC68,0)</f>
        <v>312312</v>
      </c>
      <c r="L760" s="270">
        <f>ROUND(AC69,0)</f>
        <v>19082</v>
      </c>
      <c r="M760" s="270">
        <f>ROUND(AC70,0)</f>
        <v>0</v>
      </c>
      <c r="N760" s="270">
        <f>ROUND(AC75,0)</f>
        <v>51041367</v>
      </c>
      <c r="O760" s="270">
        <f>ROUND(AC73,0)</f>
        <v>41236475</v>
      </c>
      <c r="P760" s="270">
        <f>IF(AC76&gt;0,ROUND(AC76,0),0)</f>
        <v>7609</v>
      </c>
      <c r="Q760" s="270">
        <f>IF(AC77&gt;0,ROUND(AC77,0),0)</f>
        <v>0</v>
      </c>
      <c r="R760" s="270">
        <f>IF(AC78&gt;0,ROUND(AC78,0),0)</f>
        <v>2189</v>
      </c>
      <c r="S760" s="270">
        <f>IF(AC79&gt;0,ROUND(AC79,0),0)</f>
        <v>15229</v>
      </c>
      <c r="T760" s="272">
        <f>IF(AC80&gt;0,ROUND(AC80,2),0)</f>
        <v>1.54</v>
      </c>
      <c r="U760" s="270"/>
      <c r="V760" s="271"/>
      <c r="W760" s="270"/>
      <c r="X760" s="270"/>
      <c r="Y760" s="270">
        <f t="shared" si="21"/>
        <v>1926224</v>
      </c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  <c r="CA760" s="271"/>
      <c r="CB760" s="271"/>
      <c r="CC760" s="271"/>
      <c r="CD760" s="271"/>
      <c r="CE760" s="271"/>
    </row>
    <row r="761" spans="1:83" ht="12.6" customHeight="1" x14ac:dyDescent="0.2">
      <c r="A761" s="207" t="str">
        <f>RIGHT($C$83,3)&amp;"*"&amp;RIGHT($C$82,4)&amp;"*"&amp;AD$55&amp;"*"&amp;"A"</f>
        <v>142*2020*7190*A</v>
      </c>
      <c r="B761" s="270">
        <f>ROUND(AD59,0)</f>
        <v>0</v>
      </c>
      <c r="C761" s="272">
        <f>ROUND(AD60,2)</f>
        <v>0</v>
      </c>
      <c r="D761" s="270">
        <f>ROUND(AD61,0)</f>
        <v>0</v>
      </c>
      <c r="E761" s="270">
        <f>ROUND(AD62,0)</f>
        <v>0</v>
      </c>
      <c r="F761" s="270">
        <f>ROUND(AD63,0)</f>
        <v>0</v>
      </c>
      <c r="G761" s="270">
        <f>ROUND(AD64,0)</f>
        <v>17448</v>
      </c>
      <c r="H761" s="270">
        <f>ROUND(AD65,0)</f>
        <v>0</v>
      </c>
      <c r="I761" s="270">
        <f>ROUND(AD66,0)</f>
        <v>1058413</v>
      </c>
      <c r="J761" s="270">
        <f>ROUND(AD67,0)</f>
        <v>34176</v>
      </c>
      <c r="K761" s="270">
        <f>ROUND(AD68,0)</f>
        <v>0</v>
      </c>
      <c r="L761" s="270">
        <f>ROUND(AD69,0)</f>
        <v>0</v>
      </c>
      <c r="M761" s="270">
        <f>ROUND(AD70,0)</f>
        <v>12488</v>
      </c>
      <c r="N761" s="270">
        <f>ROUND(AD75,0)</f>
        <v>4012278</v>
      </c>
      <c r="O761" s="270">
        <f>ROUND(AD73,0)</f>
        <v>3805030</v>
      </c>
      <c r="P761" s="270">
        <f>IF(AD76&gt;0,ROUND(AD76,0),0)</f>
        <v>810</v>
      </c>
      <c r="Q761" s="270">
        <f>IF(AD77&gt;0,ROUND(AD77,0),0)</f>
        <v>0</v>
      </c>
      <c r="R761" s="270">
        <f>IF(AD78&gt;0,ROUND(AD78,0),0)</f>
        <v>233</v>
      </c>
      <c r="S761" s="270">
        <f>IF(AD79&gt;0,ROUND(AD79,0),0)</f>
        <v>0</v>
      </c>
      <c r="T761" s="272">
        <f>IF(AD80&gt;0,ROUND(AD80,2),0)</f>
        <v>0</v>
      </c>
      <c r="U761" s="270"/>
      <c r="V761" s="271"/>
      <c r="W761" s="270"/>
      <c r="X761" s="270"/>
      <c r="Y761" s="270">
        <f t="shared" si="21"/>
        <v>233599</v>
      </c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  <c r="CA761" s="271"/>
      <c r="CB761" s="271"/>
      <c r="CC761" s="271"/>
      <c r="CD761" s="271"/>
      <c r="CE761" s="271"/>
    </row>
    <row r="762" spans="1:83" ht="12.6" customHeight="1" x14ac:dyDescent="0.2">
      <c r="A762" s="207" t="str">
        <f>RIGHT($C$83,3)&amp;"*"&amp;RIGHT($C$82,4)&amp;"*"&amp;AE$55&amp;"*"&amp;"A"</f>
        <v>142*2020*7200*A</v>
      </c>
      <c r="B762" s="270">
        <f>ROUND(AE59,0)</f>
        <v>68657</v>
      </c>
      <c r="C762" s="272">
        <f>ROUND(AE60,2)</f>
        <v>25.36</v>
      </c>
      <c r="D762" s="270">
        <f>ROUND(AE61,0)</f>
        <v>2247427</v>
      </c>
      <c r="E762" s="270">
        <f>ROUND(AE62,0)</f>
        <v>615076</v>
      </c>
      <c r="F762" s="270">
        <f>ROUND(AE63,0)</f>
        <v>0</v>
      </c>
      <c r="G762" s="270">
        <f>ROUND(AE64,0)</f>
        <v>21619</v>
      </c>
      <c r="H762" s="270">
        <f>ROUND(AE65,0)</f>
        <v>10493</v>
      </c>
      <c r="I762" s="270">
        <f>ROUND(AE66,0)</f>
        <v>446734</v>
      </c>
      <c r="J762" s="270">
        <f>ROUND(AE67,0)</f>
        <v>932257</v>
      </c>
      <c r="K762" s="270">
        <f>ROUND(AE68,0)</f>
        <v>326102</v>
      </c>
      <c r="L762" s="270">
        <f>ROUND(AE69,0)</f>
        <v>7848</v>
      </c>
      <c r="M762" s="270">
        <f>ROUND(AE70,0)</f>
        <v>3505</v>
      </c>
      <c r="N762" s="270">
        <f>ROUND(AE75,0)</f>
        <v>13124335</v>
      </c>
      <c r="O762" s="270">
        <f>ROUND(AE73,0)</f>
        <v>5454932</v>
      </c>
      <c r="P762" s="270">
        <f>IF(AE76&gt;0,ROUND(AE76,0),0)</f>
        <v>21850</v>
      </c>
      <c r="Q762" s="270">
        <f>IF(AE77&gt;0,ROUND(AE77,0),0)</f>
        <v>0</v>
      </c>
      <c r="R762" s="270">
        <f>IF(AE78&gt;0,ROUND(AE78,0),0)</f>
        <v>6287</v>
      </c>
      <c r="S762" s="270">
        <f>IF(AE79&gt;0,ROUND(AE79,0),0)</f>
        <v>23195</v>
      </c>
      <c r="T762" s="272">
        <f>IF(AE80&gt;0,ROUND(AE80,2),0)</f>
        <v>0</v>
      </c>
      <c r="U762" s="270"/>
      <c r="V762" s="271"/>
      <c r="W762" s="270"/>
      <c r="X762" s="270"/>
      <c r="Y762" s="270">
        <f t="shared" si="21"/>
        <v>1927177</v>
      </c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  <c r="CA762" s="271"/>
      <c r="CB762" s="271"/>
      <c r="CC762" s="271"/>
      <c r="CD762" s="271"/>
      <c r="CE762" s="271"/>
    </row>
    <row r="763" spans="1:83" ht="12.6" customHeight="1" x14ac:dyDescent="0.2">
      <c r="A763" s="207" t="str">
        <f>RIGHT($C$83,3)&amp;"*"&amp;RIGHT($C$82,4)&amp;"*"&amp;AF$55&amp;"*"&amp;"A"</f>
        <v>142*2020*7220*A</v>
      </c>
      <c r="B763" s="270">
        <f>ROUND(AF59,0)</f>
        <v>0</v>
      </c>
      <c r="C763" s="272">
        <f>ROUND(AF60,2)</f>
        <v>0</v>
      </c>
      <c r="D763" s="270">
        <f>ROUND(AF61,0)</f>
        <v>0</v>
      </c>
      <c r="E763" s="270">
        <f>ROUND(AF62,0)</f>
        <v>0</v>
      </c>
      <c r="F763" s="270">
        <f>ROUND(AF63,0)</f>
        <v>0</v>
      </c>
      <c r="G763" s="270">
        <f>ROUND(AF64,0)</f>
        <v>0</v>
      </c>
      <c r="H763" s="270">
        <f>ROUND(AF65,0)</f>
        <v>0</v>
      </c>
      <c r="I763" s="270">
        <f>ROUND(AF66,0)</f>
        <v>0</v>
      </c>
      <c r="J763" s="270">
        <f>ROUND(AF67,0)</f>
        <v>0</v>
      </c>
      <c r="K763" s="270">
        <f>ROUND(AF68,0)</f>
        <v>0</v>
      </c>
      <c r="L763" s="270">
        <f>ROUND(AF69,0)</f>
        <v>0</v>
      </c>
      <c r="M763" s="270">
        <f>ROUND(AF70,0)</f>
        <v>0</v>
      </c>
      <c r="N763" s="270">
        <f>ROUND(AF75,0)</f>
        <v>0</v>
      </c>
      <c r="O763" s="270">
        <f>ROUND(AF73,0)</f>
        <v>0</v>
      </c>
      <c r="P763" s="270">
        <f>IF(AF76&gt;0,ROUND(AF76,0),0)</f>
        <v>0</v>
      </c>
      <c r="Q763" s="270">
        <f>IF(AF77&gt;0,ROUND(AF77,0),0)</f>
        <v>0</v>
      </c>
      <c r="R763" s="270">
        <f>IF(AF78&gt;0,ROUND(AF78,0),0)</f>
        <v>0</v>
      </c>
      <c r="S763" s="270">
        <f>IF(AF79&gt;0,ROUND(AF79,0),0)</f>
        <v>0</v>
      </c>
      <c r="T763" s="272">
        <f>IF(AF80&gt;0,ROUND(AF80,2),0)</f>
        <v>0</v>
      </c>
      <c r="U763" s="270"/>
      <c r="V763" s="271"/>
      <c r="W763" s="270"/>
      <c r="X763" s="270"/>
      <c r="Y763" s="270">
        <f t="shared" si="21"/>
        <v>0</v>
      </c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  <c r="CA763" s="271"/>
      <c r="CB763" s="271"/>
      <c r="CC763" s="271"/>
      <c r="CD763" s="271"/>
      <c r="CE763" s="271"/>
    </row>
    <row r="764" spans="1:83" ht="12.6" customHeight="1" x14ac:dyDescent="0.2">
      <c r="A764" s="207" t="str">
        <f>RIGHT($C$83,3)&amp;"*"&amp;RIGHT($C$82,4)&amp;"*"&amp;AG$55&amp;"*"&amp;"A"</f>
        <v>142*2020*7230*A</v>
      </c>
      <c r="B764" s="270">
        <f>ROUND(AG59,0)</f>
        <v>67619</v>
      </c>
      <c r="C764" s="272">
        <f>ROUND(AG60,2)</f>
        <v>93.46</v>
      </c>
      <c r="D764" s="270">
        <f>ROUND(AG61,0)</f>
        <v>10723414</v>
      </c>
      <c r="E764" s="270">
        <f>ROUND(AG62,0)</f>
        <v>2212636</v>
      </c>
      <c r="F764" s="270">
        <f>ROUND(AG63,0)</f>
        <v>5638321</v>
      </c>
      <c r="G764" s="270">
        <f>ROUND(AG64,0)</f>
        <v>1683084</v>
      </c>
      <c r="H764" s="270">
        <f>ROUND(AG65,0)</f>
        <v>2679</v>
      </c>
      <c r="I764" s="270">
        <f>ROUND(AG66,0)</f>
        <v>403210</v>
      </c>
      <c r="J764" s="270">
        <f>ROUND(AG67,0)</f>
        <v>1348256</v>
      </c>
      <c r="K764" s="270">
        <f>ROUND(AG68,0)</f>
        <v>24717</v>
      </c>
      <c r="L764" s="270">
        <f>ROUND(AG69,0)</f>
        <v>80682</v>
      </c>
      <c r="M764" s="270">
        <f>ROUND(AG70,0)</f>
        <v>91000</v>
      </c>
      <c r="N764" s="270">
        <f>ROUND(AG75,0)</f>
        <v>260927975</v>
      </c>
      <c r="O764" s="270">
        <f>ROUND(AG73,0)</f>
        <v>54646880</v>
      </c>
      <c r="P764" s="270">
        <f>IF(AG76&gt;0,ROUND(AG76,0),0)</f>
        <v>28510</v>
      </c>
      <c r="Q764" s="270">
        <f>IF(AG77&gt;0,ROUND(AG77,0),0)</f>
        <v>11807</v>
      </c>
      <c r="R764" s="270">
        <f>IF(AG78&gt;0,ROUND(AG78,0),0)</f>
        <v>8203</v>
      </c>
      <c r="S764" s="270">
        <f>IF(AG79&gt;0,ROUND(AG79,0),0)</f>
        <v>483347</v>
      </c>
      <c r="T764" s="272">
        <f>IF(AG80&gt;0,ROUND(AG80,2),0)</f>
        <v>48.77</v>
      </c>
      <c r="U764" s="270"/>
      <c r="V764" s="271"/>
      <c r="W764" s="270"/>
      <c r="X764" s="270"/>
      <c r="Y764" s="270">
        <f t="shared" si="21"/>
        <v>9000927</v>
      </c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  <c r="CA764" s="271"/>
      <c r="CB764" s="271"/>
      <c r="CC764" s="271"/>
      <c r="CD764" s="271"/>
      <c r="CE764" s="271"/>
    </row>
    <row r="765" spans="1:83" ht="12.6" customHeight="1" x14ac:dyDescent="0.2">
      <c r="A765" s="207" t="str">
        <f>RIGHT($C$83,3)&amp;"*"&amp;RIGHT($C$82,4)&amp;"*"&amp;AH$55&amp;"*"&amp;"A"</f>
        <v>142*2020*7240*A</v>
      </c>
      <c r="B765" s="270">
        <f>ROUND(AH59,0)</f>
        <v>0</v>
      </c>
      <c r="C765" s="272">
        <f>ROUND(AH60,2)</f>
        <v>0</v>
      </c>
      <c r="D765" s="270">
        <f>ROUND(AH61,0)</f>
        <v>0</v>
      </c>
      <c r="E765" s="270">
        <f>ROUND(AH62,0)</f>
        <v>0</v>
      </c>
      <c r="F765" s="270">
        <f>ROUND(AH63,0)</f>
        <v>0</v>
      </c>
      <c r="G765" s="270">
        <f>ROUND(AH64,0)</f>
        <v>0</v>
      </c>
      <c r="H765" s="270">
        <f>ROUND(AH65,0)</f>
        <v>0</v>
      </c>
      <c r="I765" s="270">
        <f>ROUND(AH66,0)</f>
        <v>0</v>
      </c>
      <c r="J765" s="270">
        <f>ROUND(AH67,0)</f>
        <v>0</v>
      </c>
      <c r="K765" s="270">
        <f>ROUND(AH68,0)</f>
        <v>0</v>
      </c>
      <c r="L765" s="270">
        <f>ROUND(AH69,0)</f>
        <v>0</v>
      </c>
      <c r="M765" s="270">
        <f>ROUND(AH70,0)</f>
        <v>0</v>
      </c>
      <c r="N765" s="270">
        <f>ROUND(AH75,0)</f>
        <v>0</v>
      </c>
      <c r="O765" s="270">
        <f>ROUND(AH73,0)</f>
        <v>0</v>
      </c>
      <c r="P765" s="270">
        <f>IF(AH76&gt;0,ROUND(AH76,0),0)</f>
        <v>0</v>
      </c>
      <c r="Q765" s="270">
        <f>IF(AH77&gt;0,ROUND(AH77,0),0)</f>
        <v>0</v>
      </c>
      <c r="R765" s="270">
        <f>IF(AH78&gt;0,ROUND(AH78,0),0)</f>
        <v>0</v>
      </c>
      <c r="S765" s="270">
        <f>IF(AH79&gt;0,ROUND(AH79,0),0)</f>
        <v>0</v>
      </c>
      <c r="T765" s="272">
        <f>IF(AH80&gt;0,ROUND(AH80,2),0)</f>
        <v>0</v>
      </c>
      <c r="U765" s="270"/>
      <c r="V765" s="271"/>
      <c r="W765" s="270"/>
      <c r="X765" s="270"/>
      <c r="Y765" s="270">
        <f t="shared" si="21"/>
        <v>0</v>
      </c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  <c r="CA765" s="271"/>
      <c r="CB765" s="271"/>
      <c r="CC765" s="271"/>
      <c r="CD765" s="271"/>
      <c r="CE765" s="271"/>
    </row>
    <row r="766" spans="1:83" ht="12.6" customHeight="1" x14ac:dyDescent="0.2">
      <c r="A766" s="207" t="str">
        <f>RIGHT($C$83,3)&amp;"*"&amp;RIGHT($C$82,4)&amp;"*"&amp;AI$55&amp;"*"&amp;"A"</f>
        <v>142*2020*7250*A</v>
      </c>
      <c r="B766" s="270">
        <f>ROUND(AI59,0)</f>
        <v>0</v>
      </c>
      <c r="C766" s="272">
        <f>ROUND(AI60,2)</f>
        <v>0</v>
      </c>
      <c r="D766" s="270">
        <f>ROUND(AI61,0)</f>
        <v>0</v>
      </c>
      <c r="E766" s="270">
        <f>ROUND(AI62,0)</f>
        <v>0</v>
      </c>
      <c r="F766" s="270">
        <f>ROUND(AI63,0)</f>
        <v>0</v>
      </c>
      <c r="G766" s="270">
        <f>ROUND(AI64,0)</f>
        <v>0</v>
      </c>
      <c r="H766" s="270">
        <f>ROUND(AI65,0)</f>
        <v>0</v>
      </c>
      <c r="I766" s="270">
        <f>ROUND(AI66,0)</f>
        <v>0</v>
      </c>
      <c r="J766" s="270">
        <f>ROUND(AI67,0)</f>
        <v>0</v>
      </c>
      <c r="K766" s="270">
        <f>ROUND(AI68,0)</f>
        <v>0</v>
      </c>
      <c r="L766" s="270">
        <f>ROUND(AI69,0)</f>
        <v>0</v>
      </c>
      <c r="M766" s="270">
        <f>ROUND(AI70,0)</f>
        <v>0</v>
      </c>
      <c r="N766" s="270">
        <f>ROUND(AI75,0)</f>
        <v>0</v>
      </c>
      <c r="O766" s="270">
        <f>ROUND(AI73,0)</f>
        <v>0</v>
      </c>
      <c r="P766" s="270">
        <f>IF(AI76&gt;0,ROUND(AI76,0),0)</f>
        <v>0</v>
      </c>
      <c r="Q766" s="270">
        <f>IF(AI77&gt;0,ROUND(AI77,0),0)</f>
        <v>0</v>
      </c>
      <c r="R766" s="270">
        <f>IF(AI78&gt;0,ROUND(AI78,0),0)</f>
        <v>0</v>
      </c>
      <c r="S766" s="270">
        <f>IF(AI79&gt;0,ROUND(AI79,0),0)</f>
        <v>0</v>
      </c>
      <c r="T766" s="272">
        <f>IF(AI80&gt;0,ROUND(AI80,2),0)</f>
        <v>0</v>
      </c>
      <c r="U766" s="270"/>
      <c r="V766" s="271"/>
      <c r="W766" s="270"/>
      <c r="X766" s="270"/>
      <c r="Y766" s="270">
        <f t="shared" si="21"/>
        <v>0</v>
      </c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  <c r="CA766" s="271"/>
      <c r="CB766" s="271"/>
      <c r="CC766" s="271"/>
      <c r="CD766" s="271"/>
      <c r="CE766" s="271"/>
    </row>
    <row r="767" spans="1:83" ht="12.6" customHeight="1" x14ac:dyDescent="0.2">
      <c r="A767" s="207" t="str">
        <f>RIGHT($C$83,3)&amp;"*"&amp;RIGHT($C$82,4)&amp;"*"&amp;AJ$55&amp;"*"&amp;"A"</f>
        <v>142*2020*7260*A</v>
      </c>
      <c r="B767" s="270">
        <f>ROUND(AJ59,0)</f>
        <v>506141</v>
      </c>
      <c r="C767" s="272">
        <f>ROUND(AJ60,2)</f>
        <v>492.22</v>
      </c>
      <c r="D767" s="270">
        <f>ROUND(AJ61,0)</f>
        <v>63562727</v>
      </c>
      <c r="E767" s="270">
        <f>ROUND(AJ62,0)</f>
        <v>11481773</v>
      </c>
      <c r="F767" s="270">
        <f>ROUND(AJ63,0)</f>
        <v>25773185</v>
      </c>
      <c r="G767" s="270">
        <f>ROUND(AJ64,0)</f>
        <v>3708261</v>
      </c>
      <c r="H767" s="270">
        <f>ROUND(AJ65,0)</f>
        <v>927679</v>
      </c>
      <c r="I767" s="270">
        <f>ROUND(AJ66,0)</f>
        <v>44736729</v>
      </c>
      <c r="J767" s="270">
        <f>ROUND(AJ67,0)</f>
        <v>4877721</v>
      </c>
      <c r="K767" s="270">
        <f>ROUND(AJ68,0)</f>
        <v>8513056</v>
      </c>
      <c r="L767" s="270">
        <f>ROUND(AJ69,0)</f>
        <v>3074902</v>
      </c>
      <c r="M767" s="270">
        <f>ROUND(AJ70,0)</f>
        <v>4055981</v>
      </c>
      <c r="N767" s="270">
        <f>ROUND(AJ75,0)</f>
        <v>270092994</v>
      </c>
      <c r="O767" s="270">
        <f>ROUND(AJ73,0)</f>
        <v>1073444</v>
      </c>
      <c r="P767" s="270">
        <f>IF(AJ76&gt;0,ROUND(AJ76,0),0)</f>
        <v>0</v>
      </c>
      <c r="Q767" s="270">
        <f>IF(AJ77&gt;0,ROUND(AJ77,0),0)</f>
        <v>0</v>
      </c>
      <c r="R767" s="270">
        <f>IF(AJ78&gt;0,ROUND(AJ78,0),0)</f>
        <v>0</v>
      </c>
      <c r="S767" s="270">
        <f>IF(AJ79&gt;0,ROUND(AJ79,0),0)</f>
        <v>0</v>
      </c>
      <c r="T767" s="272">
        <f>IF(AJ80&gt;0,ROUND(AJ80,2),0)</f>
        <v>53.14</v>
      </c>
      <c r="U767" s="270"/>
      <c r="V767" s="271"/>
      <c r="W767" s="270"/>
      <c r="X767" s="270"/>
      <c r="Y767" s="270">
        <f t="shared" si="21"/>
        <v>26444512</v>
      </c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  <c r="CA767" s="271"/>
      <c r="CB767" s="271"/>
      <c r="CC767" s="271"/>
      <c r="CD767" s="271"/>
      <c r="CE767" s="271"/>
    </row>
    <row r="768" spans="1:83" ht="12.6" customHeight="1" x14ac:dyDescent="0.2">
      <c r="A768" s="207" t="str">
        <f>RIGHT($C$83,3)&amp;"*"&amp;RIGHT($C$82,4)&amp;"*"&amp;AK$55&amp;"*"&amp;"A"</f>
        <v>142*2020*7310*A</v>
      </c>
      <c r="B768" s="270">
        <f>ROUND(AK59,0)</f>
        <v>30310</v>
      </c>
      <c r="C768" s="272">
        <f>ROUND(AK60,2)</f>
        <v>8.74</v>
      </c>
      <c r="D768" s="270">
        <f>ROUND(AK61,0)</f>
        <v>902692</v>
      </c>
      <c r="E768" s="270">
        <f>ROUND(AK62,0)</f>
        <v>226008</v>
      </c>
      <c r="F768" s="270">
        <f>ROUND(AK63,0)</f>
        <v>0</v>
      </c>
      <c r="G768" s="270">
        <f>ROUND(AK64,0)</f>
        <v>8758</v>
      </c>
      <c r="H768" s="270">
        <f>ROUND(AK65,0)</f>
        <v>1287</v>
      </c>
      <c r="I768" s="270">
        <f>ROUND(AK66,0)</f>
        <v>111475</v>
      </c>
      <c r="J768" s="270">
        <f>ROUND(AK67,0)</f>
        <v>197504</v>
      </c>
      <c r="K768" s="270">
        <f>ROUND(AK68,0)</f>
        <v>151994</v>
      </c>
      <c r="L768" s="270">
        <f>ROUND(AK69,0)</f>
        <v>1480</v>
      </c>
      <c r="M768" s="270">
        <f>ROUND(AK70,0)</f>
        <v>2962</v>
      </c>
      <c r="N768" s="270">
        <f>ROUND(AK75,0)</f>
        <v>6924977</v>
      </c>
      <c r="O768" s="270">
        <f>ROUND(AK73,0)</f>
        <v>3626880</v>
      </c>
      <c r="P768" s="270">
        <f>IF(AK76&gt;0,ROUND(AK76,0),0)</f>
        <v>4681</v>
      </c>
      <c r="Q768" s="270">
        <f>IF(AK77&gt;0,ROUND(AK77,0),0)</f>
        <v>0</v>
      </c>
      <c r="R768" s="270">
        <f>IF(AK78&gt;0,ROUND(AK78,0),0)</f>
        <v>1347</v>
      </c>
      <c r="S768" s="270">
        <f>IF(AK79&gt;0,ROUND(AK79,0),0)</f>
        <v>0</v>
      </c>
      <c r="T768" s="272">
        <f>IF(AK80&gt;0,ROUND(AK80,2),0)</f>
        <v>0</v>
      </c>
      <c r="U768" s="270"/>
      <c r="V768" s="271"/>
      <c r="W768" s="270"/>
      <c r="X768" s="270"/>
      <c r="Y768" s="270">
        <f t="shared" si="21"/>
        <v>536500</v>
      </c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  <c r="CA768" s="271"/>
      <c r="CB768" s="271"/>
      <c r="CC768" s="271"/>
      <c r="CD768" s="271"/>
      <c r="CE768" s="271"/>
    </row>
    <row r="769" spans="1:83" ht="12.6" customHeight="1" x14ac:dyDescent="0.2">
      <c r="A769" s="207" t="str">
        <f>RIGHT($C$83,3)&amp;"*"&amp;RIGHT($C$82,4)&amp;"*"&amp;AL$55&amp;"*"&amp;"A"</f>
        <v>142*2020*7320*A</v>
      </c>
      <c r="B769" s="270">
        <f>ROUND(AL59,0)</f>
        <v>6389</v>
      </c>
      <c r="C769" s="272">
        <f>ROUND(AL60,2)</f>
        <v>4.33</v>
      </c>
      <c r="D769" s="270">
        <f>ROUND(AL61,0)</f>
        <v>435575</v>
      </c>
      <c r="E769" s="270">
        <f>ROUND(AL62,0)</f>
        <v>111204</v>
      </c>
      <c r="F769" s="270">
        <f>ROUND(AL63,0)</f>
        <v>0</v>
      </c>
      <c r="G769" s="270">
        <f>ROUND(AL64,0)</f>
        <v>7470</v>
      </c>
      <c r="H769" s="270">
        <f>ROUND(AL65,0)</f>
        <v>191</v>
      </c>
      <c r="I769" s="270">
        <f>ROUND(AL66,0)</f>
        <v>69729</v>
      </c>
      <c r="J769" s="270">
        <f>ROUND(AL67,0)</f>
        <v>64977</v>
      </c>
      <c r="K769" s="270">
        <f>ROUND(AL68,0)</f>
        <v>95747</v>
      </c>
      <c r="L769" s="270">
        <f>ROUND(AL69,0)</f>
        <v>1336</v>
      </c>
      <c r="M769" s="270">
        <f>ROUND(AL70,0)</f>
        <v>2000</v>
      </c>
      <c r="N769" s="270">
        <f>ROUND(AL75,0)</f>
        <v>3440630</v>
      </c>
      <c r="O769" s="270">
        <f>ROUND(AL73,0)</f>
        <v>1585842</v>
      </c>
      <c r="P769" s="270">
        <f>IF(AL76&gt;0,ROUND(AL76,0),0)</f>
        <v>1540</v>
      </c>
      <c r="Q769" s="270">
        <f>IF(AL77&gt;0,ROUND(AL77,0),0)</f>
        <v>0</v>
      </c>
      <c r="R769" s="270">
        <f>IF(AL78&gt;0,ROUND(AL78,0),0)</f>
        <v>443</v>
      </c>
      <c r="S769" s="270">
        <f>IF(AL79&gt;0,ROUND(AL79,0),0)</f>
        <v>0</v>
      </c>
      <c r="T769" s="272">
        <f>IF(AL80&gt;0,ROUND(AL80,2),0)</f>
        <v>0</v>
      </c>
      <c r="U769" s="270"/>
      <c r="V769" s="271"/>
      <c r="W769" s="270"/>
      <c r="X769" s="270"/>
      <c r="Y769" s="270">
        <f t="shared" si="21"/>
        <v>223856</v>
      </c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  <c r="CA769" s="271"/>
      <c r="CB769" s="271"/>
      <c r="CC769" s="271"/>
      <c r="CD769" s="271"/>
      <c r="CE769" s="271"/>
    </row>
    <row r="770" spans="1:83" ht="12.6" customHeight="1" x14ac:dyDescent="0.2">
      <c r="A770" s="207" t="str">
        <f>RIGHT($C$83,3)&amp;"*"&amp;RIGHT($C$82,4)&amp;"*"&amp;AM$55&amp;"*"&amp;"A"</f>
        <v>142*2020*7330*A</v>
      </c>
      <c r="B770" s="270">
        <f>ROUND(AM59,0)</f>
        <v>0</v>
      </c>
      <c r="C770" s="272">
        <f>ROUND(AM60,2)</f>
        <v>0</v>
      </c>
      <c r="D770" s="270">
        <f>ROUND(AM61,0)</f>
        <v>0</v>
      </c>
      <c r="E770" s="270">
        <f>ROUND(AM62,0)</f>
        <v>0</v>
      </c>
      <c r="F770" s="270">
        <f>ROUND(AM63,0)</f>
        <v>0</v>
      </c>
      <c r="G770" s="270">
        <f>ROUND(AM64,0)</f>
        <v>0</v>
      </c>
      <c r="H770" s="270">
        <f>ROUND(AM65,0)</f>
        <v>0</v>
      </c>
      <c r="I770" s="270">
        <f>ROUND(AM66,0)</f>
        <v>0</v>
      </c>
      <c r="J770" s="270">
        <f>ROUND(AM67,0)</f>
        <v>0</v>
      </c>
      <c r="K770" s="270">
        <f>ROUND(AM68,0)</f>
        <v>0</v>
      </c>
      <c r="L770" s="270">
        <f>ROUND(AM69,0)</f>
        <v>0</v>
      </c>
      <c r="M770" s="270">
        <f>ROUND(AM70,0)</f>
        <v>0</v>
      </c>
      <c r="N770" s="270">
        <f>ROUND(AM75,0)</f>
        <v>0</v>
      </c>
      <c r="O770" s="270">
        <f>ROUND(AM73,0)</f>
        <v>0</v>
      </c>
      <c r="P770" s="270">
        <f>IF(AM76&gt;0,ROUND(AM76,0),0)</f>
        <v>0</v>
      </c>
      <c r="Q770" s="270">
        <f>IF(AM77&gt;0,ROUND(AM77,0),0)</f>
        <v>0</v>
      </c>
      <c r="R770" s="270">
        <f>IF(AM78&gt;0,ROUND(AM78,0),0)</f>
        <v>0</v>
      </c>
      <c r="S770" s="270">
        <f>IF(AM79&gt;0,ROUND(AM79,0),0)</f>
        <v>0</v>
      </c>
      <c r="T770" s="272">
        <f>IF(AM80&gt;0,ROUND(AM80,2),0)</f>
        <v>0</v>
      </c>
      <c r="U770" s="270"/>
      <c r="V770" s="271"/>
      <c r="W770" s="270"/>
      <c r="X770" s="270"/>
      <c r="Y770" s="270">
        <f t="shared" si="21"/>
        <v>0</v>
      </c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  <c r="CA770" s="271"/>
      <c r="CB770" s="271"/>
      <c r="CC770" s="271"/>
      <c r="CD770" s="271"/>
      <c r="CE770" s="271"/>
    </row>
    <row r="771" spans="1:83" ht="12.6" customHeight="1" x14ac:dyDescent="0.2">
      <c r="A771" s="207" t="str">
        <f>RIGHT($C$83,3)&amp;"*"&amp;RIGHT($C$82,4)&amp;"*"&amp;AN$55&amp;"*"&amp;"A"</f>
        <v>142*2020*7340*A</v>
      </c>
      <c r="B771" s="270">
        <f>ROUND(AN59,0)</f>
        <v>0</v>
      </c>
      <c r="C771" s="272">
        <f>ROUND(AN60,2)</f>
        <v>0</v>
      </c>
      <c r="D771" s="270">
        <f>ROUND(AN61,0)</f>
        <v>0</v>
      </c>
      <c r="E771" s="270">
        <f>ROUND(AN62,0)</f>
        <v>0</v>
      </c>
      <c r="F771" s="270">
        <f>ROUND(AN63,0)</f>
        <v>0</v>
      </c>
      <c r="G771" s="270">
        <f>ROUND(AN64,0)</f>
        <v>0</v>
      </c>
      <c r="H771" s="270">
        <f>ROUND(AN65,0)</f>
        <v>0</v>
      </c>
      <c r="I771" s="270">
        <f>ROUND(AN66,0)</f>
        <v>0</v>
      </c>
      <c r="J771" s="270">
        <f>ROUND(AN67,0)</f>
        <v>0</v>
      </c>
      <c r="K771" s="270">
        <f>ROUND(AN68,0)</f>
        <v>0</v>
      </c>
      <c r="L771" s="270">
        <f>ROUND(AN69,0)</f>
        <v>0</v>
      </c>
      <c r="M771" s="270">
        <f>ROUND(AN70,0)</f>
        <v>0</v>
      </c>
      <c r="N771" s="270">
        <f>ROUND(AN75,0)</f>
        <v>0</v>
      </c>
      <c r="O771" s="270">
        <f>ROUND(AN73,0)</f>
        <v>0</v>
      </c>
      <c r="P771" s="270">
        <f>IF(AN76&gt;0,ROUND(AN76,0),0)</f>
        <v>0</v>
      </c>
      <c r="Q771" s="270">
        <f>IF(AN77&gt;0,ROUND(AN77,0),0)</f>
        <v>0</v>
      </c>
      <c r="R771" s="270">
        <f>IF(AN78&gt;0,ROUND(AN78,0),0)</f>
        <v>0</v>
      </c>
      <c r="S771" s="270">
        <f>IF(AN79&gt;0,ROUND(AN79,0),0)</f>
        <v>0</v>
      </c>
      <c r="T771" s="272">
        <f>IF(AN80&gt;0,ROUND(AN80,2),0)</f>
        <v>0</v>
      </c>
      <c r="U771" s="270"/>
      <c r="V771" s="271"/>
      <c r="W771" s="270"/>
      <c r="X771" s="270"/>
      <c r="Y771" s="270">
        <f t="shared" si="21"/>
        <v>0</v>
      </c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  <c r="CA771" s="271"/>
      <c r="CB771" s="271"/>
      <c r="CC771" s="271"/>
      <c r="CD771" s="271"/>
      <c r="CE771" s="271"/>
    </row>
    <row r="772" spans="1:83" ht="12.6" customHeight="1" x14ac:dyDescent="0.2">
      <c r="A772" s="207" t="str">
        <f>RIGHT($C$83,3)&amp;"*"&amp;RIGHT($C$82,4)&amp;"*"&amp;AO$55&amp;"*"&amp;"A"</f>
        <v>142*2020*7350*A</v>
      </c>
      <c r="B772" s="270">
        <f>ROUND(AO59,0)</f>
        <v>0</v>
      </c>
      <c r="C772" s="272">
        <f>ROUND(AO60,2)</f>
        <v>0</v>
      </c>
      <c r="D772" s="270">
        <f>ROUND(AO61,0)</f>
        <v>0</v>
      </c>
      <c r="E772" s="270">
        <f>ROUND(AO62,0)</f>
        <v>0</v>
      </c>
      <c r="F772" s="270">
        <f>ROUND(AO63,0)</f>
        <v>0</v>
      </c>
      <c r="G772" s="270">
        <f>ROUND(AO64,0)</f>
        <v>0</v>
      </c>
      <c r="H772" s="270">
        <f>ROUND(AO65,0)</f>
        <v>0</v>
      </c>
      <c r="I772" s="270">
        <f>ROUND(AO66,0)</f>
        <v>0</v>
      </c>
      <c r="J772" s="270">
        <f>ROUND(AO67,0)</f>
        <v>0</v>
      </c>
      <c r="K772" s="270">
        <f>ROUND(AO68,0)</f>
        <v>0</v>
      </c>
      <c r="L772" s="270">
        <f>ROUND(AO69,0)</f>
        <v>0</v>
      </c>
      <c r="M772" s="270">
        <f>ROUND(AO70,0)</f>
        <v>0</v>
      </c>
      <c r="N772" s="270">
        <f>ROUND(AO75,0)</f>
        <v>0</v>
      </c>
      <c r="O772" s="270">
        <f>ROUND(AO73,0)</f>
        <v>0</v>
      </c>
      <c r="P772" s="270">
        <f>IF(AO76&gt;0,ROUND(AO76,0),0)</f>
        <v>0</v>
      </c>
      <c r="Q772" s="270">
        <f>IF(AO77&gt;0,ROUND(AO77,0),0)</f>
        <v>0</v>
      </c>
      <c r="R772" s="270">
        <f>IF(AO78&gt;0,ROUND(AO78,0),0)</f>
        <v>0</v>
      </c>
      <c r="S772" s="270">
        <f>IF(AO79&gt;0,ROUND(AO79,0),0)</f>
        <v>0</v>
      </c>
      <c r="T772" s="272">
        <f>IF(AO80&gt;0,ROUND(AO80,2),0)</f>
        <v>0</v>
      </c>
      <c r="U772" s="270"/>
      <c r="V772" s="271"/>
      <c r="W772" s="270"/>
      <c r="X772" s="270"/>
      <c r="Y772" s="270">
        <f t="shared" si="21"/>
        <v>0</v>
      </c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  <c r="CA772" s="271"/>
      <c r="CB772" s="271"/>
      <c r="CC772" s="271"/>
      <c r="CD772" s="271"/>
      <c r="CE772" s="271"/>
    </row>
    <row r="773" spans="1:83" ht="12.6" customHeight="1" x14ac:dyDescent="0.2">
      <c r="A773" s="207" t="str">
        <f>RIGHT($C$83,3)&amp;"*"&amp;RIGHT($C$82,4)&amp;"*"&amp;AP$55&amp;"*"&amp;"A"</f>
        <v>142*2020*7380*A</v>
      </c>
      <c r="B773" s="270">
        <f>ROUND(AP59,0)</f>
        <v>514343</v>
      </c>
      <c r="C773" s="272">
        <f>ROUND(AP60,2)</f>
        <v>90.83</v>
      </c>
      <c r="D773" s="270">
        <f>ROUND(AP61,0)</f>
        <v>6717994</v>
      </c>
      <c r="E773" s="270">
        <f>ROUND(AP62,0)</f>
        <v>2007858</v>
      </c>
      <c r="F773" s="270">
        <f>ROUND(AP63,0)</f>
        <v>21375</v>
      </c>
      <c r="G773" s="270">
        <f>ROUND(AP64,0)</f>
        <v>38339707</v>
      </c>
      <c r="H773" s="270">
        <f>ROUND(AP65,0)</f>
        <v>109357</v>
      </c>
      <c r="I773" s="270">
        <f>ROUND(AP66,0)</f>
        <v>1640659</v>
      </c>
      <c r="J773" s="270">
        <f>ROUND(AP67,0)</f>
        <v>3351015</v>
      </c>
      <c r="K773" s="270">
        <f>ROUND(AP68,0)</f>
        <v>650062</v>
      </c>
      <c r="L773" s="270">
        <f>ROUND(AP69,0)</f>
        <v>55695</v>
      </c>
      <c r="M773" s="270">
        <f>ROUND(AP70,0)</f>
        <v>1301690</v>
      </c>
      <c r="N773" s="270">
        <f>ROUND(AP75,0)</f>
        <v>394146076</v>
      </c>
      <c r="O773" s="270">
        <f>ROUND(AP73,0)</f>
        <v>805266</v>
      </c>
      <c r="P773" s="270">
        <f>IF(AP76&gt;0,ROUND(AP76,0),0)</f>
        <v>63472</v>
      </c>
      <c r="Q773" s="270">
        <f>IF(AP77&gt;0,ROUND(AP77,0),0)</f>
        <v>0</v>
      </c>
      <c r="R773" s="270">
        <f>IF(AP78&gt;0,ROUND(AP78,0),0)</f>
        <v>18263</v>
      </c>
      <c r="S773" s="270">
        <f>IF(AP79&gt;0,ROUND(AP79,0),0)</f>
        <v>0</v>
      </c>
      <c r="T773" s="272">
        <f>IF(AP80&gt;0,ROUND(AP80,2),0)</f>
        <v>31.36</v>
      </c>
      <c r="U773" s="270"/>
      <c r="V773" s="271"/>
      <c r="W773" s="270"/>
      <c r="X773" s="270"/>
      <c r="Y773" s="270">
        <f t="shared" si="21"/>
        <v>16839246</v>
      </c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  <c r="CA773" s="271"/>
      <c r="CB773" s="271"/>
      <c r="CC773" s="271"/>
      <c r="CD773" s="271"/>
      <c r="CE773" s="271"/>
    </row>
    <row r="774" spans="1:83" ht="12.6" customHeight="1" x14ac:dyDescent="0.2">
      <c r="A774" s="207" t="str">
        <f>RIGHT($C$83,3)&amp;"*"&amp;RIGHT($C$82,4)&amp;"*"&amp;AQ$55&amp;"*"&amp;"A"</f>
        <v>142*2020*7390*A</v>
      </c>
      <c r="B774" s="270">
        <f>ROUND(AQ59,0)</f>
        <v>0</v>
      </c>
      <c r="C774" s="272">
        <f>ROUND(AQ60,2)</f>
        <v>0</v>
      </c>
      <c r="D774" s="270">
        <f>ROUND(AQ61,0)</f>
        <v>0</v>
      </c>
      <c r="E774" s="270">
        <f>ROUND(AQ62,0)</f>
        <v>0</v>
      </c>
      <c r="F774" s="270">
        <f>ROUND(AQ63,0)</f>
        <v>0</v>
      </c>
      <c r="G774" s="270">
        <f>ROUND(AQ64,0)</f>
        <v>0</v>
      </c>
      <c r="H774" s="270">
        <f>ROUND(AQ65,0)</f>
        <v>0</v>
      </c>
      <c r="I774" s="270">
        <f>ROUND(AQ66,0)</f>
        <v>0</v>
      </c>
      <c r="J774" s="270">
        <f>ROUND(AQ67,0)</f>
        <v>0</v>
      </c>
      <c r="K774" s="270">
        <f>ROUND(AQ68,0)</f>
        <v>0</v>
      </c>
      <c r="L774" s="270">
        <f>ROUND(AQ69,0)</f>
        <v>0</v>
      </c>
      <c r="M774" s="270">
        <f>ROUND(AQ70,0)</f>
        <v>0</v>
      </c>
      <c r="N774" s="270">
        <f>ROUND(AQ75,0)</f>
        <v>0</v>
      </c>
      <c r="O774" s="270">
        <f>ROUND(AQ73,0)</f>
        <v>0</v>
      </c>
      <c r="P774" s="270">
        <f>IF(AQ76&gt;0,ROUND(AQ76,0),0)</f>
        <v>0</v>
      </c>
      <c r="Q774" s="270">
        <f>IF(AQ77&gt;0,ROUND(AQ77,0),0)</f>
        <v>0</v>
      </c>
      <c r="R774" s="270">
        <f>IF(AQ78&gt;0,ROUND(AQ78,0),0)</f>
        <v>0</v>
      </c>
      <c r="S774" s="270">
        <f>IF(AQ79&gt;0,ROUND(AQ79,0),0)</f>
        <v>0</v>
      </c>
      <c r="T774" s="272">
        <f>IF(AQ80&gt;0,ROUND(AQ80,2),0)</f>
        <v>0</v>
      </c>
      <c r="U774" s="270"/>
      <c r="V774" s="271"/>
      <c r="W774" s="270"/>
      <c r="X774" s="270"/>
      <c r="Y774" s="270">
        <f t="shared" si="21"/>
        <v>0</v>
      </c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  <c r="CA774" s="271"/>
      <c r="CB774" s="271"/>
      <c r="CC774" s="271"/>
      <c r="CD774" s="271"/>
      <c r="CE774" s="271"/>
    </row>
    <row r="775" spans="1:83" ht="12.6" customHeight="1" x14ac:dyDescent="0.2">
      <c r="A775" s="207" t="str">
        <f>RIGHT($C$83,3)&amp;"*"&amp;RIGHT($C$82,4)&amp;"*"&amp;AR$55&amp;"*"&amp;"A"</f>
        <v>142*2020*7400*A</v>
      </c>
      <c r="B775" s="270">
        <f>ROUND(AR59,0)</f>
        <v>0</v>
      </c>
      <c r="C775" s="272">
        <f>ROUND(AR60,2)</f>
        <v>0</v>
      </c>
      <c r="D775" s="270">
        <f>ROUND(AR61,0)</f>
        <v>0</v>
      </c>
      <c r="E775" s="270">
        <f>ROUND(AR62,0)</f>
        <v>0</v>
      </c>
      <c r="F775" s="270">
        <f>ROUND(AR63,0)</f>
        <v>0</v>
      </c>
      <c r="G775" s="270">
        <f>ROUND(AR64,0)</f>
        <v>0</v>
      </c>
      <c r="H775" s="270">
        <f>ROUND(AR65,0)</f>
        <v>0</v>
      </c>
      <c r="I775" s="270">
        <f>ROUND(AR66,0)</f>
        <v>129810</v>
      </c>
      <c r="J775" s="270">
        <f>ROUND(AR67,0)</f>
        <v>0</v>
      </c>
      <c r="K775" s="270">
        <f>ROUND(AR68,0)</f>
        <v>0</v>
      </c>
      <c r="L775" s="270">
        <f>ROUND(AR69,0)</f>
        <v>0</v>
      </c>
      <c r="M775" s="270">
        <f>ROUND(AR70,0)</f>
        <v>0</v>
      </c>
      <c r="N775" s="270">
        <f>ROUND(AR75,0)</f>
        <v>0</v>
      </c>
      <c r="O775" s="270">
        <f>ROUND(AR73,0)</f>
        <v>0</v>
      </c>
      <c r="P775" s="270">
        <f>IF(AR76&gt;0,ROUND(AR76,0),0)</f>
        <v>0</v>
      </c>
      <c r="Q775" s="270">
        <f>IF(AR77&gt;0,ROUND(AR77,0),0)</f>
        <v>0</v>
      </c>
      <c r="R775" s="270">
        <f>IF(AR78&gt;0,ROUND(AR78,0),0)</f>
        <v>0</v>
      </c>
      <c r="S775" s="270">
        <f>IF(AR79&gt;0,ROUND(AR79,0),0)</f>
        <v>0</v>
      </c>
      <c r="T775" s="272">
        <f>IF(AR80&gt;0,ROUND(AR80,2),0)</f>
        <v>0</v>
      </c>
      <c r="U775" s="270"/>
      <c r="V775" s="271"/>
      <c r="W775" s="270"/>
      <c r="X775" s="270"/>
      <c r="Y775" s="270">
        <f t="shared" si="21"/>
        <v>17783</v>
      </c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  <c r="CA775" s="271"/>
      <c r="CB775" s="271"/>
      <c r="CC775" s="271"/>
      <c r="CD775" s="271"/>
      <c r="CE775" s="271"/>
    </row>
    <row r="776" spans="1:83" ht="12.6" customHeight="1" x14ac:dyDescent="0.2">
      <c r="A776" s="207" t="str">
        <f>RIGHT($C$83,3)&amp;"*"&amp;RIGHT($C$82,4)&amp;"*"&amp;AS$55&amp;"*"&amp;"A"</f>
        <v>142*2020*7410*A</v>
      </c>
      <c r="B776" s="270">
        <f>ROUND(AS59,0)</f>
        <v>0</v>
      </c>
      <c r="C776" s="272">
        <f>ROUND(AS60,2)</f>
        <v>0</v>
      </c>
      <c r="D776" s="270">
        <f>ROUND(AS61,0)</f>
        <v>0</v>
      </c>
      <c r="E776" s="270">
        <f>ROUND(AS62,0)</f>
        <v>0</v>
      </c>
      <c r="F776" s="270">
        <f>ROUND(AS63,0)</f>
        <v>0</v>
      </c>
      <c r="G776" s="270">
        <f>ROUND(AS64,0)</f>
        <v>0</v>
      </c>
      <c r="H776" s="270">
        <f>ROUND(AS65,0)</f>
        <v>0</v>
      </c>
      <c r="I776" s="270">
        <f>ROUND(AS66,0)</f>
        <v>0</v>
      </c>
      <c r="J776" s="270">
        <f>ROUND(AS67,0)</f>
        <v>0</v>
      </c>
      <c r="K776" s="270">
        <f>ROUND(AS68,0)</f>
        <v>0</v>
      </c>
      <c r="L776" s="270">
        <f>ROUND(AS69,0)</f>
        <v>0</v>
      </c>
      <c r="M776" s="270">
        <f>ROUND(AS70,0)</f>
        <v>0</v>
      </c>
      <c r="N776" s="270">
        <f>ROUND(AS75,0)</f>
        <v>0</v>
      </c>
      <c r="O776" s="270">
        <f>ROUND(AS73,0)</f>
        <v>0</v>
      </c>
      <c r="P776" s="270">
        <f>IF(AS76&gt;0,ROUND(AS76,0),0)</f>
        <v>0</v>
      </c>
      <c r="Q776" s="270">
        <f>IF(AS77&gt;0,ROUND(AS77,0),0)</f>
        <v>0</v>
      </c>
      <c r="R776" s="270">
        <f>IF(AS78&gt;0,ROUND(AS78,0),0)</f>
        <v>0</v>
      </c>
      <c r="S776" s="270">
        <f>IF(AS79&gt;0,ROUND(AS79,0),0)</f>
        <v>0</v>
      </c>
      <c r="T776" s="272">
        <f>IF(AS80&gt;0,ROUND(AS80,2),0)</f>
        <v>0</v>
      </c>
      <c r="U776" s="270"/>
      <c r="V776" s="271"/>
      <c r="W776" s="270"/>
      <c r="X776" s="270"/>
      <c r="Y776" s="270">
        <f t="shared" si="21"/>
        <v>0</v>
      </c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  <c r="CA776" s="271"/>
      <c r="CB776" s="271"/>
      <c r="CC776" s="271"/>
      <c r="CD776" s="271"/>
      <c r="CE776" s="271"/>
    </row>
    <row r="777" spans="1:83" ht="12.6" customHeight="1" x14ac:dyDescent="0.2">
      <c r="A777" s="207" t="str">
        <f>RIGHT($C$83,3)&amp;"*"&amp;RIGHT($C$82,4)&amp;"*"&amp;AT$55&amp;"*"&amp;"A"</f>
        <v>142*2020*7420*A</v>
      </c>
      <c r="B777" s="270">
        <f>ROUND(AT59,0)</f>
        <v>0</v>
      </c>
      <c r="C777" s="272">
        <f>ROUND(AT60,2)</f>
        <v>0</v>
      </c>
      <c r="D777" s="270">
        <f>ROUND(AT61,0)</f>
        <v>0</v>
      </c>
      <c r="E777" s="270">
        <f>ROUND(AT62,0)</f>
        <v>0</v>
      </c>
      <c r="F777" s="270">
        <f>ROUND(AT63,0)</f>
        <v>0</v>
      </c>
      <c r="G777" s="270">
        <f>ROUND(AT64,0)</f>
        <v>0</v>
      </c>
      <c r="H777" s="270">
        <f>ROUND(AT65,0)</f>
        <v>0</v>
      </c>
      <c r="I777" s="270">
        <f>ROUND(AT66,0)</f>
        <v>0</v>
      </c>
      <c r="J777" s="270">
        <f>ROUND(AT67,0)</f>
        <v>0</v>
      </c>
      <c r="K777" s="270">
        <f>ROUND(AT68,0)</f>
        <v>0</v>
      </c>
      <c r="L777" s="270">
        <f>ROUND(AT69,0)</f>
        <v>0</v>
      </c>
      <c r="M777" s="270">
        <f>ROUND(AT70,0)</f>
        <v>0</v>
      </c>
      <c r="N777" s="270">
        <f>ROUND(AT75,0)</f>
        <v>0</v>
      </c>
      <c r="O777" s="270">
        <f>ROUND(AT73,0)</f>
        <v>0</v>
      </c>
      <c r="P777" s="270">
        <f>IF(AT76&gt;0,ROUND(AT76,0),0)</f>
        <v>0</v>
      </c>
      <c r="Q777" s="270">
        <f>IF(AT77&gt;0,ROUND(AT77,0),0)</f>
        <v>0</v>
      </c>
      <c r="R777" s="270">
        <f>IF(AT78&gt;0,ROUND(AT78,0),0)</f>
        <v>0</v>
      </c>
      <c r="S777" s="270">
        <f>IF(AT79&gt;0,ROUND(AT79,0),0)</f>
        <v>0</v>
      </c>
      <c r="T777" s="272">
        <f>IF(AT80&gt;0,ROUND(AT80,2),0)</f>
        <v>0</v>
      </c>
      <c r="U777" s="270"/>
      <c r="V777" s="271"/>
      <c r="W777" s="270"/>
      <c r="X777" s="270"/>
      <c r="Y777" s="270">
        <f t="shared" si="21"/>
        <v>0</v>
      </c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  <c r="CA777" s="271"/>
      <c r="CB777" s="271"/>
      <c r="CC777" s="271"/>
      <c r="CD777" s="271"/>
      <c r="CE777" s="271"/>
    </row>
    <row r="778" spans="1:83" ht="12.6" customHeight="1" x14ac:dyDescent="0.2">
      <c r="A778" s="207" t="str">
        <f>RIGHT($C$83,3)&amp;"*"&amp;RIGHT($C$82,4)&amp;"*"&amp;AU$55&amp;"*"&amp;"A"</f>
        <v>142*2020*7430*A</v>
      </c>
      <c r="B778" s="270">
        <f>ROUND(AU59,0)</f>
        <v>0</v>
      </c>
      <c r="C778" s="272">
        <f>ROUND(AU60,2)</f>
        <v>0</v>
      </c>
      <c r="D778" s="270">
        <f>ROUND(AU61,0)</f>
        <v>0</v>
      </c>
      <c r="E778" s="270">
        <f>ROUND(AU62,0)</f>
        <v>0</v>
      </c>
      <c r="F778" s="270">
        <f>ROUND(AU63,0)</f>
        <v>0</v>
      </c>
      <c r="G778" s="270">
        <f>ROUND(AU64,0)</f>
        <v>0</v>
      </c>
      <c r="H778" s="270">
        <f>ROUND(AU65,0)</f>
        <v>0</v>
      </c>
      <c r="I778" s="270">
        <f>ROUND(AU66,0)</f>
        <v>0</v>
      </c>
      <c r="J778" s="270">
        <f>ROUND(AU67,0)</f>
        <v>0</v>
      </c>
      <c r="K778" s="270">
        <f>ROUND(AU68,0)</f>
        <v>0</v>
      </c>
      <c r="L778" s="270">
        <f>ROUND(AU69,0)</f>
        <v>0</v>
      </c>
      <c r="M778" s="270">
        <f>ROUND(AU70,0)</f>
        <v>0</v>
      </c>
      <c r="N778" s="270">
        <f>ROUND(AU75,0)</f>
        <v>0</v>
      </c>
      <c r="O778" s="270">
        <f>ROUND(AU73,0)</f>
        <v>0</v>
      </c>
      <c r="P778" s="270">
        <f>IF(AU76&gt;0,ROUND(AU76,0),0)</f>
        <v>0</v>
      </c>
      <c r="Q778" s="270">
        <f>IF(AU77&gt;0,ROUND(AU77,0),0)</f>
        <v>0</v>
      </c>
      <c r="R778" s="270">
        <f>IF(AU78&gt;0,ROUND(AU78,0),0)</f>
        <v>0</v>
      </c>
      <c r="S778" s="270">
        <f>IF(AU79&gt;0,ROUND(AU79,0),0)</f>
        <v>0</v>
      </c>
      <c r="T778" s="272">
        <f>IF(AU80&gt;0,ROUND(AU80,2),0)</f>
        <v>0</v>
      </c>
      <c r="U778" s="270"/>
      <c r="V778" s="271"/>
      <c r="W778" s="270"/>
      <c r="X778" s="270"/>
      <c r="Y778" s="270">
        <f t="shared" si="21"/>
        <v>0</v>
      </c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  <c r="CA778" s="271"/>
      <c r="CB778" s="271"/>
      <c r="CC778" s="271"/>
      <c r="CD778" s="271"/>
      <c r="CE778" s="271"/>
    </row>
    <row r="779" spans="1:83" ht="12.6" customHeight="1" x14ac:dyDescent="0.2">
      <c r="A779" s="207" t="str">
        <f>RIGHT($C$83,3)&amp;"*"&amp;RIGHT($C$82,4)&amp;"*"&amp;AV$55&amp;"*"&amp;"A"</f>
        <v>142*2020*7490*A</v>
      </c>
      <c r="B779" s="270"/>
      <c r="C779" s="272">
        <f>ROUND(AV60,2)</f>
        <v>23.77</v>
      </c>
      <c r="D779" s="270">
        <f>ROUND(AV61,0)</f>
        <v>2128561</v>
      </c>
      <c r="E779" s="270">
        <f>ROUND(AV62,0)</f>
        <v>560379</v>
      </c>
      <c r="F779" s="270">
        <f>ROUND(AV63,0)</f>
        <v>1335726</v>
      </c>
      <c r="G779" s="270">
        <f>ROUND(AV64,0)</f>
        <v>902413</v>
      </c>
      <c r="H779" s="270">
        <f>ROUND(AV65,0)</f>
        <v>166</v>
      </c>
      <c r="I779" s="270">
        <f>ROUND(AV66,0)</f>
        <v>98322</v>
      </c>
      <c r="J779" s="270">
        <f>ROUND(AV67,0)</f>
        <v>133709</v>
      </c>
      <c r="K779" s="270">
        <f>ROUND(AV68,0)</f>
        <v>1908</v>
      </c>
      <c r="L779" s="270">
        <f>ROUND(AV69,0)</f>
        <v>-277220</v>
      </c>
      <c r="M779" s="270">
        <f>ROUND(AV70,0)</f>
        <v>15408</v>
      </c>
      <c r="N779" s="270">
        <f>ROUND(AV75,0)</f>
        <v>4245764</v>
      </c>
      <c r="O779" s="270">
        <f>ROUND(AV73,0)</f>
        <v>0</v>
      </c>
      <c r="P779" s="270">
        <f>IF(AV76&gt;0,ROUND(AV76,0),0)</f>
        <v>3169</v>
      </c>
      <c r="Q779" s="270">
        <f>IF(AV77&gt;0,ROUND(AV77,0),0)</f>
        <v>0</v>
      </c>
      <c r="R779" s="270">
        <f>IF(AV78&gt;0,ROUND(AV78,0),0)</f>
        <v>912</v>
      </c>
      <c r="S779" s="270">
        <f>IF(AV79&gt;0,ROUND(AV79,0),0)</f>
        <v>6612</v>
      </c>
      <c r="T779" s="272">
        <f>IF(AV80&gt;0,ROUND(AV80,2),0)</f>
        <v>12.67</v>
      </c>
      <c r="U779" s="270"/>
      <c r="V779" s="271"/>
      <c r="W779" s="270"/>
      <c r="X779" s="270"/>
      <c r="Y779" s="270">
        <f t="shared" si="21"/>
        <v>1220685</v>
      </c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  <c r="CA779" s="271"/>
      <c r="CB779" s="271"/>
      <c r="CC779" s="271"/>
      <c r="CD779" s="271"/>
      <c r="CE779" s="271"/>
    </row>
    <row r="780" spans="1:83" ht="12.6" customHeight="1" x14ac:dyDescent="0.2">
      <c r="A780" s="207" t="str">
        <f>RIGHT($C$83,3)&amp;"*"&amp;RIGHT($C$82,4)&amp;"*"&amp;AW$55&amp;"*"&amp;"A"</f>
        <v>142*2020*8200*A</v>
      </c>
      <c r="B780" s="270"/>
      <c r="C780" s="272">
        <f>ROUND(AW60,2)</f>
        <v>0</v>
      </c>
      <c r="D780" s="270">
        <f>ROUND(AW61,0)</f>
        <v>0</v>
      </c>
      <c r="E780" s="270">
        <f>ROUND(AW62,0)</f>
        <v>0</v>
      </c>
      <c r="F780" s="270">
        <f>ROUND(AW63,0)</f>
        <v>0</v>
      </c>
      <c r="G780" s="270">
        <f>ROUND(AW64,0)</f>
        <v>0</v>
      </c>
      <c r="H780" s="270">
        <f>ROUND(AW65,0)</f>
        <v>0</v>
      </c>
      <c r="I780" s="270">
        <f>ROUND(AW66,0)</f>
        <v>0</v>
      </c>
      <c r="J780" s="270">
        <f>ROUND(AW67,0)</f>
        <v>0</v>
      </c>
      <c r="K780" s="270">
        <f>ROUND(AW68,0)</f>
        <v>0</v>
      </c>
      <c r="L780" s="270">
        <f>ROUND(AW69,0)</f>
        <v>0</v>
      </c>
      <c r="M780" s="270">
        <f>ROUND(AW70,0)</f>
        <v>0</v>
      </c>
      <c r="N780" s="270"/>
      <c r="O780" s="270"/>
      <c r="P780" s="270">
        <f>IF(AW76&gt;0,ROUND(AW76,0),0)</f>
        <v>0</v>
      </c>
      <c r="Q780" s="270">
        <f>IF(AW77&gt;0,ROUND(AW77,0),0)</f>
        <v>0</v>
      </c>
      <c r="R780" s="270">
        <f>IF(AW78&gt;0,ROUND(AW78,0),0)</f>
        <v>0</v>
      </c>
      <c r="S780" s="270">
        <f>IF(AW79&gt;0,ROUND(AW79,0),0)</f>
        <v>0</v>
      </c>
      <c r="T780" s="272">
        <f>IF(AW80&gt;0,ROUND(AW80,2),0)</f>
        <v>0</v>
      </c>
      <c r="U780" s="270"/>
      <c r="V780" s="271"/>
      <c r="W780" s="270"/>
      <c r="X780" s="270"/>
      <c r="Y780" s="270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  <c r="CA780" s="271"/>
      <c r="CB780" s="271"/>
      <c r="CC780" s="271"/>
      <c r="CD780" s="271"/>
      <c r="CE780" s="271"/>
    </row>
    <row r="781" spans="1:83" ht="12.6" customHeight="1" x14ac:dyDescent="0.2">
      <c r="A781" s="207" t="str">
        <f>RIGHT($C$83,3)&amp;"*"&amp;RIGHT($C$82,4)&amp;"*"&amp;AX$55&amp;"*"&amp;"A"</f>
        <v>142*2020*8310*A</v>
      </c>
      <c r="B781" s="270"/>
      <c r="C781" s="272">
        <f>ROUND(AX60,2)</f>
        <v>0</v>
      </c>
      <c r="D781" s="270">
        <f>ROUND(AX61,0)</f>
        <v>0</v>
      </c>
      <c r="E781" s="270">
        <f>ROUND(AX62,0)</f>
        <v>0</v>
      </c>
      <c r="F781" s="270">
        <f>ROUND(AX63,0)</f>
        <v>0</v>
      </c>
      <c r="G781" s="270">
        <f>ROUND(AX64,0)</f>
        <v>0</v>
      </c>
      <c r="H781" s="270">
        <f>ROUND(AX65,0)</f>
        <v>0</v>
      </c>
      <c r="I781" s="270">
        <f>ROUND(AX66,0)</f>
        <v>0</v>
      </c>
      <c r="J781" s="270">
        <f>ROUND(AX67,0)</f>
        <v>0</v>
      </c>
      <c r="K781" s="270">
        <f>ROUND(AX68,0)</f>
        <v>0</v>
      </c>
      <c r="L781" s="270">
        <f>ROUND(AX69,0)</f>
        <v>0</v>
      </c>
      <c r="M781" s="270">
        <f>ROUND(AX70,0)</f>
        <v>0</v>
      </c>
      <c r="N781" s="270"/>
      <c r="O781" s="270"/>
      <c r="P781" s="270">
        <f>IF(AX76&gt;0,ROUND(AX76,0),0)</f>
        <v>0</v>
      </c>
      <c r="Q781" s="270">
        <f>IF(AX77&gt;0,ROUND(AX77,0),0)</f>
        <v>0</v>
      </c>
      <c r="R781" s="270">
        <f>IF(AX78&gt;0,ROUND(AX78,0),0)</f>
        <v>0</v>
      </c>
      <c r="S781" s="270">
        <f>IF(AX79&gt;0,ROUND(AX79,0),0)</f>
        <v>0</v>
      </c>
      <c r="T781" s="272">
        <f>IF(AX80&gt;0,ROUND(AX80,2),0)</f>
        <v>0</v>
      </c>
      <c r="U781" s="270"/>
      <c r="V781" s="271"/>
      <c r="W781" s="270"/>
      <c r="X781" s="270"/>
      <c r="Y781" s="270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  <c r="CA781" s="271"/>
      <c r="CB781" s="271"/>
      <c r="CC781" s="271"/>
      <c r="CD781" s="271"/>
      <c r="CE781" s="271"/>
    </row>
    <row r="782" spans="1:83" ht="12.6" customHeight="1" x14ac:dyDescent="0.2">
      <c r="A782" s="207" t="str">
        <f>RIGHT($C$83,3)&amp;"*"&amp;RIGHT($C$82,4)&amp;"*"&amp;AY$55&amp;"*"&amp;"A"</f>
        <v>142*2020*8320*A</v>
      </c>
      <c r="B782" s="270">
        <f>ROUND(AY59,0)</f>
        <v>200502</v>
      </c>
      <c r="C782" s="272">
        <f>ROUND(AY60,2)</f>
        <v>72.760000000000005</v>
      </c>
      <c r="D782" s="270">
        <f>ROUND(AY61,0)</f>
        <v>3209052</v>
      </c>
      <c r="E782" s="270">
        <f>ROUND(AY62,0)</f>
        <v>1322351</v>
      </c>
      <c r="F782" s="270">
        <f>ROUND(AY63,0)</f>
        <v>0</v>
      </c>
      <c r="G782" s="270">
        <f>ROUND(AY64,0)</f>
        <v>1916183</v>
      </c>
      <c r="H782" s="270">
        <f>ROUND(AY65,0)</f>
        <v>1473</v>
      </c>
      <c r="I782" s="270">
        <f>ROUND(AY66,0)</f>
        <v>1137446</v>
      </c>
      <c r="J782" s="270">
        <f>ROUND(AY67,0)</f>
        <v>995917</v>
      </c>
      <c r="K782" s="270">
        <f>ROUND(AY68,0)</f>
        <v>24418</v>
      </c>
      <c r="L782" s="270">
        <f>ROUND(AY69,0)</f>
        <v>39301</v>
      </c>
      <c r="M782" s="270">
        <f>ROUND(AY70,0)</f>
        <v>1765837</v>
      </c>
      <c r="N782" s="270"/>
      <c r="O782" s="270"/>
      <c r="P782" s="270">
        <f>IF(AY76&gt;0,ROUND(AY76,0),0)</f>
        <v>19152</v>
      </c>
      <c r="Q782" s="270">
        <f>IF(AY77&gt;0,ROUND(AY77,0),0)</f>
        <v>0</v>
      </c>
      <c r="R782" s="270">
        <f>IF(AY78&gt;0,ROUND(AY78,0),0)</f>
        <v>0</v>
      </c>
      <c r="S782" s="270">
        <f>IF(AY79&gt;0,ROUND(AY79,0),0)</f>
        <v>0</v>
      </c>
      <c r="T782" s="272">
        <f>IF(AY80&gt;0,ROUND(AY80,2),0)</f>
        <v>0</v>
      </c>
      <c r="U782" s="270"/>
      <c r="V782" s="271"/>
      <c r="W782" s="270"/>
      <c r="X782" s="270"/>
      <c r="Y782" s="270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  <c r="CA782" s="271"/>
      <c r="CB782" s="271"/>
      <c r="CC782" s="271"/>
      <c r="CD782" s="271"/>
      <c r="CE782" s="271"/>
    </row>
    <row r="783" spans="1:83" ht="12.6" customHeight="1" x14ac:dyDescent="0.2">
      <c r="A783" s="207" t="str">
        <f>RIGHT($C$83,3)&amp;"*"&amp;RIGHT($C$82,4)&amp;"*"&amp;AZ$55&amp;"*"&amp;"A"</f>
        <v>142*2020*8330*A</v>
      </c>
      <c r="B783" s="270">
        <f>ROUND(AZ59,0)</f>
        <v>428430</v>
      </c>
      <c r="C783" s="272">
        <f>ROUND(AZ60,2)</f>
        <v>0</v>
      </c>
      <c r="D783" s="270">
        <f>ROUND(AZ61,0)</f>
        <v>0</v>
      </c>
      <c r="E783" s="270">
        <f>ROUND(AZ62,0)</f>
        <v>0</v>
      </c>
      <c r="F783" s="270">
        <f>ROUND(AZ63,0)</f>
        <v>0</v>
      </c>
      <c r="G783" s="270">
        <f>ROUND(AZ64,0)</f>
        <v>0</v>
      </c>
      <c r="H783" s="270">
        <f>ROUND(AZ65,0)</f>
        <v>0</v>
      </c>
      <c r="I783" s="270">
        <f>ROUND(AZ66,0)</f>
        <v>0</v>
      </c>
      <c r="J783" s="270">
        <f>ROUND(AZ67,0)</f>
        <v>0</v>
      </c>
      <c r="K783" s="270">
        <f>ROUND(AZ68,0)</f>
        <v>0</v>
      </c>
      <c r="L783" s="270">
        <f>ROUND(AZ69,0)</f>
        <v>0</v>
      </c>
      <c r="M783" s="270">
        <f>ROUND(AZ70,0)</f>
        <v>0</v>
      </c>
      <c r="N783" s="270"/>
      <c r="O783" s="270"/>
      <c r="P783" s="270">
        <f>IF(AZ76&gt;0,ROUND(AZ76,0),0)</f>
        <v>0</v>
      </c>
      <c r="Q783" s="270">
        <f>IF(AZ77&gt;0,ROUND(AZ77,0),0)</f>
        <v>0</v>
      </c>
      <c r="R783" s="270">
        <f>IF(AZ78&gt;0,ROUND(AZ78,0),0)</f>
        <v>0</v>
      </c>
      <c r="S783" s="270">
        <f>IF(AZ79&gt;0,ROUND(AZ79,0),0)</f>
        <v>0</v>
      </c>
      <c r="T783" s="272">
        <f>IF(AZ80&gt;0,ROUND(AZ80,2),0)</f>
        <v>0</v>
      </c>
      <c r="U783" s="270"/>
      <c r="V783" s="271"/>
      <c r="W783" s="270"/>
      <c r="X783" s="270"/>
      <c r="Y783" s="270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  <c r="CA783" s="271"/>
      <c r="CB783" s="271"/>
      <c r="CC783" s="271"/>
      <c r="CD783" s="271"/>
      <c r="CE783" s="271"/>
    </row>
    <row r="784" spans="1:83" ht="12.6" customHeight="1" x14ac:dyDescent="0.2">
      <c r="A784" s="207" t="str">
        <f>RIGHT($C$83,3)&amp;"*"&amp;RIGHT($C$82,4)&amp;"*"&amp;BA$55&amp;"*"&amp;"A"</f>
        <v>142*2020*8350*A</v>
      </c>
      <c r="B784" s="270">
        <f>ROUND(BA59,0)</f>
        <v>0</v>
      </c>
      <c r="C784" s="272">
        <f>ROUND(BA60,2)</f>
        <v>2.67</v>
      </c>
      <c r="D784" s="270">
        <f>ROUND(BA61,0)</f>
        <v>104847</v>
      </c>
      <c r="E784" s="270">
        <f>ROUND(BA62,0)</f>
        <v>47030</v>
      </c>
      <c r="F784" s="270">
        <f>ROUND(BA63,0)</f>
        <v>0</v>
      </c>
      <c r="G784" s="270">
        <f>ROUND(BA64,0)</f>
        <v>0</v>
      </c>
      <c r="H784" s="270">
        <f>ROUND(BA65,0)</f>
        <v>0</v>
      </c>
      <c r="I784" s="270">
        <f>ROUND(BA66,0)</f>
        <v>9841</v>
      </c>
      <c r="J784" s="270">
        <f>ROUND(BA67,0)</f>
        <v>156873</v>
      </c>
      <c r="K784" s="270">
        <f>ROUND(BA68,0)</f>
        <v>0</v>
      </c>
      <c r="L784" s="270">
        <f>ROUND(BA69,0)</f>
        <v>0</v>
      </c>
      <c r="M784" s="270">
        <f>ROUND(BA70,0)</f>
        <v>0</v>
      </c>
      <c r="N784" s="270"/>
      <c r="O784" s="270"/>
      <c r="P784" s="270">
        <f>IF(BA76&gt;0,ROUND(BA76,0),0)</f>
        <v>3718</v>
      </c>
      <c r="Q784" s="270">
        <f>IF(BA77&gt;0,ROUND(BA77,0),0)</f>
        <v>0</v>
      </c>
      <c r="R784" s="270">
        <f>IF(BA78&gt;0,ROUND(BA78,0),0)</f>
        <v>1070</v>
      </c>
      <c r="S784" s="270">
        <f>IF(BA79&gt;0,ROUND(BA79,0),0)</f>
        <v>0</v>
      </c>
      <c r="T784" s="272">
        <f>IF(BA80&gt;0,ROUND(BA80,2),0)</f>
        <v>0</v>
      </c>
      <c r="U784" s="270"/>
      <c r="V784" s="271"/>
      <c r="W784" s="270"/>
      <c r="X784" s="270"/>
      <c r="Y784" s="270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  <c r="CA784" s="271"/>
      <c r="CB784" s="271"/>
      <c r="CC784" s="271"/>
      <c r="CD784" s="271"/>
      <c r="CE784" s="271"/>
    </row>
    <row r="785" spans="1:83" ht="12.6" customHeight="1" x14ac:dyDescent="0.2">
      <c r="A785" s="207" t="str">
        <f>RIGHT($C$83,3)&amp;"*"&amp;RIGHT($C$82,4)&amp;"*"&amp;BB$55&amp;"*"&amp;"A"</f>
        <v>142*2020*8360*A</v>
      </c>
      <c r="B785" s="270"/>
      <c r="C785" s="272">
        <f>ROUND(BB60,2)</f>
        <v>0</v>
      </c>
      <c r="D785" s="270">
        <f>ROUND(BB61,0)</f>
        <v>0</v>
      </c>
      <c r="E785" s="270">
        <f>ROUND(BB62,0)</f>
        <v>0</v>
      </c>
      <c r="F785" s="270">
        <f>ROUND(BB63,0)</f>
        <v>0</v>
      </c>
      <c r="G785" s="270">
        <f>ROUND(BB64,0)</f>
        <v>0</v>
      </c>
      <c r="H785" s="270">
        <f>ROUND(BB65,0)</f>
        <v>0</v>
      </c>
      <c r="I785" s="270">
        <f>ROUND(BB66,0)</f>
        <v>0</v>
      </c>
      <c r="J785" s="270">
        <f>ROUND(BB67,0)</f>
        <v>48268</v>
      </c>
      <c r="K785" s="270">
        <f>ROUND(BB68,0)</f>
        <v>0</v>
      </c>
      <c r="L785" s="270">
        <f>ROUND(BB69,0)</f>
        <v>0</v>
      </c>
      <c r="M785" s="270">
        <f>ROUND(BB70,0)</f>
        <v>0</v>
      </c>
      <c r="N785" s="270"/>
      <c r="O785" s="270"/>
      <c r="P785" s="270">
        <f>IF(BB76&gt;0,ROUND(BB76,0),0)</f>
        <v>1144</v>
      </c>
      <c r="Q785" s="270">
        <f>IF(BB77&gt;0,ROUND(BB77,0),0)</f>
        <v>0</v>
      </c>
      <c r="R785" s="270">
        <f>IF(BB78&gt;0,ROUND(BB78,0),0)</f>
        <v>329</v>
      </c>
      <c r="S785" s="270">
        <f>IF(BB79&gt;0,ROUND(BB79,0),0)</f>
        <v>22</v>
      </c>
      <c r="T785" s="272">
        <f>IF(BB80&gt;0,ROUND(BB80,2),0)</f>
        <v>0</v>
      </c>
      <c r="U785" s="270"/>
      <c r="V785" s="271"/>
      <c r="W785" s="270"/>
      <c r="X785" s="270"/>
      <c r="Y785" s="270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  <c r="CA785" s="271"/>
      <c r="CB785" s="271"/>
      <c r="CC785" s="271"/>
      <c r="CD785" s="271"/>
      <c r="CE785" s="271"/>
    </row>
    <row r="786" spans="1:83" ht="12.6" customHeight="1" x14ac:dyDescent="0.2">
      <c r="A786" s="207" t="str">
        <f>RIGHT($C$83,3)&amp;"*"&amp;RIGHT($C$82,4)&amp;"*"&amp;BC$55&amp;"*"&amp;"A"</f>
        <v>142*2020*8370*A</v>
      </c>
      <c r="B786" s="270"/>
      <c r="C786" s="272">
        <f>ROUND(BC60,2)</f>
        <v>16.59</v>
      </c>
      <c r="D786" s="270">
        <f>ROUND(BC61,0)</f>
        <v>651215</v>
      </c>
      <c r="E786" s="270">
        <f>ROUND(BC62,0)</f>
        <v>291712</v>
      </c>
      <c r="F786" s="270">
        <f>ROUND(BC63,0)</f>
        <v>0</v>
      </c>
      <c r="G786" s="270">
        <f>ROUND(BC64,0)</f>
        <v>17020</v>
      </c>
      <c r="H786" s="270">
        <f>ROUND(BC65,0)</f>
        <v>2765</v>
      </c>
      <c r="I786" s="270">
        <f>ROUND(BC66,0)</f>
        <v>286856</v>
      </c>
      <c r="J786" s="270">
        <f>ROUND(BC67,0)</f>
        <v>6603</v>
      </c>
      <c r="K786" s="270">
        <f>ROUND(BC68,0)</f>
        <v>1292</v>
      </c>
      <c r="L786" s="270">
        <f>ROUND(BC69,0)</f>
        <v>0</v>
      </c>
      <c r="M786" s="270">
        <f>ROUND(BC70,0)</f>
        <v>0</v>
      </c>
      <c r="N786" s="270"/>
      <c r="O786" s="270"/>
      <c r="P786" s="270">
        <f>IF(BC76&gt;0,ROUND(BC76,0),0)</f>
        <v>0</v>
      </c>
      <c r="Q786" s="270">
        <f>IF(BC77&gt;0,ROUND(BC77,0),0)</f>
        <v>0</v>
      </c>
      <c r="R786" s="270">
        <f>IF(BC78&gt;0,ROUND(BC78,0),0)</f>
        <v>0</v>
      </c>
      <c r="S786" s="270">
        <f>IF(BC79&gt;0,ROUND(BC79,0),0)</f>
        <v>0</v>
      </c>
      <c r="T786" s="272">
        <f>IF(BC80&gt;0,ROUND(BC80,2),0)</f>
        <v>0</v>
      </c>
      <c r="U786" s="270"/>
      <c r="V786" s="271"/>
      <c r="W786" s="270"/>
      <c r="X786" s="270"/>
      <c r="Y786" s="270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  <c r="CA786" s="271"/>
      <c r="CB786" s="271"/>
      <c r="CC786" s="271"/>
      <c r="CD786" s="271"/>
      <c r="CE786" s="271"/>
    </row>
    <row r="787" spans="1:83" ht="12.6" customHeight="1" x14ac:dyDescent="0.2">
      <c r="A787" s="207" t="str">
        <f>RIGHT($C$83,3)&amp;"*"&amp;RIGHT($C$82,4)&amp;"*"&amp;BD$55&amp;"*"&amp;"A"</f>
        <v>142*2020*8420*A</v>
      </c>
      <c r="B787" s="270"/>
      <c r="C787" s="272">
        <f>ROUND(BD60,2)</f>
        <v>0</v>
      </c>
      <c r="D787" s="270">
        <f>ROUND(BD61,0)</f>
        <v>0</v>
      </c>
      <c r="E787" s="270">
        <f>ROUND(BD62,0)</f>
        <v>0</v>
      </c>
      <c r="F787" s="270">
        <f>ROUND(BD63,0)</f>
        <v>0</v>
      </c>
      <c r="G787" s="270">
        <f>ROUND(BD64,0)</f>
        <v>0</v>
      </c>
      <c r="H787" s="270">
        <f>ROUND(BD65,0)</f>
        <v>0</v>
      </c>
      <c r="I787" s="270">
        <f>ROUND(BD66,0)</f>
        <v>0</v>
      </c>
      <c r="J787" s="270">
        <f>ROUND(BD67,0)</f>
        <v>2219929</v>
      </c>
      <c r="K787" s="270">
        <f>ROUND(BD68,0)</f>
        <v>473458</v>
      </c>
      <c r="L787" s="270">
        <f>ROUND(BD69,0)</f>
        <v>0</v>
      </c>
      <c r="M787" s="270">
        <f>ROUND(BD70,0)</f>
        <v>0</v>
      </c>
      <c r="N787" s="270"/>
      <c r="O787" s="270"/>
      <c r="P787" s="270">
        <f>IF(BD76&gt;0,ROUND(BD76,0),0)</f>
        <v>52614</v>
      </c>
      <c r="Q787" s="270">
        <f>IF(BD77&gt;0,ROUND(BD77,0),0)</f>
        <v>0</v>
      </c>
      <c r="R787" s="270">
        <f>IF(BD78&gt;0,ROUND(BD78,0),0)</f>
        <v>0</v>
      </c>
      <c r="S787" s="270">
        <f>IF(BD79&gt;0,ROUND(BD79,0),0)</f>
        <v>0</v>
      </c>
      <c r="T787" s="272">
        <f>IF(BD80&gt;0,ROUND(BD80,2),0)</f>
        <v>0</v>
      </c>
      <c r="U787" s="270"/>
      <c r="V787" s="271"/>
      <c r="W787" s="270"/>
      <c r="X787" s="270"/>
      <c r="Y787" s="270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  <c r="CA787" s="271"/>
      <c r="CB787" s="271"/>
      <c r="CC787" s="271"/>
      <c r="CD787" s="271"/>
      <c r="CE787" s="271"/>
    </row>
    <row r="788" spans="1:83" ht="12.6" customHeight="1" x14ac:dyDescent="0.2">
      <c r="A788" s="207" t="str">
        <f>RIGHT($C$83,3)&amp;"*"&amp;RIGHT($C$82,4)&amp;"*"&amp;BE$55&amp;"*"&amp;"A"</f>
        <v>142*2020*8430*A</v>
      </c>
      <c r="B788" s="270">
        <f>ROUND(BE59,0)</f>
        <v>577281</v>
      </c>
      <c r="C788" s="272">
        <f>ROUND(BE60,2)</f>
        <v>17.7</v>
      </c>
      <c r="D788" s="270">
        <f>ROUND(BE61,0)</f>
        <v>1270098</v>
      </c>
      <c r="E788" s="270">
        <f>ROUND(BE62,0)</f>
        <v>384048</v>
      </c>
      <c r="F788" s="270">
        <f>ROUND(BE63,0)</f>
        <v>0</v>
      </c>
      <c r="G788" s="270">
        <f>ROUND(BE64,0)</f>
        <v>-44076</v>
      </c>
      <c r="H788" s="270">
        <f>ROUND(BE65,0)</f>
        <v>2677995</v>
      </c>
      <c r="I788" s="270">
        <f>ROUND(BE66,0)</f>
        <v>9143803</v>
      </c>
      <c r="J788" s="270">
        <f>ROUND(BE67,0)</f>
        <v>3943570</v>
      </c>
      <c r="K788" s="270">
        <f>ROUND(BE68,0)</f>
        <v>636774</v>
      </c>
      <c r="L788" s="270">
        <f>ROUND(BE69,0)</f>
        <v>176907</v>
      </c>
      <c r="M788" s="270">
        <f>ROUND(BE70,0)</f>
        <v>0</v>
      </c>
      <c r="N788" s="270"/>
      <c r="O788" s="270"/>
      <c r="P788" s="270">
        <f>IF(BE76&gt;0,ROUND(BE76,0),0)</f>
        <v>81349</v>
      </c>
      <c r="Q788" s="270">
        <f>IF(BE77&gt;0,ROUND(BE77,0),0)</f>
        <v>0</v>
      </c>
      <c r="R788" s="270">
        <f>IF(BE78&gt;0,ROUND(BE78,0),0)</f>
        <v>0</v>
      </c>
      <c r="S788" s="270">
        <f>IF(BE79&gt;0,ROUND(BE79,0),0)</f>
        <v>0</v>
      </c>
      <c r="T788" s="272">
        <f>IF(BE80&gt;0,ROUND(BE80,2),0)</f>
        <v>0</v>
      </c>
      <c r="U788" s="270"/>
      <c r="V788" s="271"/>
      <c r="W788" s="270"/>
      <c r="X788" s="270"/>
      <c r="Y788" s="270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  <c r="CA788" s="271"/>
      <c r="CB788" s="271"/>
      <c r="CC788" s="271"/>
      <c r="CD788" s="271"/>
      <c r="CE788" s="271"/>
    </row>
    <row r="789" spans="1:83" ht="12.6" customHeight="1" x14ac:dyDescent="0.2">
      <c r="A789" s="207" t="str">
        <f>RIGHT($C$83,3)&amp;"*"&amp;RIGHT($C$82,4)&amp;"*"&amp;BF$55&amp;"*"&amp;"A"</f>
        <v>142*2020*8460*A</v>
      </c>
      <c r="B789" s="270"/>
      <c r="C789" s="272">
        <f>ROUND(BF60,2)</f>
        <v>73.61</v>
      </c>
      <c r="D789" s="270">
        <f>ROUND(BF61,0)</f>
        <v>3053298</v>
      </c>
      <c r="E789" s="270">
        <f>ROUND(BF62,0)</f>
        <v>1311123</v>
      </c>
      <c r="F789" s="270">
        <f>ROUND(BF63,0)</f>
        <v>0</v>
      </c>
      <c r="G789" s="270">
        <f>ROUND(BF64,0)</f>
        <v>231247</v>
      </c>
      <c r="H789" s="270">
        <f>ROUND(BF65,0)</f>
        <v>5961</v>
      </c>
      <c r="I789" s="270">
        <f>ROUND(BF66,0)</f>
        <v>124131</v>
      </c>
      <c r="J789" s="270">
        <f>ROUND(BF67,0)</f>
        <v>460586</v>
      </c>
      <c r="K789" s="270">
        <f>ROUND(BF68,0)</f>
        <v>7720</v>
      </c>
      <c r="L789" s="270">
        <f>ROUND(BF69,0)</f>
        <v>7989</v>
      </c>
      <c r="M789" s="270">
        <f>ROUND(BF70,0)</f>
        <v>0</v>
      </c>
      <c r="N789" s="270"/>
      <c r="O789" s="270"/>
      <c r="P789" s="270">
        <f>IF(BF76&gt;0,ROUND(BF76,0),0)</f>
        <v>10852</v>
      </c>
      <c r="Q789" s="270">
        <f>IF(BF77&gt;0,ROUND(BF77,0),0)</f>
        <v>0</v>
      </c>
      <c r="R789" s="270">
        <f>IF(BF78&gt;0,ROUND(BF78,0),0)</f>
        <v>0</v>
      </c>
      <c r="S789" s="270">
        <f>IF(BF79&gt;0,ROUND(BF79,0),0)</f>
        <v>0</v>
      </c>
      <c r="T789" s="272">
        <f>IF(BF80&gt;0,ROUND(BF80,2),0)</f>
        <v>0</v>
      </c>
      <c r="U789" s="270"/>
      <c r="V789" s="271"/>
      <c r="W789" s="270"/>
      <c r="X789" s="270"/>
      <c r="Y789" s="270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  <c r="CA789" s="271"/>
      <c r="CB789" s="271"/>
      <c r="CC789" s="271"/>
      <c r="CD789" s="271"/>
      <c r="CE789" s="271"/>
    </row>
    <row r="790" spans="1:83" ht="12.6" customHeight="1" x14ac:dyDescent="0.2">
      <c r="A790" s="207" t="str">
        <f>RIGHT($C$83,3)&amp;"*"&amp;RIGHT($C$82,4)&amp;"*"&amp;BG$55&amp;"*"&amp;"A"</f>
        <v>142*2020*8470*A</v>
      </c>
      <c r="B790" s="270"/>
      <c r="C790" s="272">
        <f>ROUND(BG60,2)</f>
        <v>0</v>
      </c>
      <c r="D790" s="270">
        <f>ROUND(BG61,0)</f>
        <v>0</v>
      </c>
      <c r="E790" s="270">
        <f>ROUND(BG62,0)</f>
        <v>0</v>
      </c>
      <c r="F790" s="270">
        <f>ROUND(BG63,0)</f>
        <v>0</v>
      </c>
      <c r="G790" s="270">
        <f>ROUND(BG64,0)</f>
        <v>195</v>
      </c>
      <c r="H790" s="270">
        <f>ROUND(BG65,0)</f>
        <v>265637</v>
      </c>
      <c r="I790" s="270">
        <f>ROUND(BG66,0)</f>
        <v>0</v>
      </c>
      <c r="J790" s="270">
        <f>ROUND(BG67,0)</f>
        <v>81472</v>
      </c>
      <c r="K790" s="270">
        <f>ROUND(BG68,0)</f>
        <v>2456</v>
      </c>
      <c r="L790" s="270">
        <f>ROUND(BG69,0)</f>
        <v>0</v>
      </c>
      <c r="M790" s="270">
        <f>ROUND(BG70,0)</f>
        <v>0</v>
      </c>
      <c r="N790" s="270"/>
      <c r="O790" s="270"/>
      <c r="P790" s="270">
        <f>IF(BG76&gt;0,ROUND(BG76,0),0)</f>
        <v>0</v>
      </c>
      <c r="Q790" s="270">
        <f>IF(BG77&gt;0,ROUND(BG77,0),0)</f>
        <v>0</v>
      </c>
      <c r="R790" s="270">
        <f>IF(BG78&gt;0,ROUND(BG78,0),0)</f>
        <v>0</v>
      </c>
      <c r="S790" s="270">
        <f>IF(BG79&gt;0,ROUND(BG79,0),0)</f>
        <v>0</v>
      </c>
      <c r="T790" s="272">
        <f>IF(BG80&gt;0,ROUND(BG80,2),0)</f>
        <v>0</v>
      </c>
      <c r="U790" s="270"/>
      <c r="V790" s="271"/>
      <c r="W790" s="270"/>
      <c r="X790" s="270"/>
      <c r="Y790" s="270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  <c r="CA790" s="271"/>
      <c r="CB790" s="271"/>
      <c r="CC790" s="271"/>
      <c r="CD790" s="271"/>
      <c r="CE790" s="271"/>
    </row>
    <row r="791" spans="1:83" ht="12.6" customHeight="1" x14ac:dyDescent="0.2">
      <c r="A791" s="207" t="str">
        <f>RIGHT($C$83,3)&amp;"*"&amp;RIGHT($C$82,4)&amp;"*"&amp;BH$55&amp;"*"&amp;"A"</f>
        <v>142*2020*8480*A</v>
      </c>
      <c r="B791" s="270"/>
      <c r="C791" s="272">
        <f>ROUND(BH60,2)</f>
        <v>0</v>
      </c>
      <c r="D791" s="270">
        <f>ROUND(BH61,0)</f>
        <v>0</v>
      </c>
      <c r="E791" s="270">
        <f>ROUND(BH62,0)</f>
        <v>0</v>
      </c>
      <c r="F791" s="270">
        <f>ROUND(BH63,0)</f>
        <v>0</v>
      </c>
      <c r="G791" s="270">
        <f>ROUND(BH64,0)</f>
        <v>0</v>
      </c>
      <c r="H791" s="270">
        <f>ROUND(BH65,0)</f>
        <v>0</v>
      </c>
      <c r="I791" s="270">
        <f>ROUND(BH66,0)</f>
        <v>0</v>
      </c>
      <c r="J791" s="270">
        <f>ROUND(BH67,0)</f>
        <v>0</v>
      </c>
      <c r="K791" s="270">
        <f>ROUND(BH68,0)</f>
        <v>0</v>
      </c>
      <c r="L791" s="270">
        <f>ROUND(BH69,0)</f>
        <v>0</v>
      </c>
      <c r="M791" s="270">
        <f>ROUND(BH70,0)</f>
        <v>0</v>
      </c>
      <c r="N791" s="270"/>
      <c r="O791" s="270"/>
      <c r="P791" s="270">
        <f>IF(BH76&gt;0,ROUND(BH76,0),0)</f>
        <v>0</v>
      </c>
      <c r="Q791" s="270">
        <f>IF(BH77&gt;0,ROUND(BH77,0),0)</f>
        <v>0</v>
      </c>
      <c r="R791" s="270">
        <f>IF(BH78&gt;0,ROUND(BH78,0),0)</f>
        <v>0</v>
      </c>
      <c r="S791" s="270">
        <f>IF(BH79&gt;0,ROUND(BH79,0),0)</f>
        <v>0</v>
      </c>
      <c r="T791" s="272">
        <f>IF(BH80&gt;0,ROUND(BH80,2),0)</f>
        <v>0</v>
      </c>
      <c r="U791" s="270"/>
      <c r="V791" s="271"/>
      <c r="W791" s="270"/>
      <c r="X791" s="270"/>
      <c r="Y791" s="270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  <c r="CA791" s="271"/>
      <c r="CB791" s="271"/>
      <c r="CC791" s="271"/>
      <c r="CD791" s="271"/>
      <c r="CE791" s="271"/>
    </row>
    <row r="792" spans="1:83" ht="12.6" customHeight="1" x14ac:dyDescent="0.2">
      <c r="A792" s="207" t="str">
        <f>RIGHT($C$83,3)&amp;"*"&amp;RIGHT($C$82,4)&amp;"*"&amp;BI$55&amp;"*"&amp;"A"</f>
        <v>142*2020*8490*A</v>
      </c>
      <c r="B792" s="270"/>
      <c r="C792" s="272">
        <f>ROUND(BI60,2)</f>
        <v>0</v>
      </c>
      <c r="D792" s="270">
        <f>ROUND(BI61,0)</f>
        <v>0</v>
      </c>
      <c r="E792" s="270">
        <f>ROUND(BI62,0)</f>
        <v>50</v>
      </c>
      <c r="F792" s="270">
        <f>ROUND(BI63,0)</f>
        <v>0</v>
      </c>
      <c r="G792" s="270">
        <f>ROUND(BI64,0)</f>
        <v>93226</v>
      </c>
      <c r="H792" s="270">
        <f>ROUND(BI65,0)</f>
        <v>0</v>
      </c>
      <c r="I792" s="270">
        <f>ROUND(BI66,0)</f>
        <v>1460</v>
      </c>
      <c r="J792" s="270">
        <f>ROUND(BI67,0)</f>
        <v>0</v>
      </c>
      <c r="K792" s="270">
        <f>ROUND(BI68,0)</f>
        <v>21576</v>
      </c>
      <c r="L792" s="270">
        <f>ROUND(BI69,0)</f>
        <v>499</v>
      </c>
      <c r="M792" s="270">
        <f>ROUND(BI70,0)</f>
        <v>146168</v>
      </c>
      <c r="N792" s="270"/>
      <c r="O792" s="270"/>
      <c r="P792" s="270">
        <f>IF(BI76&gt;0,ROUND(BI76,0),0)</f>
        <v>0</v>
      </c>
      <c r="Q792" s="270">
        <f>IF(BI77&gt;0,ROUND(BI77,0),0)</f>
        <v>0</v>
      </c>
      <c r="R792" s="270">
        <f>IF(BI78&gt;0,ROUND(BI78,0),0)</f>
        <v>0</v>
      </c>
      <c r="S792" s="270">
        <f>IF(BI79&gt;0,ROUND(BI79,0),0)</f>
        <v>0</v>
      </c>
      <c r="T792" s="272">
        <f>IF(BI80&gt;0,ROUND(BI80,2),0)</f>
        <v>0</v>
      </c>
      <c r="U792" s="270"/>
      <c r="V792" s="271"/>
      <c r="W792" s="270"/>
      <c r="X792" s="270"/>
      <c r="Y792" s="270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  <c r="CA792" s="271"/>
      <c r="CB792" s="271"/>
      <c r="CC792" s="271"/>
      <c r="CD792" s="271"/>
      <c r="CE792" s="271"/>
    </row>
    <row r="793" spans="1:83" ht="12.6" customHeight="1" x14ac:dyDescent="0.2">
      <c r="A793" s="207" t="str">
        <f>RIGHT($C$83,3)&amp;"*"&amp;RIGHT($C$82,4)&amp;"*"&amp;BJ$55&amp;"*"&amp;"A"</f>
        <v>142*2020*8510*A</v>
      </c>
      <c r="B793" s="270"/>
      <c r="C793" s="272">
        <f>ROUND(BJ60,2)</f>
        <v>0</v>
      </c>
      <c r="D793" s="270">
        <f>ROUND(BJ61,0)</f>
        <v>0</v>
      </c>
      <c r="E793" s="270">
        <f>ROUND(BJ62,0)</f>
        <v>0</v>
      </c>
      <c r="F793" s="270">
        <f>ROUND(BJ63,0)</f>
        <v>0</v>
      </c>
      <c r="G793" s="270">
        <f>ROUND(BJ64,0)</f>
        <v>0</v>
      </c>
      <c r="H793" s="270">
        <f>ROUND(BJ65,0)</f>
        <v>0</v>
      </c>
      <c r="I793" s="270">
        <f>ROUND(BJ66,0)</f>
        <v>0</v>
      </c>
      <c r="J793" s="270">
        <f>ROUND(BJ67,0)</f>
        <v>0</v>
      </c>
      <c r="K793" s="270">
        <f>ROUND(BJ68,0)</f>
        <v>0</v>
      </c>
      <c r="L793" s="270">
        <f>ROUND(BJ69,0)</f>
        <v>0</v>
      </c>
      <c r="M793" s="270">
        <f>ROUND(BJ70,0)</f>
        <v>0</v>
      </c>
      <c r="N793" s="270"/>
      <c r="O793" s="270"/>
      <c r="P793" s="270">
        <f>IF(BJ76&gt;0,ROUND(BJ76,0),0)</f>
        <v>0</v>
      </c>
      <c r="Q793" s="270">
        <f>IF(BJ77&gt;0,ROUND(BJ77,0),0)</f>
        <v>0</v>
      </c>
      <c r="R793" s="270">
        <f>IF(BJ78&gt;0,ROUND(BJ78,0),0)</f>
        <v>0</v>
      </c>
      <c r="S793" s="270">
        <f>IF(BJ79&gt;0,ROUND(BJ79,0),0)</f>
        <v>0</v>
      </c>
      <c r="T793" s="272">
        <f>IF(BJ80&gt;0,ROUND(BJ80,2),0)</f>
        <v>0</v>
      </c>
      <c r="U793" s="270"/>
      <c r="V793" s="271"/>
      <c r="W793" s="270"/>
      <c r="X793" s="270"/>
      <c r="Y793" s="270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  <c r="CA793" s="271"/>
      <c r="CB793" s="271"/>
      <c r="CC793" s="271"/>
      <c r="CD793" s="271"/>
      <c r="CE793" s="271"/>
    </row>
    <row r="794" spans="1:83" ht="12.6" customHeight="1" x14ac:dyDescent="0.2">
      <c r="A794" s="207" t="str">
        <f>RIGHT($C$83,3)&amp;"*"&amp;RIGHT($C$82,4)&amp;"*"&amp;BK$55&amp;"*"&amp;"A"</f>
        <v>142*2020*8530*A</v>
      </c>
      <c r="B794" s="270"/>
      <c r="C794" s="272">
        <f>ROUND(BK60,2)</f>
        <v>0</v>
      </c>
      <c r="D794" s="270">
        <f>ROUND(BK61,0)</f>
        <v>0</v>
      </c>
      <c r="E794" s="270">
        <f>ROUND(BK62,0)</f>
        <v>0</v>
      </c>
      <c r="F794" s="270">
        <f>ROUND(BK63,0)</f>
        <v>0</v>
      </c>
      <c r="G794" s="270">
        <f>ROUND(BK64,0)</f>
        <v>658</v>
      </c>
      <c r="H794" s="270">
        <f>ROUND(BK65,0)</f>
        <v>0</v>
      </c>
      <c r="I794" s="270">
        <f>ROUND(BK66,0)</f>
        <v>7982201</v>
      </c>
      <c r="J794" s="270">
        <f>ROUND(BK67,0)</f>
        <v>3945</v>
      </c>
      <c r="K794" s="270">
        <f>ROUND(BK68,0)</f>
        <v>15979</v>
      </c>
      <c r="L794" s="270">
        <f>ROUND(BK69,0)</f>
        <v>0</v>
      </c>
      <c r="M794" s="270">
        <f>ROUND(BK70,0)</f>
        <v>0</v>
      </c>
      <c r="N794" s="270"/>
      <c r="O794" s="270"/>
      <c r="P794" s="270">
        <f>IF(BK76&gt;0,ROUND(BK76,0),0)</f>
        <v>0</v>
      </c>
      <c r="Q794" s="270">
        <f>IF(BK77&gt;0,ROUND(BK77,0),0)</f>
        <v>0</v>
      </c>
      <c r="R794" s="270">
        <f>IF(BK78&gt;0,ROUND(BK78,0),0)</f>
        <v>0</v>
      </c>
      <c r="S794" s="270">
        <f>IF(BK79&gt;0,ROUND(BK79,0),0)</f>
        <v>0</v>
      </c>
      <c r="T794" s="272">
        <f>IF(BK80&gt;0,ROUND(BK80,2),0)</f>
        <v>0</v>
      </c>
      <c r="U794" s="270"/>
      <c r="V794" s="271"/>
      <c r="W794" s="270"/>
      <c r="X794" s="270"/>
      <c r="Y794" s="270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  <c r="CA794" s="271"/>
      <c r="CB794" s="271"/>
      <c r="CC794" s="271"/>
      <c r="CD794" s="271"/>
      <c r="CE794" s="271"/>
    </row>
    <row r="795" spans="1:83" ht="12.6" customHeight="1" x14ac:dyDescent="0.2">
      <c r="A795" s="207" t="str">
        <f>RIGHT($C$83,3)&amp;"*"&amp;RIGHT($C$82,4)&amp;"*"&amp;BL$55&amp;"*"&amp;"A"</f>
        <v>142*2020*8560*A</v>
      </c>
      <c r="B795" s="270"/>
      <c r="C795" s="272">
        <f>ROUND(BL60,2)</f>
        <v>0</v>
      </c>
      <c r="D795" s="270">
        <f>ROUND(BL61,0)</f>
        <v>0</v>
      </c>
      <c r="E795" s="270">
        <f>ROUND(BL62,0)</f>
        <v>0</v>
      </c>
      <c r="F795" s="270">
        <f>ROUND(BL63,0)</f>
        <v>0</v>
      </c>
      <c r="G795" s="270">
        <f>ROUND(BL64,0)</f>
        <v>25474</v>
      </c>
      <c r="H795" s="270">
        <f>ROUND(BL65,0)</f>
        <v>155</v>
      </c>
      <c r="I795" s="270">
        <f>ROUND(BL66,0)</f>
        <v>3833279</v>
      </c>
      <c r="J795" s="270">
        <f>ROUND(BL67,0)</f>
        <v>939</v>
      </c>
      <c r="K795" s="270">
        <f>ROUND(BL68,0)</f>
        <v>16415</v>
      </c>
      <c r="L795" s="270">
        <f>ROUND(BL69,0)</f>
        <v>62</v>
      </c>
      <c r="M795" s="270">
        <f>ROUND(BL70,0)</f>
        <v>0</v>
      </c>
      <c r="N795" s="270"/>
      <c r="O795" s="270"/>
      <c r="P795" s="270">
        <f>IF(BL76&gt;0,ROUND(BL76,0),0)</f>
        <v>0</v>
      </c>
      <c r="Q795" s="270">
        <f>IF(BL77&gt;0,ROUND(BL77,0),0)</f>
        <v>0</v>
      </c>
      <c r="R795" s="270">
        <f>IF(BL78&gt;0,ROUND(BL78,0),0)</f>
        <v>0</v>
      </c>
      <c r="S795" s="270">
        <f>IF(BL79&gt;0,ROUND(BL79,0),0)</f>
        <v>0</v>
      </c>
      <c r="T795" s="272">
        <f>IF(BL80&gt;0,ROUND(BL80,2),0)</f>
        <v>0</v>
      </c>
      <c r="U795" s="270"/>
      <c r="V795" s="271"/>
      <c r="W795" s="270"/>
      <c r="X795" s="270"/>
      <c r="Y795" s="270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  <c r="CA795" s="271"/>
      <c r="CB795" s="271"/>
      <c r="CC795" s="271"/>
      <c r="CD795" s="271"/>
      <c r="CE795" s="271"/>
    </row>
    <row r="796" spans="1:83" ht="12.6" customHeight="1" x14ac:dyDescent="0.2">
      <c r="A796" s="207" t="str">
        <f>RIGHT($C$83,3)&amp;"*"&amp;RIGHT($C$82,4)&amp;"*"&amp;BM$55&amp;"*"&amp;"A"</f>
        <v>142*2020*8590*A</v>
      </c>
      <c r="B796" s="270"/>
      <c r="C796" s="272">
        <f>ROUND(BM60,2)</f>
        <v>0</v>
      </c>
      <c r="D796" s="270">
        <f>ROUND(BM61,0)</f>
        <v>0</v>
      </c>
      <c r="E796" s="270">
        <f>ROUND(BM62,0)</f>
        <v>0</v>
      </c>
      <c r="F796" s="270">
        <f>ROUND(BM63,0)</f>
        <v>0</v>
      </c>
      <c r="G796" s="270">
        <f>ROUND(BM64,0)</f>
        <v>0</v>
      </c>
      <c r="H796" s="270">
        <f>ROUND(BM65,0)</f>
        <v>0</v>
      </c>
      <c r="I796" s="270">
        <f>ROUND(BM66,0)</f>
        <v>0</v>
      </c>
      <c r="J796" s="270">
        <f>ROUND(BM67,0)</f>
        <v>0</v>
      </c>
      <c r="K796" s="270">
        <f>ROUND(BM68,0)</f>
        <v>0</v>
      </c>
      <c r="L796" s="270">
        <f>ROUND(BM69,0)</f>
        <v>0</v>
      </c>
      <c r="M796" s="270">
        <f>ROUND(BM70,0)</f>
        <v>0</v>
      </c>
      <c r="N796" s="270"/>
      <c r="O796" s="270"/>
      <c r="P796" s="270">
        <f>IF(BM76&gt;0,ROUND(BM76,0),0)</f>
        <v>0</v>
      </c>
      <c r="Q796" s="270">
        <f>IF(BM77&gt;0,ROUND(BM77,0),0)</f>
        <v>0</v>
      </c>
      <c r="R796" s="270">
        <f>IF(BM78&gt;0,ROUND(BM78,0),0)</f>
        <v>0</v>
      </c>
      <c r="S796" s="270">
        <f>IF(BM79&gt;0,ROUND(BM79,0),0)</f>
        <v>0</v>
      </c>
      <c r="T796" s="272">
        <f>IF(BM80&gt;0,ROUND(BM80,2),0)</f>
        <v>0</v>
      </c>
      <c r="U796" s="270"/>
      <c r="V796" s="271"/>
      <c r="W796" s="270"/>
      <c r="X796" s="270"/>
      <c r="Y796" s="270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  <c r="CA796" s="271"/>
      <c r="CB796" s="271"/>
      <c r="CC796" s="271"/>
      <c r="CD796" s="271"/>
      <c r="CE796" s="271"/>
    </row>
    <row r="797" spans="1:83" ht="12.6" customHeight="1" x14ac:dyDescent="0.2">
      <c r="A797" s="207" t="str">
        <f>RIGHT($C$83,3)&amp;"*"&amp;RIGHT($C$82,4)&amp;"*"&amp;BN$55&amp;"*"&amp;"A"</f>
        <v>142*2020*8610*A</v>
      </c>
      <c r="B797" s="270"/>
      <c r="C797" s="272">
        <f>ROUND(BN60,2)</f>
        <v>65.56</v>
      </c>
      <c r="D797" s="270">
        <f>ROUND(BN61,0)</f>
        <v>6781152</v>
      </c>
      <c r="E797" s="270">
        <f>ROUND(BN62,0)</f>
        <v>1635441</v>
      </c>
      <c r="F797" s="270">
        <f>ROUND(BN63,0)</f>
        <v>0</v>
      </c>
      <c r="G797" s="270">
        <f>ROUND(BN64,0)</f>
        <v>328691</v>
      </c>
      <c r="H797" s="270">
        <f>ROUND(BN65,0)</f>
        <v>40299</v>
      </c>
      <c r="I797" s="270">
        <f>ROUND(BN66,0)</f>
        <v>611713</v>
      </c>
      <c r="J797" s="270">
        <f>ROUND(BN67,0)</f>
        <v>587579</v>
      </c>
      <c r="K797" s="270">
        <f>ROUND(BN68,0)</f>
        <v>595823</v>
      </c>
      <c r="L797" s="270">
        <f>ROUND(BN69,0)</f>
        <v>976733</v>
      </c>
      <c r="M797" s="270">
        <f>ROUND(BN70,0)</f>
        <v>467947</v>
      </c>
      <c r="N797" s="270"/>
      <c r="O797" s="270"/>
      <c r="P797" s="270">
        <f>IF(BN76&gt;0,ROUND(BN76,0),0)</f>
        <v>10802</v>
      </c>
      <c r="Q797" s="270">
        <f>IF(BN77&gt;0,ROUND(BN77,0),0)</f>
        <v>0</v>
      </c>
      <c r="R797" s="270">
        <f>IF(BN78&gt;0,ROUND(BN78,0),0)</f>
        <v>0</v>
      </c>
      <c r="S797" s="270">
        <f>IF(BN79&gt;0,ROUND(BN79,0),0)</f>
        <v>0</v>
      </c>
      <c r="T797" s="272">
        <f>IF(BN80&gt;0,ROUND(BN80,2),0)</f>
        <v>0</v>
      </c>
      <c r="U797" s="270"/>
      <c r="V797" s="271"/>
      <c r="W797" s="270"/>
      <c r="X797" s="270"/>
      <c r="Y797" s="270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  <c r="CA797" s="271"/>
      <c r="CB797" s="271"/>
      <c r="CC797" s="271"/>
      <c r="CD797" s="271"/>
      <c r="CE797" s="271"/>
    </row>
    <row r="798" spans="1:83" ht="12.6" customHeight="1" x14ac:dyDescent="0.2">
      <c r="A798" s="207" t="str">
        <f>RIGHT($C$83,3)&amp;"*"&amp;RIGHT($C$82,4)&amp;"*"&amp;BO$55&amp;"*"&amp;"A"</f>
        <v>142*2020*8620*A</v>
      </c>
      <c r="B798" s="270"/>
      <c r="C798" s="272">
        <f>ROUND(BO60,2)</f>
        <v>0</v>
      </c>
      <c r="D798" s="270">
        <f>ROUND(BO61,0)</f>
        <v>0</v>
      </c>
      <c r="E798" s="270">
        <f>ROUND(BO62,0)</f>
        <v>0</v>
      </c>
      <c r="F798" s="270">
        <f>ROUND(BO63,0)</f>
        <v>0</v>
      </c>
      <c r="G798" s="270">
        <f>ROUND(BO64,0)</f>
        <v>0</v>
      </c>
      <c r="H798" s="270">
        <f>ROUND(BO65,0)</f>
        <v>0</v>
      </c>
      <c r="I798" s="270">
        <f>ROUND(BO66,0)</f>
        <v>0</v>
      </c>
      <c r="J798" s="270">
        <f>ROUND(BO67,0)</f>
        <v>0</v>
      </c>
      <c r="K798" s="270">
        <f>ROUND(BO68,0)</f>
        <v>0</v>
      </c>
      <c r="L798" s="270">
        <f>ROUND(BO69,0)</f>
        <v>0</v>
      </c>
      <c r="M798" s="270">
        <f>ROUND(BO70,0)</f>
        <v>0</v>
      </c>
      <c r="N798" s="270"/>
      <c r="O798" s="270"/>
      <c r="P798" s="270">
        <f>IF(BO76&gt;0,ROUND(BO76,0),0)</f>
        <v>0</v>
      </c>
      <c r="Q798" s="270">
        <f>IF(BO77&gt;0,ROUND(BO77,0),0)</f>
        <v>0</v>
      </c>
      <c r="R798" s="270">
        <f>IF(BO78&gt;0,ROUND(BO78,0),0)</f>
        <v>0</v>
      </c>
      <c r="S798" s="270">
        <f>IF(BO79&gt;0,ROUND(BO79,0),0)</f>
        <v>0</v>
      </c>
      <c r="T798" s="272">
        <f>IF(BO80&gt;0,ROUND(BO80,2),0)</f>
        <v>0</v>
      </c>
      <c r="U798" s="270"/>
      <c r="V798" s="271"/>
      <c r="W798" s="270"/>
      <c r="X798" s="270"/>
      <c r="Y798" s="270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  <c r="CA798" s="271"/>
      <c r="CB798" s="271"/>
      <c r="CC798" s="271"/>
      <c r="CD798" s="271"/>
      <c r="CE798" s="271"/>
    </row>
    <row r="799" spans="1:83" ht="12.6" customHeight="1" x14ac:dyDescent="0.2">
      <c r="A799" s="207" t="str">
        <f>RIGHT($C$83,3)&amp;"*"&amp;RIGHT($C$82,4)&amp;"*"&amp;BP$55&amp;"*"&amp;"A"</f>
        <v>142*2020*8630*A</v>
      </c>
      <c r="B799" s="270"/>
      <c r="C799" s="272">
        <f>ROUND(BP60,2)</f>
        <v>0</v>
      </c>
      <c r="D799" s="270">
        <f>ROUND(BP61,0)</f>
        <v>0</v>
      </c>
      <c r="E799" s="270">
        <f>ROUND(BP62,0)</f>
        <v>0</v>
      </c>
      <c r="F799" s="270">
        <f>ROUND(BP63,0)</f>
        <v>0</v>
      </c>
      <c r="G799" s="270">
        <f>ROUND(BP64,0)</f>
        <v>0</v>
      </c>
      <c r="H799" s="270">
        <f>ROUND(BP65,0)</f>
        <v>0</v>
      </c>
      <c r="I799" s="270">
        <f>ROUND(BP66,0)</f>
        <v>0</v>
      </c>
      <c r="J799" s="270">
        <f>ROUND(BP67,0)</f>
        <v>0</v>
      </c>
      <c r="K799" s="270">
        <f>ROUND(BP68,0)</f>
        <v>0</v>
      </c>
      <c r="L799" s="270">
        <f>ROUND(BP69,0)</f>
        <v>0</v>
      </c>
      <c r="M799" s="270">
        <f>ROUND(BP70,0)</f>
        <v>0</v>
      </c>
      <c r="N799" s="270"/>
      <c r="O799" s="270"/>
      <c r="P799" s="270">
        <f>IF(BP76&gt;0,ROUND(BP76,0),0)</f>
        <v>0</v>
      </c>
      <c r="Q799" s="270">
        <f>IF(BP77&gt;0,ROUND(BP77,0),0)</f>
        <v>0</v>
      </c>
      <c r="R799" s="270">
        <f>IF(BP78&gt;0,ROUND(BP78,0),0)</f>
        <v>0</v>
      </c>
      <c r="S799" s="270">
        <f>IF(BP79&gt;0,ROUND(BP79,0),0)</f>
        <v>0</v>
      </c>
      <c r="T799" s="272">
        <f>IF(BP80&gt;0,ROUND(BP80,2),0)</f>
        <v>0</v>
      </c>
      <c r="U799" s="270"/>
      <c r="V799" s="271"/>
      <c r="W799" s="270"/>
      <c r="X799" s="270"/>
      <c r="Y799" s="270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  <c r="CA799" s="271"/>
      <c r="CB799" s="271"/>
      <c r="CC799" s="271"/>
      <c r="CD799" s="271"/>
      <c r="CE799" s="271"/>
    </row>
    <row r="800" spans="1:83" ht="12.6" customHeight="1" x14ac:dyDescent="0.2">
      <c r="A800" s="207" t="str">
        <f>RIGHT($C$83,3)&amp;"*"&amp;RIGHT($C$82,4)&amp;"*"&amp;BQ$55&amp;"*"&amp;"A"</f>
        <v>142*2020*8640*A</v>
      </c>
      <c r="B800" s="270"/>
      <c r="C800" s="272">
        <f>ROUND(BQ60,2)</f>
        <v>0</v>
      </c>
      <c r="D800" s="270">
        <f>ROUND(BQ61,0)</f>
        <v>0</v>
      </c>
      <c r="E800" s="270">
        <f>ROUND(BQ62,0)</f>
        <v>0</v>
      </c>
      <c r="F800" s="270">
        <f>ROUND(BQ63,0)</f>
        <v>0</v>
      </c>
      <c r="G800" s="270">
        <f>ROUND(BQ64,0)</f>
        <v>0</v>
      </c>
      <c r="H800" s="270">
        <f>ROUND(BQ65,0)</f>
        <v>0</v>
      </c>
      <c r="I800" s="270">
        <f>ROUND(BQ66,0)</f>
        <v>0</v>
      </c>
      <c r="J800" s="270">
        <f>ROUND(BQ67,0)</f>
        <v>0</v>
      </c>
      <c r="K800" s="270">
        <f>ROUND(BQ68,0)</f>
        <v>0</v>
      </c>
      <c r="L800" s="270">
        <f>ROUND(BQ69,0)</f>
        <v>0</v>
      </c>
      <c r="M800" s="270">
        <f>ROUND(BQ70,0)</f>
        <v>0</v>
      </c>
      <c r="N800" s="270"/>
      <c r="O800" s="270"/>
      <c r="P800" s="270">
        <f>IF(BQ76&gt;0,ROUND(BQ76,0),0)</f>
        <v>0</v>
      </c>
      <c r="Q800" s="270">
        <f>IF(BQ77&gt;0,ROUND(BQ77,0),0)</f>
        <v>0</v>
      </c>
      <c r="R800" s="270">
        <f>IF(BQ78&gt;0,ROUND(BQ78,0),0)</f>
        <v>0</v>
      </c>
      <c r="S800" s="270">
        <f>IF(BQ79&gt;0,ROUND(BQ79,0),0)</f>
        <v>0</v>
      </c>
      <c r="T800" s="272">
        <f>IF(BQ80&gt;0,ROUND(BQ80,2),0)</f>
        <v>0</v>
      </c>
      <c r="U800" s="270"/>
      <c r="V800" s="271"/>
      <c r="W800" s="270"/>
      <c r="X800" s="270"/>
      <c r="Y800" s="270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  <c r="CA800" s="271"/>
      <c r="CB800" s="271"/>
      <c r="CC800" s="271"/>
      <c r="CD800" s="271"/>
      <c r="CE800" s="271"/>
    </row>
    <row r="801" spans="1:83" ht="12.6" customHeight="1" x14ac:dyDescent="0.2">
      <c r="A801" s="207" t="str">
        <f>RIGHT($C$83,3)&amp;"*"&amp;RIGHT($C$82,4)&amp;"*"&amp;BR$55&amp;"*"&amp;"A"</f>
        <v>142*2020*8650*A</v>
      </c>
      <c r="B801" s="270"/>
      <c r="C801" s="272">
        <f>ROUND(BR60,2)</f>
        <v>0</v>
      </c>
      <c r="D801" s="270">
        <f>ROUND(BR61,0)</f>
        <v>9</v>
      </c>
      <c r="E801" s="270">
        <f>ROUND(BR62,0)</f>
        <v>1670</v>
      </c>
      <c r="F801" s="270">
        <f>ROUND(BR63,0)</f>
        <v>0</v>
      </c>
      <c r="G801" s="270">
        <f>ROUND(BR64,0)</f>
        <v>11155</v>
      </c>
      <c r="H801" s="270">
        <f>ROUND(BR65,0)</f>
        <v>0</v>
      </c>
      <c r="I801" s="270">
        <f>ROUND(BR66,0)</f>
        <v>0</v>
      </c>
      <c r="J801" s="270">
        <f>ROUND(BR67,0)</f>
        <v>0</v>
      </c>
      <c r="K801" s="270">
        <f>ROUND(BR68,0)</f>
        <v>0</v>
      </c>
      <c r="L801" s="270">
        <f>ROUND(BR69,0)</f>
        <v>273832</v>
      </c>
      <c r="M801" s="270">
        <f>ROUND(BR70,0)</f>
        <v>0</v>
      </c>
      <c r="N801" s="270"/>
      <c r="O801" s="270"/>
      <c r="P801" s="270">
        <f>IF(BR76&gt;0,ROUND(BR76,0),0)</f>
        <v>0</v>
      </c>
      <c r="Q801" s="270">
        <f>IF(BR77&gt;0,ROUND(BR77,0),0)</f>
        <v>0</v>
      </c>
      <c r="R801" s="270">
        <f>IF(BR78&gt;0,ROUND(BR78,0),0)</f>
        <v>0</v>
      </c>
      <c r="S801" s="270">
        <f>IF(BR79&gt;0,ROUND(BR79,0),0)</f>
        <v>0</v>
      </c>
      <c r="T801" s="272">
        <f>IF(BR80&gt;0,ROUND(BR80,2),0)</f>
        <v>0</v>
      </c>
      <c r="U801" s="270"/>
      <c r="V801" s="271"/>
      <c r="W801" s="270"/>
      <c r="X801" s="270"/>
      <c r="Y801" s="270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  <c r="CA801" s="271"/>
      <c r="CB801" s="271"/>
      <c r="CC801" s="271"/>
      <c r="CD801" s="271"/>
      <c r="CE801" s="271"/>
    </row>
    <row r="802" spans="1:83" ht="12.6" customHeight="1" x14ac:dyDescent="0.2">
      <c r="A802" s="207" t="str">
        <f>RIGHT($C$83,3)&amp;"*"&amp;RIGHT($C$82,4)&amp;"*"&amp;BS$55&amp;"*"&amp;"A"</f>
        <v>142*2020*8660*A</v>
      </c>
      <c r="B802" s="270"/>
      <c r="C802" s="272">
        <f>ROUND(BS60,2)</f>
        <v>0</v>
      </c>
      <c r="D802" s="270">
        <f>ROUND(BS61,0)</f>
        <v>0</v>
      </c>
      <c r="E802" s="270">
        <f>ROUND(BS62,0)</f>
        <v>0</v>
      </c>
      <c r="F802" s="270">
        <f>ROUND(BS63,0)</f>
        <v>0</v>
      </c>
      <c r="G802" s="270">
        <f>ROUND(BS64,0)</f>
        <v>0</v>
      </c>
      <c r="H802" s="270">
        <f>ROUND(BS65,0)</f>
        <v>0</v>
      </c>
      <c r="I802" s="270">
        <f>ROUND(BS66,0)</f>
        <v>0</v>
      </c>
      <c r="J802" s="270">
        <f>ROUND(BS67,0)</f>
        <v>179361</v>
      </c>
      <c r="K802" s="270">
        <f>ROUND(BS68,0)</f>
        <v>0</v>
      </c>
      <c r="L802" s="270">
        <f>ROUND(BS69,0)</f>
        <v>0</v>
      </c>
      <c r="M802" s="270">
        <f>ROUND(BS70,0)</f>
        <v>0</v>
      </c>
      <c r="N802" s="270"/>
      <c r="O802" s="270"/>
      <c r="P802" s="270">
        <f>IF(BS76&gt;0,ROUND(BS76,0),0)</f>
        <v>4251</v>
      </c>
      <c r="Q802" s="270">
        <f>IF(BS77&gt;0,ROUND(BS77,0),0)</f>
        <v>0</v>
      </c>
      <c r="R802" s="270">
        <f>IF(BS78&gt;0,ROUND(BS78,0),0)</f>
        <v>1223</v>
      </c>
      <c r="S802" s="270">
        <f>IF(BS79&gt;0,ROUND(BS79,0),0)</f>
        <v>0</v>
      </c>
      <c r="T802" s="272">
        <f>IF(BS80&gt;0,ROUND(BS80,2),0)</f>
        <v>0</v>
      </c>
      <c r="U802" s="270"/>
      <c r="V802" s="271"/>
      <c r="W802" s="270"/>
      <c r="X802" s="270"/>
      <c r="Y802" s="270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  <c r="CA802" s="271"/>
      <c r="CB802" s="271"/>
      <c r="CC802" s="271"/>
      <c r="CD802" s="271"/>
      <c r="CE802" s="271"/>
    </row>
    <row r="803" spans="1:83" ht="12.6" customHeight="1" x14ac:dyDescent="0.2">
      <c r="A803" s="207" t="str">
        <f>RIGHT($C$83,3)&amp;"*"&amp;RIGHT($C$82,4)&amp;"*"&amp;BT$55&amp;"*"&amp;"A"</f>
        <v>142*2020*8670*A</v>
      </c>
      <c r="B803" s="270"/>
      <c r="C803" s="272">
        <f>ROUND(BT60,2)</f>
        <v>0</v>
      </c>
      <c r="D803" s="270">
        <f>ROUND(BT61,0)</f>
        <v>0</v>
      </c>
      <c r="E803" s="270">
        <f>ROUND(BT62,0)</f>
        <v>0</v>
      </c>
      <c r="F803" s="270">
        <f>ROUND(BT63,0)</f>
        <v>0</v>
      </c>
      <c r="G803" s="270">
        <f>ROUND(BT64,0)</f>
        <v>0</v>
      </c>
      <c r="H803" s="270">
        <f>ROUND(BT65,0)</f>
        <v>0</v>
      </c>
      <c r="I803" s="270">
        <f>ROUND(BT66,0)</f>
        <v>0</v>
      </c>
      <c r="J803" s="270">
        <f>ROUND(BT67,0)</f>
        <v>0</v>
      </c>
      <c r="K803" s="270">
        <f>ROUND(BT68,0)</f>
        <v>0</v>
      </c>
      <c r="L803" s="270">
        <f>ROUND(BT69,0)</f>
        <v>0</v>
      </c>
      <c r="M803" s="270">
        <f>ROUND(BT70,0)</f>
        <v>0</v>
      </c>
      <c r="N803" s="270"/>
      <c r="O803" s="270"/>
      <c r="P803" s="270">
        <f>IF(BT76&gt;0,ROUND(BT76,0),0)</f>
        <v>0</v>
      </c>
      <c r="Q803" s="270">
        <f>IF(BT77&gt;0,ROUND(BT77,0),0)</f>
        <v>0</v>
      </c>
      <c r="R803" s="270">
        <f>IF(BT78&gt;0,ROUND(BT78,0),0)</f>
        <v>0</v>
      </c>
      <c r="S803" s="270">
        <f>IF(BT79&gt;0,ROUND(BT79,0),0)</f>
        <v>0</v>
      </c>
      <c r="T803" s="272">
        <f>IF(BT80&gt;0,ROUND(BT80,2),0)</f>
        <v>0</v>
      </c>
      <c r="U803" s="270"/>
      <c r="V803" s="271"/>
      <c r="W803" s="270"/>
      <c r="X803" s="270"/>
      <c r="Y803" s="270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  <c r="CA803" s="271"/>
      <c r="CB803" s="271"/>
      <c r="CC803" s="271"/>
      <c r="CD803" s="271"/>
      <c r="CE803" s="271"/>
    </row>
    <row r="804" spans="1:83" ht="12.6" customHeight="1" x14ac:dyDescent="0.2">
      <c r="A804" s="207" t="str">
        <f>RIGHT($C$83,3)&amp;"*"&amp;RIGHT($C$82,4)&amp;"*"&amp;BU$55&amp;"*"&amp;"A"</f>
        <v>142*2020*8680*A</v>
      </c>
      <c r="B804" s="270"/>
      <c r="C804" s="272">
        <f>ROUND(BU60,2)</f>
        <v>0</v>
      </c>
      <c r="D804" s="270">
        <f>ROUND(BU61,0)</f>
        <v>0</v>
      </c>
      <c r="E804" s="270">
        <f>ROUND(BU62,0)</f>
        <v>0</v>
      </c>
      <c r="F804" s="270">
        <f>ROUND(BU63,0)</f>
        <v>0</v>
      </c>
      <c r="G804" s="270">
        <f>ROUND(BU64,0)</f>
        <v>0</v>
      </c>
      <c r="H804" s="270">
        <f>ROUND(BU65,0)</f>
        <v>0</v>
      </c>
      <c r="I804" s="270">
        <f>ROUND(BU66,0)</f>
        <v>0</v>
      </c>
      <c r="J804" s="270">
        <f>ROUND(BU67,0)</f>
        <v>113414</v>
      </c>
      <c r="K804" s="270">
        <f>ROUND(BU68,0)</f>
        <v>0</v>
      </c>
      <c r="L804" s="270">
        <f>ROUND(BU69,0)</f>
        <v>0</v>
      </c>
      <c r="M804" s="270">
        <f>ROUND(BU70,0)</f>
        <v>0</v>
      </c>
      <c r="N804" s="270"/>
      <c r="O804" s="270"/>
      <c r="P804" s="270">
        <f>IF(BU76&gt;0,ROUND(BU76,0),0)</f>
        <v>2688</v>
      </c>
      <c r="Q804" s="270">
        <f>IF(BU77&gt;0,ROUND(BU77,0),0)</f>
        <v>0</v>
      </c>
      <c r="R804" s="270">
        <f>IF(BU78&gt;0,ROUND(BU78,0),0)</f>
        <v>773</v>
      </c>
      <c r="S804" s="270">
        <f>IF(BU79&gt;0,ROUND(BU79,0),0)</f>
        <v>0</v>
      </c>
      <c r="T804" s="272">
        <f>IF(BU80&gt;0,ROUND(BU80,2),0)</f>
        <v>0</v>
      </c>
      <c r="U804" s="270"/>
      <c r="V804" s="271"/>
      <c r="W804" s="270"/>
      <c r="X804" s="270"/>
      <c r="Y804" s="270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  <c r="CA804" s="271"/>
      <c r="CB804" s="271"/>
      <c r="CC804" s="271"/>
      <c r="CD804" s="271"/>
      <c r="CE804" s="271"/>
    </row>
    <row r="805" spans="1:83" ht="12.6" customHeight="1" x14ac:dyDescent="0.2">
      <c r="A805" s="207" t="str">
        <f>RIGHT($C$83,3)&amp;"*"&amp;RIGHT($C$82,4)&amp;"*"&amp;BV$55&amp;"*"&amp;"A"</f>
        <v>142*2020*8690*A</v>
      </c>
      <c r="B805" s="270"/>
      <c r="C805" s="272">
        <f>ROUND(BV60,2)</f>
        <v>0</v>
      </c>
      <c r="D805" s="270">
        <f>ROUND(BV61,0)</f>
        <v>0</v>
      </c>
      <c r="E805" s="270">
        <f>ROUND(BV62,0)</f>
        <v>0</v>
      </c>
      <c r="F805" s="270">
        <f>ROUND(BV63,0)</f>
        <v>0</v>
      </c>
      <c r="G805" s="270">
        <f>ROUND(BV64,0)</f>
        <v>1846</v>
      </c>
      <c r="H805" s="270">
        <f>ROUND(BV65,0)</f>
        <v>0</v>
      </c>
      <c r="I805" s="270">
        <f>ROUND(BV66,0)</f>
        <v>5151918</v>
      </c>
      <c r="J805" s="270">
        <f>ROUND(BV67,0)</f>
        <v>358293</v>
      </c>
      <c r="K805" s="270">
        <f>ROUND(BV68,0)</f>
        <v>11331</v>
      </c>
      <c r="L805" s="270">
        <f>ROUND(BV69,0)</f>
        <v>0</v>
      </c>
      <c r="M805" s="270">
        <f>ROUND(BV70,0)</f>
        <v>2792</v>
      </c>
      <c r="N805" s="270"/>
      <c r="O805" s="270"/>
      <c r="P805" s="270">
        <f>IF(BV76&gt;0,ROUND(BV76,0),0)</f>
        <v>7535</v>
      </c>
      <c r="Q805" s="270">
        <f>IF(BV77&gt;0,ROUND(BV77,0),0)</f>
        <v>0</v>
      </c>
      <c r="R805" s="270">
        <f>IF(BV78&gt;0,ROUND(BV78,0),0)</f>
        <v>2168</v>
      </c>
      <c r="S805" s="270">
        <f>IF(BV79&gt;0,ROUND(BV79,0),0)</f>
        <v>0</v>
      </c>
      <c r="T805" s="272">
        <f>IF(BV80&gt;0,ROUND(BV80,2),0)</f>
        <v>0</v>
      </c>
      <c r="U805" s="270"/>
      <c r="V805" s="271"/>
      <c r="W805" s="270"/>
      <c r="X805" s="270"/>
      <c r="Y805" s="270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  <c r="CA805" s="271"/>
      <c r="CB805" s="271"/>
      <c r="CC805" s="271"/>
      <c r="CD805" s="271"/>
      <c r="CE805" s="271"/>
    </row>
    <row r="806" spans="1:83" ht="12.6" customHeight="1" x14ac:dyDescent="0.2">
      <c r="A806" s="207" t="str">
        <f>RIGHT($C$83,3)&amp;"*"&amp;RIGHT($C$82,4)&amp;"*"&amp;BW$55&amp;"*"&amp;"A"</f>
        <v>142*2020*8700*A</v>
      </c>
      <c r="B806" s="270"/>
      <c r="C806" s="272">
        <f>ROUND(BW60,2)</f>
        <v>0</v>
      </c>
      <c r="D806" s="270">
        <f>ROUND(BW61,0)</f>
        <v>0</v>
      </c>
      <c r="E806" s="270">
        <f>ROUND(BW62,0)</f>
        <v>214</v>
      </c>
      <c r="F806" s="270">
        <f>ROUND(BW63,0)</f>
        <v>23695</v>
      </c>
      <c r="G806" s="270">
        <f>ROUND(BW64,0)</f>
        <v>0</v>
      </c>
      <c r="H806" s="270">
        <f>ROUND(BW65,0)</f>
        <v>0</v>
      </c>
      <c r="I806" s="270">
        <f>ROUND(BW66,0)</f>
        <v>242626</v>
      </c>
      <c r="J806" s="270">
        <f>ROUND(BW67,0)</f>
        <v>0</v>
      </c>
      <c r="K806" s="270">
        <f>ROUND(BW68,0)</f>
        <v>0</v>
      </c>
      <c r="L806" s="270">
        <f>ROUND(BW69,0)</f>
        <v>0</v>
      </c>
      <c r="M806" s="270">
        <f>ROUND(BW70,0)</f>
        <v>386391</v>
      </c>
      <c r="N806" s="270"/>
      <c r="O806" s="270"/>
      <c r="P806" s="270">
        <f>IF(BW76&gt;0,ROUND(BW76,0),0)</f>
        <v>0</v>
      </c>
      <c r="Q806" s="270">
        <f>IF(BW77&gt;0,ROUND(BW77,0),0)</f>
        <v>0</v>
      </c>
      <c r="R806" s="270">
        <f>IF(BW78&gt;0,ROUND(BW78,0),0)</f>
        <v>0</v>
      </c>
      <c r="S806" s="270">
        <f>IF(BW79&gt;0,ROUND(BW79,0),0)</f>
        <v>0</v>
      </c>
      <c r="T806" s="272">
        <f>IF(BW80&gt;0,ROUND(BW80,2),0)</f>
        <v>0</v>
      </c>
      <c r="U806" s="270"/>
      <c r="V806" s="271"/>
      <c r="W806" s="270"/>
      <c r="X806" s="270"/>
      <c r="Y806" s="270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  <c r="CA806" s="271"/>
      <c r="CB806" s="271"/>
      <c r="CC806" s="271"/>
      <c r="CD806" s="271"/>
      <c r="CE806" s="271"/>
    </row>
    <row r="807" spans="1:83" ht="12.6" customHeight="1" x14ac:dyDescent="0.2">
      <c r="A807" s="207" t="str">
        <f>RIGHT($C$83,3)&amp;"*"&amp;RIGHT($C$82,4)&amp;"*"&amp;BX$55&amp;"*"&amp;"A"</f>
        <v>142*2020*8710*A</v>
      </c>
      <c r="B807" s="270"/>
      <c r="C807" s="272">
        <f>ROUND(BX60,2)</f>
        <v>0</v>
      </c>
      <c r="D807" s="270">
        <f>ROUND(BX61,0)</f>
        <v>0</v>
      </c>
      <c r="E807" s="270">
        <f>ROUND(BX62,0)</f>
        <v>0</v>
      </c>
      <c r="F807" s="270">
        <f>ROUND(BX63,0)</f>
        <v>0</v>
      </c>
      <c r="G807" s="270">
        <f>ROUND(BX64,0)</f>
        <v>0</v>
      </c>
      <c r="H807" s="270">
        <f>ROUND(BX65,0)</f>
        <v>0</v>
      </c>
      <c r="I807" s="270">
        <f>ROUND(BX66,0)</f>
        <v>4797648</v>
      </c>
      <c r="J807" s="270">
        <f>ROUND(BX67,0)</f>
        <v>0</v>
      </c>
      <c r="K807" s="270">
        <f>ROUND(BX68,0)</f>
        <v>0</v>
      </c>
      <c r="L807" s="270">
        <f>ROUND(BX69,0)</f>
        <v>0</v>
      </c>
      <c r="M807" s="270">
        <f>ROUND(BX70,0)</f>
        <v>0</v>
      </c>
      <c r="N807" s="270"/>
      <c r="O807" s="270"/>
      <c r="P807" s="270">
        <f>IF(BX76&gt;0,ROUND(BX76,0),0)</f>
        <v>0</v>
      </c>
      <c r="Q807" s="270">
        <f>IF(BX77&gt;0,ROUND(BX77,0),0)</f>
        <v>0</v>
      </c>
      <c r="R807" s="270">
        <f>IF(BX78&gt;0,ROUND(BX78,0),0)</f>
        <v>0</v>
      </c>
      <c r="S807" s="270">
        <f>IF(BX79&gt;0,ROUND(BX79,0),0)</f>
        <v>0</v>
      </c>
      <c r="T807" s="272">
        <f>IF(BX80&gt;0,ROUND(BX80,2),0)</f>
        <v>0</v>
      </c>
      <c r="U807" s="270"/>
      <c r="V807" s="271"/>
      <c r="W807" s="270"/>
      <c r="X807" s="270"/>
      <c r="Y807" s="270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  <c r="CA807" s="271"/>
      <c r="CB807" s="271"/>
      <c r="CC807" s="271"/>
      <c r="CD807" s="271"/>
      <c r="CE807" s="271"/>
    </row>
    <row r="808" spans="1:83" ht="12.6" customHeight="1" x14ac:dyDescent="0.2">
      <c r="A808" s="207" t="str">
        <f>RIGHT($C$83,3)&amp;"*"&amp;RIGHT($C$82,4)&amp;"*"&amp;BY$55&amp;"*"&amp;"A"</f>
        <v>142*2020*8720*A</v>
      </c>
      <c r="B808" s="270"/>
      <c r="C808" s="272">
        <f>ROUND(BY60,2)</f>
        <v>40.92</v>
      </c>
      <c r="D808" s="270">
        <f>ROUND(BY61,0)</f>
        <v>3788900</v>
      </c>
      <c r="E808" s="270">
        <f>ROUND(BY62,0)</f>
        <v>983396</v>
      </c>
      <c r="F808" s="270">
        <f>ROUND(BY63,0)</f>
        <v>0</v>
      </c>
      <c r="G808" s="270">
        <f>ROUND(BY64,0)</f>
        <v>17518</v>
      </c>
      <c r="H808" s="270">
        <f>ROUND(BY65,0)</f>
        <v>2516</v>
      </c>
      <c r="I808" s="270">
        <f>ROUND(BY66,0)</f>
        <v>1433728</v>
      </c>
      <c r="J808" s="270">
        <f>ROUND(BY67,0)</f>
        <v>268413</v>
      </c>
      <c r="K808" s="270">
        <f>ROUND(BY68,0)</f>
        <v>36652</v>
      </c>
      <c r="L808" s="270">
        <f>ROUND(BY69,0)</f>
        <v>71451</v>
      </c>
      <c r="M808" s="270">
        <f>ROUND(BY70,0)</f>
        <v>352490</v>
      </c>
      <c r="N808" s="270"/>
      <c r="O808" s="270"/>
      <c r="P808" s="270">
        <f>IF(BY76&gt;0,ROUND(BY76,0),0)</f>
        <v>2637</v>
      </c>
      <c r="Q808" s="270">
        <f>IF(BY77&gt;0,ROUND(BY77,0),0)</f>
        <v>0</v>
      </c>
      <c r="R808" s="270">
        <f>IF(BY78&gt;0,ROUND(BY78,0),0)</f>
        <v>759</v>
      </c>
      <c r="S808" s="270">
        <f>IF(BY79&gt;0,ROUND(BY79,0),0)</f>
        <v>0</v>
      </c>
      <c r="T808" s="272">
        <f>IF(BY80&gt;0,ROUND(BY80,2),0)</f>
        <v>0</v>
      </c>
      <c r="U808" s="270"/>
      <c r="V808" s="271"/>
      <c r="W808" s="270"/>
      <c r="X808" s="270"/>
      <c r="Y808" s="270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  <c r="CA808" s="271"/>
      <c r="CB808" s="271"/>
      <c r="CC808" s="271"/>
      <c r="CD808" s="271"/>
      <c r="CE808" s="271"/>
    </row>
    <row r="809" spans="1:83" ht="12.6" customHeight="1" x14ac:dyDescent="0.2">
      <c r="A809" s="207" t="str">
        <f>RIGHT($C$83,3)&amp;"*"&amp;RIGHT($C$82,4)&amp;"*"&amp;BZ$55&amp;"*"&amp;"A"</f>
        <v>142*2020*8730*A</v>
      </c>
      <c r="B809" s="270"/>
      <c r="C809" s="272">
        <f>ROUND(BZ60,2)</f>
        <v>28.89</v>
      </c>
      <c r="D809" s="270">
        <f>ROUND(BZ61,0)</f>
        <v>2258056</v>
      </c>
      <c r="E809" s="270">
        <f>ROUND(BZ62,0)</f>
        <v>639648</v>
      </c>
      <c r="F809" s="270">
        <f>ROUND(BZ63,0)</f>
        <v>0</v>
      </c>
      <c r="G809" s="270">
        <f>ROUND(BZ64,0)</f>
        <v>24229</v>
      </c>
      <c r="H809" s="270">
        <f>ROUND(BZ65,0)</f>
        <v>41</v>
      </c>
      <c r="I809" s="270">
        <f>ROUND(BZ66,0)</f>
        <v>9265</v>
      </c>
      <c r="J809" s="270">
        <f>ROUND(BZ67,0)</f>
        <v>9157</v>
      </c>
      <c r="K809" s="270">
        <f>ROUND(BZ68,0)</f>
        <v>0</v>
      </c>
      <c r="L809" s="270">
        <f>ROUND(BZ69,0)</f>
        <v>1631</v>
      </c>
      <c r="M809" s="270">
        <f>ROUND(BZ70,0)</f>
        <v>0</v>
      </c>
      <c r="N809" s="270"/>
      <c r="O809" s="270"/>
      <c r="P809" s="270">
        <f>IF(BZ76&gt;0,ROUND(BZ76,0),0)</f>
        <v>0</v>
      </c>
      <c r="Q809" s="270">
        <f>IF(BZ77&gt;0,ROUND(BZ77,0),0)</f>
        <v>0</v>
      </c>
      <c r="R809" s="270">
        <f>IF(BZ78&gt;0,ROUND(BZ78,0),0)</f>
        <v>0</v>
      </c>
      <c r="S809" s="270">
        <f>IF(BZ79&gt;0,ROUND(BZ79,0),0)</f>
        <v>0</v>
      </c>
      <c r="T809" s="272">
        <f>IF(BZ80&gt;0,ROUND(BZ80,2),0)</f>
        <v>0</v>
      </c>
      <c r="U809" s="270"/>
      <c r="V809" s="271"/>
      <c r="W809" s="270"/>
      <c r="X809" s="270"/>
      <c r="Y809" s="270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  <c r="CA809" s="271"/>
      <c r="CB809" s="271"/>
      <c r="CC809" s="271"/>
      <c r="CD809" s="271"/>
      <c r="CE809" s="271"/>
    </row>
    <row r="810" spans="1:83" ht="12.6" customHeight="1" x14ac:dyDescent="0.2">
      <c r="A810" s="207" t="str">
        <f>RIGHT($C$83,3)&amp;"*"&amp;RIGHT($C$82,4)&amp;"*"&amp;CA$55&amp;"*"&amp;"A"</f>
        <v>142*2020*8740*A</v>
      </c>
      <c r="B810" s="270"/>
      <c r="C810" s="272">
        <f>ROUND(CA60,2)</f>
        <v>10.39</v>
      </c>
      <c r="D810" s="270">
        <f>ROUND(CA61,0)</f>
        <v>1030414</v>
      </c>
      <c r="E810" s="270">
        <f>ROUND(CA62,0)</f>
        <v>267473</v>
      </c>
      <c r="F810" s="270">
        <f>ROUND(CA63,0)</f>
        <v>0</v>
      </c>
      <c r="G810" s="270">
        <f>ROUND(CA64,0)</f>
        <v>21810</v>
      </c>
      <c r="H810" s="270">
        <f>ROUND(CA65,0)</f>
        <v>0</v>
      </c>
      <c r="I810" s="270">
        <f>ROUND(CA66,0)</f>
        <v>130636</v>
      </c>
      <c r="J810" s="270">
        <f>ROUND(CA67,0)</f>
        <v>82138</v>
      </c>
      <c r="K810" s="270">
        <f>ROUND(CA68,0)</f>
        <v>43156</v>
      </c>
      <c r="L810" s="270">
        <f>ROUND(CA69,0)</f>
        <v>16067</v>
      </c>
      <c r="M810" s="270">
        <f>ROUND(CA70,0)</f>
        <v>35</v>
      </c>
      <c r="N810" s="270"/>
      <c r="O810" s="270"/>
      <c r="P810" s="270">
        <f>IF(CA76&gt;0,ROUND(CA76,0),0)</f>
        <v>1853</v>
      </c>
      <c r="Q810" s="270">
        <f>IF(CA77&gt;0,ROUND(CA77,0),0)</f>
        <v>0</v>
      </c>
      <c r="R810" s="270">
        <f>IF(CA78&gt;0,ROUND(CA78,0),0)</f>
        <v>533</v>
      </c>
      <c r="S810" s="270">
        <f>IF(CA79&gt;0,ROUND(CA79,0),0)</f>
        <v>0</v>
      </c>
      <c r="T810" s="272">
        <f>IF(CA80&gt;0,ROUND(CA80,2),0)</f>
        <v>0</v>
      </c>
      <c r="U810" s="270"/>
      <c r="V810" s="271"/>
      <c r="W810" s="270"/>
      <c r="X810" s="270"/>
      <c r="Y810" s="270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  <c r="CA810" s="271"/>
      <c r="CB810" s="271"/>
      <c r="CC810" s="271"/>
      <c r="CD810" s="271"/>
      <c r="CE810" s="271"/>
    </row>
    <row r="811" spans="1:83" ht="12.6" customHeight="1" x14ac:dyDescent="0.2">
      <c r="A811" s="207" t="str">
        <f>RIGHT($C$83,3)&amp;"*"&amp;RIGHT($C$82,4)&amp;"*"&amp;CB$55&amp;"*"&amp;"A"</f>
        <v>142*2020*8770*A</v>
      </c>
      <c r="B811" s="270"/>
      <c r="C811" s="272">
        <f>ROUND(CB60,2)</f>
        <v>0</v>
      </c>
      <c r="D811" s="270">
        <f>ROUND(CB61,0)</f>
        <v>0</v>
      </c>
      <c r="E811" s="270">
        <f>ROUND(CB62,0)</f>
        <v>0</v>
      </c>
      <c r="F811" s="270">
        <f>ROUND(CB63,0)</f>
        <v>0</v>
      </c>
      <c r="G811" s="270">
        <f>ROUND(CB64,0)</f>
        <v>0</v>
      </c>
      <c r="H811" s="270">
        <f>ROUND(CB65,0)</f>
        <v>0</v>
      </c>
      <c r="I811" s="270">
        <f>ROUND(CB66,0)</f>
        <v>0</v>
      </c>
      <c r="J811" s="270">
        <f>ROUND(CB67,0)</f>
        <v>0</v>
      </c>
      <c r="K811" s="270">
        <f>ROUND(CB68,0)</f>
        <v>0</v>
      </c>
      <c r="L811" s="270">
        <f>ROUND(CB69,0)</f>
        <v>0</v>
      </c>
      <c r="M811" s="270">
        <f>ROUND(CB70,0)</f>
        <v>0</v>
      </c>
      <c r="N811" s="270"/>
      <c r="O811" s="270"/>
      <c r="P811" s="270">
        <f>IF(CB76&gt;0,ROUND(CB76,0),0)</f>
        <v>0</v>
      </c>
      <c r="Q811" s="270">
        <f>IF(CB77&gt;0,ROUND(CB77,0),0)</f>
        <v>0</v>
      </c>
      <c r="R811" s="270">
        <f>IF(CB78&gt;0,ROUND(CB78,0),0)</f>
        <v>0</v>
      </c>
      <c r="S811" s="270">
        <f>IF(CB79&gt;0,ROUND(CB79,0),0)</f>
        <v>0</v>
      </c>
      <c r="T811" s="272">
        <f>IF(CB80&gt;0,ROUND(CB80,2),0)</f>
        <v>0</v>
      </c>
      <c r="U811" s="270"/>
      <c r="V811" s="271"/>
      <c r="W811" s="270"/>
      <c r="X811" s="270"/>
      <c r="Y811" s="270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  <c r="CA811" s="271"/>
      <c r="CB811" s="271"/>
      <c r="CC811" s="271"/>
      <c r="CD811" s="271"/>
      <c r="CE811" s="271"/>
    </row>
    <row r="812" spans="1:83" ht="12.6" customHeight="1" x14ac:dyDescent="0.2">
      <c r="A812" s="207" t="str">
        <f>RIGHT($C$83,3)&amp;"*"&amp;RIGHT($C$82,4)&amp;"*"&amp;CC$55&amp;"*"&amp;"A"</f>
        <v>142*2020*8790*A</v>
      </c>
      <c r="B812" s="270"/>
      <c r="C812" s="272">
        <f>ROUND(CC60,2)</f>
        <v>0</v>
      </c>
      <c r="D812" s="270">
        <f>ROUND(CC61,0)</f>
        <v>2476682</v>
      </c>
      <c r="E812" s="270">
        <f>ROUND(CC62,0)</f>
        <v>0</v>
      </c>
      <c r="F812" s="270">
        <f>ROUND(CC63,0)</f>
        <v>0</v>
      </c>
      <c r="G812" s="270">
        <f>ROUND(CC64,0)</f>
        <v>-35574</v>
      </c>
      <c r="H812" s="270">
        <f>ROUND(CC65,0)</f>
        <v>12652</v>
      </c>
      <c r="I812" s="270">
        <f>ROUND(CC66,0)</f>
        <v>60090232</v>
      </c>
      <c r="J812" s="270">
        <f>ROUND(CC67,0)</f>
        <v>91683</v>
      </c>
      <c r="K812" s="270">
        <f>ROUND(CC68,0)</f>
        <v>605646</v>
      </c>
      <c r="L812" s="270">
        <f>ROUND(CC69,0)</f>
        <v>373</v>
      </c>
      <c r="M812" s="270">
        <f>ROUND(CC70,0)</f>
        <v>74975</v>
      </c>
      <c r="N812" s="270"/>
      <c r="O812" s="270"/>
      <c r="P812" s="270">
        <f>IF(CC76&gt;0,ROUND(CC76,0),0)</f>
        <v>0</v>
      </c>
      <c r="Q812" s="270">
        <f>IF(CC77&gt;0,ROUND(CC77,0),0)</f>
        <v>0</v>
      </c>
      <c r="R812" s="270">
        <f>IF(CC78&gt;0,ROUND(CC78,0),0)</f>
        <v>0</v>
      </c>
      <c r="S812" s="270">
        <f>IF(CC79&gt;0,ROUND(CC79,0),0)</f>
        <v>0</v>
      </c>
      <c r="T812" s="272">
        <f>IF(CC80&gt;0,ROUND(CC80,2),0)</f>
        <v>0</v>
      </c>
      <c r="U812" s="270"/>
      <c r="V812" s="271"/>
      <c r="W812" s="270"/>
      <c r="X812" s="270"/>
      <c r="Y812" s="270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  <c r="CA812" s="271"/>
      <c r="CB812" s="271"/>
      <c r="CC812" s="271"/>
      <c r="CD812" s="271"/>
      <c r="CE812" s="271"/>
    </row>
    <row r="813" spans="1:83" ht="12.6" customHeight="1" x14ac:dyDescent="0.2">
      <c r="A813" s="207" t="str">
        <f>RIGHT($C$83,3)&amp;"*"&amp;RIGHT($C$82,4)&amp;"*"&amp;"9000"&amp;"*"&amp;"A"</f>
        <v>142*2020*9000*A</v>
      </c>
      <c r="B813" s="270"/>
      <c r="C813" s="273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3"/>
      <c r="U813" s="270">
        <f>ROUND(CD69,0)</f>
        <v>9920626</v>
      </c>
      <c r="V813" s="271">
        <f>ROUND(CD70,0)</f>
        <v>11946085</v>
      </c>
      <c r="W813" s="270">
        <f>ROUND(CE72,0)</f>
        <v>0</v>
      </c>
      <c r="X813" s="270">
        <f>ROUND(C131,0)</f>
        <v>0</v>
      </c>
      <c r="Y813" s="270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  <c r="CA813" s="271"/>
      <c r="CB813" s="271"/>
      <c r="CC813" s="271"/>
      <c r="CD813" s="271"/>
      <c r="CE813" s="271"/>
    </row>
    <row r="814" spans="1:83" ht="12.6" customHeight="1" x14ac:dyDescent="0.2">
      <c r="B814" s="271"/>
      <c r="C814" s="271"/>
      <c r="D814" s="271"/>
      <c r="E814" s="271"/>
      <c r="F814" s="271"/>
      <c r="G814" s="271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  <c r="CA814" s="271"/>
      <c r="CB814" s="271"/>
      <c r="CC814" s="271"/>
      <c r="CD814" s="271"/>
      <c r="CE814" s="271"/>
    </row>
    <row r="815" spans="1:83" ht="12.6" customHeight="1" x14ac:dyDescent="0.2">
      <c r="B815" s="274" t="s">
        <v>1004</v>
      </c>
      <c r="C815" s="275">
        <f t="shared" ref="C815:K815" si="22">SUM(C734:C813)</f>
        <v>2060.7899999999995</v>
      </c>
      <c r="D815" s="271">
        <f t="shared" si="22"/>
        <v>208185541</v>
      </c>
      <c r="E815" s="271">
        <f t="shared" si="22"/>
        <v>47694271</v>
      </c>
      <c r="F815" s="271">
        <f t="shared" si="22"/>
        <v>46408850</v>
      </c>
      <c r="G815" s="271">
        <f t="shared" si="22"/>
        <v>108551313</v>
      </c>
      <c r="H815" s="271">
        <f t="shared" si="22"/>
        <v>4387847</v>
      </c>
      <c r="I815" s="271">
        <f t="shared" si="22"/>
        <v>159355619</v>
      </c>
      <c r="J815" s="271">
        <f t="shared" si="22"/>
        <v>38189878</v>
      </c>
      <c r="K815" s="271">
        <f t="shared" si="22"/>
        <v>15174691</v>
      </c>
      <c r="L815" s="271">
        <f>SUM(L734:L813)+SUM(U734:U813)</f>
        <v>15044268</v>
      </c>
      <c r="M815" s="271">
        <f>SUM(M734:M813)+SUM(V734:V813)</f>
        <v>20878428</v>
      </c>
      <c r="N815" s="271">
        <f t="shared" ref="N815:Y815" si="23">SUM(N734:N813)</f>
        <v>2804562274</v>
      </c>
      <c r="O815" s="271">
        <f t="shared" si="23"/>
        <v>1102193581</v>
      </c>
      <c r="P815" s="271">
        <f t="shared" si="23"/>
        <v>577281</v>
      </c>
      <c r="Q815" s="271">
        <f t="shared" si="23"/>
        <v>200502</v>
      </c>
      <c r="R815" s="271">
        <f t="shared" si="23"/>
        <v>115815</v>
      </c>
      <c r="S815" s="271">
        <f t="shared" si="23"/>
        <v>1729339</v>
      </c>
      <c r="T815" s="275">
        <f t="shared" si="23"/>
        <v>534.84999999999991</v>
      </c>
      <c r="U815" s="271">
        <f t="shared" si="23"/>
        <v>9920626</v>
      </c>
      <c r="V815" s="271">
        <f t="shared" si="23"/>
        <v>11946085</v>
      </c>
      <c r="W815" s="271">
        <f t="shared" si="23"/>
        <v>0</v>
      </c>
      <c r="X815" s="271">
        <f t="shared" si="23"/>
        <v>0</v>
      </c>
      <c r="Y815" s="271">
        <f t="shared" si="23"/>
        <v>140581042</v>
      </c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  <c r="CA815" s="271"/>
      <c r="CB815" s="271"/>
      <c r="CC815" s="271"/>
      <c r="CD815" s="271"/>
      <c r="CE815" s="271"/>
    </row>
    <row r="816" spans="1:83" ht="12.6" customHeight="1" x14ac:dyDescent="0.2">
      <c r="B816" s="271" t="s">
        <v>1005</v>
      </c>
      <c r="C816" s="275">
        <f>CE60</f>
        <v>2060.7667573716481</v>
      </c>
      <c r="D816" s="271">
        <f>CE61</f>
        <v>208185541.71999997</v>
      </c>
      <c r="E816" s="271">
        <f>CE62</f>
        <v>47694271</v>
      </c>
      <c r="F816" s="271">
        <f>CE63</f>
        <v>46408849.639999993</v>
      </c>
      <c r="G816" s="271">
        <f>CE64</f>
        <v>108551313.39000002</v>
      </c>
      <c r="H816" s="274">
        <f>CE65</f>
        <v>4387848.1300000008</v>
      </c>
      <c r="I816" s="274">
        <f>CE66</f>
        <v>159355617.95197171</v>
      </c>
      <c r="J816" s="274">
        <f>CE67</f>
        <v>38189878</v>
      </c>
      <c r="K816" s="274">
        <f>CE68</f>
        <v>15174691.560000004</v>
      </c>
      <c r="L816" s="274">
        <f>CE69</f>
        <v>15044267.289999999</v>
      </c>
      <c r="M816" s="274">
        <f>CE70</f>
        <v>20878427.560000002</v>
      </c>
      <c r="N816" s="271">
        <f>CE75</f>
        <v>2804562273.3299999</v>
      </c>
      <c r="O816" s="271">
        <f>CE73</f>
        <v>1102193583.29</v>
      </c>
      <c r="P816" s="271">
        <f>CE76</f>
        <v>577281</v>
      </c>
      <c r="Q816" s="271">
        <f>CE77</f>
        <v>200502</v>
      </c>
      <c r="R816" s="271">
        <f>CE78</f>
        <v>115817.07925410918</v>
      </c>
      <c r="S816" s="271">
        <f>CE79</f>
        <v>1729339</v>
      </c>
      <c r="T816" s="275">
        <f>CE80</f>
        <v>534.85862868405536</v>
      </c>
      <c r="U816" s="271" t="s">
        <v>1006</v>
      </c>
      <c r="V816" s="271" t="s">
        <v>1006</v>
      </c>
      <c r="W816" s="271" t="s">
        <v>1006</v>
      </c>
      <c r="X816" s="271" t="s">
        <v>1006</v>
      </c>
      <c r="Y816" s="271">
        <f>M716</f>
        <v>140581044.06647781</v>
      </c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  <c r="CA816" s="271"/>
      <c r="CB816" s="271"/>
      <c r="CC816" s="271"/>
      <c r="CD816" s="271"/>
      <c r="CE816" s="271"/>
    </row>
    <row r="817" spans="2:15" ht="12.6" customHeight="1" x14ac:dyDescent="0.2">
      <c r="B817" s="180" t="s">
        <v>471</v>
      </c>
      <c r="C817" s="197" t="s">
        <v>1007</v>
      </c>
      <c r="D817" s="180">
        <f>C378</f>
        <v>208185541.72</v>
      </c>
      <c r="E817" s="180">
        <f>C379</f>
        <v>47694269.979999997</v>
      </c>
      <c r="F817" s="180">
        <f>C380</f>
        <v>46408849.640000001</v>
      </c>
      <c r="G817" s="235">
        <f>C381</f>
        <v>108551313.59</v>
      </c>
      <c r="H817" s="235">
        <f>C382</f>
        <v>4387848.13</v>
      </c>
      <c r="I817" s="235">
        <f>C383</f>
        <v>159355617.94</v>
      </c>
      <c r="J817" s="235">
        <f>C384</f>
        <v>38189877.520000003</v>
      </c>
      <c r="K817" s="235">
        <f>C385</f>
        <v>15174691.560000001</v>
      </c>
      <c r="L817" s="235">
        <f>C386+C387+C388+C389</f>
        <v>15044267.289999999</v>
      </c>
      <c r="M817" s="235">
        <f>C370</f>
        <v>20878427.560000002</v>
      </c>
      <c r="N817" s="180">
        <f>D361</f>
        <v>2804562273.5799999</v>
      </c>
      <c r="O817" s="180">
        <f>C359</f>
        <v>1102193583.29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47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St Michael Medical Center</v>
      </c>
      <c r="B2" s="30"/>
      <c r="C2" s="30"/>
      <c r="D2" s="31" t="str">
        <f>"FYE: "&amp;data!C82</f>
        <v>FYE: 06/30/2020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7170734.9900000002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1227684165.0700002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352878760.64999998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502986823.43000007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2083549749.1500003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16200</v>
      </c>
      <c r="M16" s="264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11326985.140000001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15043451.08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26370436.219999999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69">
        <v>20</v>
      </c>
      <c r="B24" s="55">
        <v>5970</v>
      </c>
      <c r="C24" s="14" t="s">
        <v>357</v>
      </c>
      <c r="D24" s="14">
        <f>data!C238</f>
        <v>13003087.74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2130094008.1000004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St Michael Medical Center</v>
      </c>
      <c r="B3" s="30"/>
      <c r="C3" s="31" t="str">
        <f>" FYE: "&amp;data!C82</f>
        <v xml:space="preserve"> FYE: 06/30/2020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146201593.63999999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329928557.38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244513652.12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4647346.71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11754774.41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1297250.92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4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249315870.93999997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6695719.1299999999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2153149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99727204.209999993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8216408.2400000002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4782848.42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151699377.32999998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34004094.310000002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430760581.65000004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738039382.28999996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222858270.63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515181111.65999997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335325356.72000003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71032064.219999999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406357420.94000006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8182912.3900000006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22389787.750000004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30572700.140000004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1201427103.6800001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St Michael Medical Center</v>
      </c>
      <c r="B55" s="30"/>
      <c r="C55" s="31" t="str">
        <f>"FYE: "&amp;data!C82</f>
        <v>FYE: 06/30/2020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10577898.76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25137963.18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80109198.909999996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83914213.459999993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5599805.8300000001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205339080.14000002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491909.1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396011.19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78878941.689999998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83730501.879999995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163497363.86000001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5599805.8300000001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157897558.03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838190465.5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838190465.5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1201427103.6700001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St Michael Medical Center</v>
      </c>
      <c r="B107" s="30"/>
      <c r="C107" s="31" t="str">
        <f>" FYE: "&amp;data!C82</f>
        <v xml:space="preserve"> FYE: 06/30/2020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1102193583.29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1702368690.2900002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2804562273.5799999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68" t="s">
        <v>450</v>
      </c>
      <c r="C115" s="48">
        <f>data!C363</f>
        <v>7170734.9900000002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2083549749.1499999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26370436.219999999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13003087.74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2130094008.0999999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674468265.48000002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20878427.560000002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20878427.560000002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695346693.03999996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208185541.72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47694269.979999997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46408849.640000001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108551313.59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4387848.13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159355617.94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38189877.520000003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15174691.560000001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5495378.6200000001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15141138.35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-10715890.84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5123641.16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642992277.36999989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52354415.670000076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14238374.23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66592789.90000008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66592789.90000008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St Michael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5067</v>
      </c>
      <c r="D9" s="14">
        <f>data!D59</f>
        <v>0</v>
      </c>
      <c r="E9" s="14">
        <f>data!E59</f>
        <v>56881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52.859554597701141</v>
      </c>
      <c r="D10" s="26">
        <f>data!D60</f>
        <v>0</v>
      </c>
      <c r="E10" s="26">
        <f>data!E60</f>
        <v>391.56507183908042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6370289.6100000003</v>
      </c>
      <c r="D11" s="14">
        <f>data!D61</f>
        <v>0</v>
      </c>
      <c r="E11" s="14">
        <f>data!E61</f>
        <v>37260445.050000012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1357591</v>
      </c>
      <c r="D12" s="14">
        <f>data!D62</f>
        <v>0</v>
      </c>
      <c r="E12" s="14">
        <f>data!E62</f>
        <v>9064291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1481688.5</v>
      </c>
      <c r="D13" s="14">
        <f>data!D63</f>
        <v>0</v>
      </c>
      <c r="E13" s="14">
        <f>data!E63</f>
        <v>5322231.3499999996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740809.02</v>
      </c>
      <c r="D14" s="14">
        <f>data!D64</f>
        <v>0</v>
      </c>
      <c r="E14" s="14">
        <f>data!E64</f>
        <v>2069958.3199999998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1148.8400000000001</v>
      </c>
      <c r="D15" s="14">
        <f>data!D65</f>
        <v>0</v>
      </c>
      <c r="E15" s="14">
        <f>data!E65</f>
        <v>16843.359999999997</v>
      </c>
      <c r="F15" s="14">
        <f>data!F65</f>
        <v>0</v>
      </c>
      <c r="G15" s="14">
        <f>data!G65</f>
        <v>0</v>
      </c>
      <c r="H15" s="14">
        <f>data!H65</f>
        <v>316.27</v>
      </c>
      <c r="I15" s="14">
        <f>data!I65</f>
        <v>0</v>
      </c>
      <c r="M15" s="263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91372.160000000003</v>
      </c>
      <c r="D16" s="14">
        <f>data!D66</f>
        <v>0</v>
      </c>
      <c r="E16" s="14">
        <f>data!E66</f>
        <v>578023.65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528453</v>
      </c>
      <c r="D17" s="14">
        <f>data!D67</f>
        <v>0</v>
      </c>
      <c r="E17" s="14">
        <f>data!E67</f>
        <v>4055916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20202.900000000001</v>
      </c>
      <c r="D18" s="14">
        <f>data!D68</f>
        <v>0</v>
      </c>
      <c r="E18" s="14">
        <f>data!E68</f>
        <v>42810.039999999994</v>
      </c>
      <c r="F18" s="14">
        <f>data!F68</f>
        <v>0</v>
      </c>
      <c r="G18" s="14">
        <f>data!G68</f>
        <v>0</v>
      </c>
      <c r="H18" s="14">
        <f>data!H68</f>
        <v>398.81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1903.5</v>
      </c>
      <c r="D19" s="14">
        <f>data!D69</f>
        <v>0</v>
      </c>
      <c r="E19" s="14">
        <f>data!E69</f>
        <v>145922.38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10593458.529999999</v>
      </c>
      <c r="D21" s="14">
        <f>data!D71</f>
        <v>0</v>
      </c>
      <c r="E21" s="14">
        <f>data!E71</f>
        <v>58556441.150000013</v>
      </c>
      <c r="F21" s="14">
        <f>data!F71</f>
        <v>0</v>
      </c>
      <c r="G21" s="14">
        <f>data!G71</f>
        <v>0</v>
      </c>
      <c r="H21" s="14">
        <f>data!H71</f>
        <v>715.07999999999993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08"/>
      <c r="D22" s="209"/>
      <c r="E22" s="209"/>
      <c r="F22" s="209"/>
      <c r="G22" s="209"/>
      <c r="H22" s="209"/>
      <c r="I22" s="209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3500691</v>
      </c>
      <c r="D23" s="48">
        <f>+data!M669</f>
        <v>0</v>
      </c>
      <c r="E23" s="48">
        <f>+data!M670</f>
        <v>28128245</v>
      </c>
      <c r="F23" s="48">
        <f>+data!M671</f>
        <v>0</v>
      </c>
      <c r="G23" s="48">
        <f>+data!M672</f>
        <v>0</v>
      </c>
      <c r="H23" s="48">
        <f>+data!M673</f>
        <v>98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39803770.270000003</v>
      </c>
      <c r="D24" s="14">
        <f>data!D73</f>
        <v>0</v>
      </c>
      <c r="E24" s="14">
        <f>data!E73</f>
        <v>221202881.27999991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180852.16</v>
      </c>
      <c r="D25" s="14">
        <f>data!D74</f>
        <v>0</v>
      </c>
      <c r="E25" s="14">
        <f>data!E74</f>
        <v>23071082.07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39984622.43</v>
      </c>
      <c r="D26" s="14">
        <f>data!D75</f>
        <v>0</v>
      </c>
      <c r="E26" s="14">
        <f>data!E75</f>
        <v>244273963.3499999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09"/>
      <c r="D27" s="209"/>
      <c r="E27" s="209"/>
      <c r="F27" s="209"/>
      <c r="G27" s="209"/>
      <c r="H27" s="209"/>
      <c r="I27" s="209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8800</v>
      </c>
      <c r="D28" s="14">
        <f>data!D76</f>
        <v>0</v>
      </c>
      <c r="E28" s="14">
        <f>data!E76</f>
        <v>90290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6172</v>
      </c>
      <c r="D29" s="14">
        <f>data!D77</f>
        <v>0</v>
      </c>
      <c r="E29" s="14">
        <f>data!E77</f>
        <v>172250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2532.0644949715784</v>
      </c>
      <c r="D30" s="14">
        <f>data!D78</f>
        <v>0</v>
      </c>
      <c r="E30" s="14">
        <f>data!E78</f>
        <v>25979.557187611797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61803</v>
      </c>
      <c r="D31" s="14">
        <f>data!D79</f>
        <v>0</v>
      </c>
      <c r="E31" s="14">
        <f>data!E79</f>
        <v>639100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36.788572796934865</v>
      </c>
      <c r="D32" s="84">
        <f>data!D80</f>
        <v>0</v>
      </c>
      <c r="E32" s="84">
        <f>data!E80</f>
        <v>220.00319444444443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St Michael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2689</v>
      </c>
      <c r="I41" s="14">
        <f>data!P59</f>
        <v>908840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68.567677203065131</v>
      </c>
      <c r="I42" s="26">
        <f>data!P60</f>
        <v>81.319003831417632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7199109.29</v>
      </c>
      <c r="I43" s="14">
        <f>data!P61</f>
        <v>9198352.6599999983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1735073</v>
      </c>
      <c r="I44" s="14">
        <f>data!P62</f>
        <v>1935985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1602459.6700000002</v>
      </c>
      <c r="I45" s="14">
        <f>data!P63</f>
        <v>3286425.86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729974.62999999989</v>
      </c>
      <c r="I46" s="14">
        <f>data!P64</f>
        <v>21878939.760000002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7770.8</v>
      </c>
      <c r="I47" s="14">
        <f>data!P65</f>
        <v>5218.6500000000005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1206914.98</v>
      </c>
      <c r="I48" s="14">
        <f>data!P66</f>
        <v>2291437.27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914229</v>
      </c>
      <c r="I49" s="14">
        <f>data!P67</f>
        <v>5902971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11176.75</v>
      </c>
      <c r="I50" s="14">
        <f>data!P68</f>
        <v>1249480.82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32278.51</v>
      </c>
      <c r="I51" s="14">
        <f>data!P69</f>
        <v>108136.71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-1318.22</v>
      </c>
      <c r="I52" s="14">
        <f>-data!P70</f>
        <v>-9058.5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13437668.41</v>
      </c>
      <c r="I53" s="14">
        <f>data!P71</f>
        <v>45847889.230000004</v>
      </c>
    </row>
    <row r="54" spans="1:9" ht="20.100000000000001" customHeight="1" x14ac:dyDescent="0.2">
      <c r="A54" s="23">
        <v>17</v>
      </c>
      <c r="B54" s="14" t="s">
        <v>244</v>
      </c>
      <c r="C54" s="209"/>
      <c r="D54" s="209"/>
      <c r="E54" s="209"/>
      <c r="F54" s="209"/>
      <c r="G54" s="209"/>
      <c r="H54" s="209"/>
      <c r="I54" s="209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4955730</v>
      </c>
      <c r="I55" s="48">
        <f>+data!M681</f>
        <v>15334693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58976022.239999995</v>
      </c>
      <c r="I56" s="14">
        <f>data!P73</f>
        <v>211206944.19999999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3552385.26</v>
      </c>
      <c r="I57" s="14">
        <f>data!P74</f>
        <v>210767062.53000003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62528407.499999993</v>
      </c>
      <c r="I58" s="14">
        <f>data!P75</f>
        <v>421974006.73000002</v>
      </c>
    </row>
    <row r="59" spans="1:9" ht="20.100000000000001" customHeight="1" x14ac:dyDescent="0.2">
      <c r="A59" s="23" t="s">
        <v>1185</v>
      </c>
      <c r="B59" s="60"/>
      <c r="C59" s="209"/>
      <c r="D59" s="209"/>
      <c r="E59" s="209"/>
      <c r="F59" s="209"/>
      <c r="G59" s="209"/>
      <c r="H59" s="209"/>
      <c r="I59" s="209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16041</v>
      </c>
      <c r="I60" s="14">
        <f>data!P76</f>
        <v>58788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10268</v>
      </c>
      <c r="I61" s="14">
        <f>data!P77</f>
        <v>5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4616</v>
      </c>
      <c r="I62" s="14">
        <f>data!P78</f>
        <v>16915.341764816945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56644</v>
      </c>
      <c r="I63" s="14">
        <f>data!P79</f>
        <v>319469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48.905287356321843</v>
      </c>
      <c r="I64" s="26">
        <f>data!P80</f>
        <v>27.713711685823757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St Michael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0"/>
      <c r="F72" s="210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30625</v>
      </c>
      <c r="D73" s="48">
        <f>data!R59</f>
        <v>500310</v>
      </c>
      <c r="E73" s="210"/>
      <c r="F73" s="210"/>
      <c r="G73" s="14">
        <f>data!U59</f>
        <v>1068434</v>
      </c>
      <c r="H73" s="14">
        <f>data!V59</f>
        <v>6698</v>
      </c>
      <c r="I73" s="14">
        <f>data!W59</f>
        <v>2893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44.674501915708809</v>
      </c>
      <c r="D74" s="26">
        <f>data!R60</f>
        <v>3.2688026819923373</v>
      </c>
      <c r="E74" s="26">
        <f>data!S60</f>
        <v>23.646384099616856</v>
      </c>
      <c r="F74" s="26">
        <f>data!T60</f>
        <v>0</v>
      </c>
      <c r="G74" s="26">
        <f>data!U60</f>
        <v>58.76726053639846</v>
      </c>
      <c r="H74" s="26">
        <f>data!V60</f>
        <v>4.306149425287356</v>
      </c>
      <c r="I74" s="26">
        <f>data!W60</f>
        <v>3.3901724137931035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4949765.4400000004</v>
      </c>
      <c r="D75" s="14">
        <f>data!R61</f>
        <v>320500.61</v>
      </c>
      <c r="E75" s="14">
        <f>data!S61</f>
        <v>1168197.76</v>
      </c>
      <c r="F75" s="14">
        <f>data!T61</f>
        <v>0</v>
      </c>
      <c r="G75" s="14">
        <f>data!U61</f>
        <v>4556409.370000001</v>
      </c>
      <c r="H75" s="14">
        <f>data!V61</f>
        <v>447808.89</v>
      </c>
      <c r="I75" s="14">
        <f>data!W61</f>
        <v>599331.78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1166101</v>
      </c>
      <c r="D76" s="14">
        <f>data!R62</f>
        <v>71175</v>
      </c>
      <c r="E76" s="14">
        <f>data!S62</f>
        <v>451179</v>
      </c>
      <c r="F76" s="14">
        <f>data!T62</f>
        <v>0</v>
      </c>
      <c r="G76" s="14">
        <f>data!U62</f>
        <v>1254350</v>
      </c>
      <c r="H76" s="14">
        <f>data!V62</f>
        <v>111002</v>
      </c>
      <c r="I76" s="14">
        <f>data!W62</f>
        <v>92172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376619.52000000002</v>
      </c>
      <c r="E77" s="14">
        <f>data!S63</f>
        <v>0</v>
      </c>
      <c r="F77" s="14">
        <f>data!T63</f>
        <v>0</v>
      </c>
      <c r="G77" s="14">
        <f>data!U63</f>
        <v>56853.950000000004</v>
      </c>
      <c r="H77" s="14">
        <f>data!V63</f>
        <v>62884.19999999999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457950.76000000007</v>
      </c>
      <c r="D78" s="14">
        <f>data!R64</f>
        <v>346257.83</v>
      </c>
      <c r="E78" s="14">
        <f>data!S64</f>
        <v>-254561.17999999947</v>
      </c>
      <c r="F78" s="14">
        <f>data!T64</f>
        <v>0</v>
      </c>
      <c r="G78" s="14">
        <f>data!U64</f>
        <v>4417202.1399999997</v>
      </c>
      <c r="H78" s="14">
        <f>data!V64</f>
        <v>201895.51</v>
      </c>
      <c r="I78" s="14">
        <f>data!W64</f>
        <v>71461.05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2297.2000000000003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282.09999999999997</v>
      </c>
      <c r="H79" s="14">
        <f>data!V65</f>
        <v>14.609999999999998</v>
      </c>
      <c r="I79" s="14">
        <f>data!W65</f>
        <v>738.34999999999991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21984.98</v>
      </c>
      <c r="D80" s="14">
        <f>data!R66</f>
        <v>377316.61</v>
      </c>
      <c r="E80" s="14">
        <f>data!S66</f>
        <v>139095.57432500002</v>
      </c>
      <c r="F80" s="14">
        <f>data!T66</f>
        <v>0</v>
      </c>
      <c r="G80" s="14">
        <f>data!U66</f>
        <v>4434904.78</v>
      </c>
      <c r="H80" s="14">
        <f>data!V66</f>
        <v>198714.27</v>
      </c>
      <c r="I80" s="14">
        <f>data!W66</f>
        <v>58929.790000000008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373406</v>
      </c>
      <c r="D81" s="14">
        <f>data!R67</f>
        <v>4894</v>
      </c>
      <c r="E81" s="14">
        <f>data!S67</f>
        <v>460460</v>
      </c>
      <c r="F81" s="14">
        <f>data!T67</f>
        <v>0</v>
      </c>
      <c r="G81" s="14">
        <f>data!U67</f>
        <v>637312</v>
      </c>
      <c r="H81" s="14">
        <f>data!V67</f>
        <v>164379</v>
      </c>
      <c r="I81" s="14">
        <f>data!W67</f>
        <v>99915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2706.04</v>
      </c>
      <c r="D82" s="14">
        <f>data!R68</f>
        <v>2688.7999999999997</v>
      </c>
      <c r="E82" s="14">
        <f>data!S68</f>
        <v>93710.36</v>
      </c>
      <c r="F82" s="14">
        <f>data!T68</f>
        <v>0</v>
      </c>
      <c r="G82" s="14">
        <f>data!U68</f>
        <v>72417.239999999991</v>
      </c>
      <c r="H82" s="14">
        <f>data!V68</f>
        <v>0</v>
      </c>
      <c r="I82" s="14">
        <f>data!W68</f>
        <v>1791.5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11484.279999999999</v>
      </c>
      <c r="D83" s="14">
        <f>data!R69</f>
        <v>595</v>
      </c>
      <c r="E83" s="14">
        <f>data!S69</f>
        <v>22972.11</v>
      </c>
      <c r="F83" s="14">
        <f>data!T69</f>
        <v>0</v>
      </c>
      <c r="G83" s="14">
        <f>data!U69</f>
        <v>120689.70999999999</v>
      </c>
      <c r="H83" s="14">
        <f>data!V69</f>
        <v>0</v>
      </c>
      <c r="I83" s="14">
        <f>data!W69</f>
        <v>659.23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-227251.84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6985695.7000000011</v>
      </c>
      <c r="D85" s="14">
        <f>data!R71</f>
        <v>1500047.3699999999</v>
      </c>
      <c r="E85" s="14">
        <f>data!S71</f>
        <v>2081053.6243250007</v>
      </c>
      <c r="F85" s="14">
        <f>data!T71</f>
        <v>0</v>
      </c>
      <c r="G85" s="14">
        <f>data!U71</f>
        <v>15323169.450000001</v>
      </c>
      <c r="H85" s="14">
        <f>data!V71</f>
        <v>1186698.48</v>
      </c>
      <c r="I85" s="14">
        <f>data!W71</f>
        <v>924998.70000000007</v>
      </c>
    </row>
    <row r="86" spans="1:9" ht="20.100000000000001" customHeight="1" x14ac:dyDescent="0.2">
      <c r="A86" s="23">
        <v>17</v>
      </c>
      <c r="B86" s="14" t="s">
        <v>244</v>
      </c>
      <c r="C86" s="209"/>
      <c r="D86" s="209"/>
      <c r="E86" s="209"/>
      <c r="F86" s="209"/>
      <c r="G86" s="209"/>
      <c r="H86" s="209"/>
      <c r="I86" s="209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2666695</v>
      </c>
      <c r="D87" s="48">
        <f>+data!M683</f>
        <v>492434</v>
      </c>
      <c r="E87" s="48">
        <f>+data!M684</f>
        <v>721966</v>
      </c>
      <c r="F87" s="48">
        <f>+data!M685</f>
        <v>0</v>
      </c>
      <c r="G87" s="48">
        <f>+data!M686</f>
        <v>4082699</v>
      </c>
      <c r="H87" s="48">
        <f>+data!M687</f>
        <v>531502</v>
      </c>
      <c r="I87" s="48">
        <f>+data!M688</f>
        <v>455620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15260116.159999998</v>
      </c>
      <c r="D88" s="14">
        <f>data!R73</f>
        <v>7092955.6000000006</v>
      </c>
      <c r="E88" s="14">
        <f>data!S73</f>
        <v>0</v>
      </c>
      <c r="F88" s="14">
        <f>data!T73</f>
        <v>0</v>
      </c>
      <c r="G88" s="14">
        <f>data!U73</f>
        <v>68906934.230000004</v>
      </c>
      <c r="H88" s="14">
        <f>data!V73</f>
        <v>23204151.43</v>
      </c>
      <c r="I88" s="14">
        <f>data!W73</f>
        <v>7016612.0300000012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36829100.350000001</v>
      </c>
      <c r="D89" s="14">
        <f>data!R74</f>
        <v>13695580.390000001</v>
      </c>
      <c r="E89" s="14">
        <f>data!S74</f>
        <v>0</v>
      </c>
      <c r="F89" s="14">
        <f>data!T74</f>
        <v>0</v>
      </c>
      <c r="G89" s="14">
        <f>data!U74</f>
        <v>38613515.379999995</v>
      </c>
      <c r="H89" s="14">
        <f>data!V74</f>
        <v>13102001.069999998</v>
      </c>
      <c r="I89" s="14">
        <f>data!W74</f>
        <v>14154411.440000001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52089216.509999998</v>
      </c>
      <c r="D90" s="14">
        <f>data!R75</f>
        <v>20788535.990000002</v>
      </c>
      <c r="E90" s="14">
        <f>data!S75</f>
        <v>0</v>
      </c>
      <c r="F90" s="14">
        <f>data!T75</f>
        <v>0</v>
      </c>
      <c r="G90" s="14">
        <f>data!U75</f>
        <v>107520449.61</v>
      </c>
      <c r="H90" s="14">
        <f>data!V75</f>
        <v>36306152.5</v>
      </c>
      <c r="I90" s="14">
        <f>data!W75</f>
        <v>21171023.470000003</v>
      </c>
    </row>
    <row r="91" spans="1:9" ht="20.100000000000001" customHeight="1" x14ac:dyDescent="0.2">
      <c r="A91" s="23" t="s">
        <v>1185</v>
      </c>
      <c r="B91" s="60"/>
      <c r="C91" s="209"/>
      <c r="D91" s="209"/>
      <c r="E91" s="209"/>
      <c r="F91" s="209"/>
      <c r="G91" s="209"/>
      <c r="H91" s="209"/>
      <c r="I91" s="209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8627</v>
      </c>
      <c r="D92" s="14">
        <f>data!R76</f>
        <v>116</v>
      </c>
      <c r="E92" s="14">
        <f>data!S76</f>
        <v>8419</v>
      </c>
      <c r="F92" s="14">
        <f>data!T76</f>
        <v>0</v>
      </c>
      <c r="G92" s="14">
        <f>data!U76</f>
        <v>13374</v>
      </c>
      <c r="H92" s="14">
        <f>data!V76</f>
        <v>0</v>
      </c>
      <c r="I92" s="14">
        <f>data!W76</f>
        <v>2192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2482.2864088772508</v>
      </c>
      <c r="D94" s="14">
        <f>data!R78</f>
        <v>33.377213797352617</v>
      </c>
      <c r="E94" s="14">
        <f>data!S78</f>
        <v>2422.4376117233769</v>
      </c>
      <c r="F94" s="14">
        <f>data!T78</f>
        <v>0</v>
      </c>
      <c r="G94" s="14">
        <f>data!U78</f>
        <v>3848.1625631533966</v>
      </c>
      <c r="H94" s="14">
        <f>data!V78</f>
        <v>0</v>
      </c>
      <c r="I94" s="14">
        <f>data!W78</f>
        <v>630.71424692928406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30.36102011494253</v>
      </c>
      <c r="D96" s="84">
        <f>data!R80</f>
        <v>2.5108572796934867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St Michael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0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130982</v>
      </c>
      <c r="E105" s="14">
        <f>data!Z59</f>
        <v>15185</v>
      </c>
      <c r="F105" s="14">
        <f>data!AA59</f>
        <v>2947</v>
      </c>
      <c r="G105" s="210"/>
      <c r="H105" s="14">
        <f>data!AC59</f>
        <v>92514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0</v>
      </c>
      <c r="D106" s="26">
        <f>data!Y60</f>
        <v>143.12750957854405</v>
      </c>
      <c r="E106" s="26">
        <f>data!Z60</f>
        <v>20.010407088122605</v>
      </c>
      <c r="F106" s="26">
        <f>data!AA60</f>
        <v>3.2354741379310346</v>
      </c>
      <c r="G106" s="26">
        <f>data!AB60</f>
        <v>45.317083333333329</v>
      </c>
      <c r="H106" s="26">
        <f>data!AC60</f>
        <v>48.91247605363985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0</v>
      </c>
      <c r="D107" s="14">
        <f>data!Y61</f>
        <v>13328433.779999994</v>
      </c>
      <c r="E107" s="14">
        <f>data!Z61</f>
        <v>1968095.04</v>
      </c>
      <c r="F107" s="14">
        <f>data!AA61</f>
        <v>360518.72</v>
      </c>
      <c r="G107" s="14">
        <f>data!AB61</f>
        <v>4968473.5</v>
      </c>
      <c r="H107" s="14">
        <f>data!AC61</f>
        <v>4147694.8199999994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0</v>
      </c>
      <c r="D108" s="14">
        <f>data!Y62</f>
        <v>3420904</v>
      </c>
      <c r="E108" s="14">
        <f>data!Z62</f>
        <v>508298</v>
      </c>
      <c r="F108" s="14">
        <f>data!AA62</f>
        <v>86748</v>
      </c>
      <c r="G108" s="14">
        <f>data!AB62</f>
        <v>1191534</v>
      </c>
      <c r="H108" s="14">
        <f>data!AC62</f>
        <v>1148778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1241882.98</v>
      </c>
      <c r="E109" s="14">
        <f>data!Z63</f>
        <v>146013.26</v>
      </c>
      <c r="F109" s="14">
        <f>data!AA63</f>
        <v>0</v>
      </c>
      <c r="G109" s="14">
        <f>data!AB63</f>
        <v>0</v>
      </c>
      <c r="H109" s="14">
        <f>data!AC63</f>
        <v>39487.5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0</v>
      </c>
      <c r="D110" s="14">
        <f>data!Y64</f>
        <v>16003606.710000001</v>
      </c>
      <c r="E110" s="14">
        <f>data!Z64</f>
        <v>57206.34</v>
      </c>
      <c r="F110" s="14">
        <f>data!AA64</f>
        <v>491580.69999999995</v>
      </c>
      <c r="G110" s="14">
        <f>data!AB64</f>
        <v>13435710.710000001</v>
      </c>
      <c r="H110" s="14">
        <f>data!AC64</f>
        <v>604957.19000000018</v>
      </c>
      <c r="I110" s="14">
        <f>data!AD64</f>
        <v>17448.019999999997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285957.25000000006</v>
      </c>
      <c r="E111" s="14">
        <f>data!Z65</f>
        <v>38.15</v>
      </c>
      <c r="F111" s="14">
        <f>data!AA65</f>
        <v>0</v>
      </c>
      <c r="G111" s="14">
        <f>data!AB65</f>
        <v>1131.79</v>
      </c>
      <c r="H111" s="14">
        <f>data!AC65</f>
        <v>4743.9700000000012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0</v>
      </c>
      <c r="D112" s="14">
        <f>data!Y66</f>
        <v>3914129.8699999982</v>
      </c>
      <c r="E112" s="14">
        <f>data!Z66</f>
        <v>1612777.7299999997</v>
      </c>
      <c r="F112" s="14">
        <f>data!AA66</f>
        <v>75312.489999999991</v>
      </c>
      <c r="G112" s="14">
        <f>data!AB66</f>
        <v>548590.28999999992</v>
      </c>
      <c r="H112" s="14">
        <f>data!AC66</f>
        <v>124249.65</v>
      </c>
      <c r="I112" s="14">
        <f>data!AD66</f>
        <v>1058412.8700000001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0</v>
      </c>
      <c r="D113" s="14">
        <f>data!Y67</f>
        <v>2723682</v>
      </c>
      <c r="E113" s="14">
        <f>data!Z67</f>
        <v>635660</v>
      </c>
      <c r="F113" s="14">
        <f>data!AA67</f>
        <v>134761</v>
      </c>
      <c r="G113" s="14">
        <f>data!AB67</f>
        <v>527847</v>
      </c>
      <c r="H113" s="14">
        <f>data!AC67</f>
        <v>478238</v>
      </c>
      <c r="I113" s="14">
        <f>data!AD67</f>
        <v>34176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1058104.2600000002</v>
      </c>
      <c r="E114" s="14">
        <f>data!Z68</f>
        <v>9520.36</v>
      </c>
      <c r="F114" s="14">
        <f>data!AA68</f>
        <v>401.86999999999995</v>
      </c>
      <c r="G114" s="14">
        <f>data!AB68</f>
        <v>40686.969999999994</v>
      </c>
      <c r="H114" s="14">
        <f>data!AC68</f>
        <v>312312.03999999998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79693.25</v>
      </c>
      <c r="E115" s="14">
        <f>data!Z69</f>
        <v>5459.5499999999993</v>
      </c>
      <c r="F115" s="14">
        <f>data!AA69</f>
        <v>142.23000000000002</v>
      </c>
      <c r="G115" s="14">
        <f>data!AB69</f>
        <v>65055.18</v>
      </c>
      <c r="H115" s="14">
        <f>data!AC69</f>
        <v>19081.540000000005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-11319.81</v>
      </c>
      <c r="E116" s="14">
        <f>-data!Z70</f>
        <v>-1725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-12488.15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0</v>
      </c>
      <c r="D117" s="14">
        <f>data!Y71</f>
        <v>42045074.289999992</v>
      </c>
      <c r="E117" s="14">
        <f>data!Z71</f>
        <v>4941343.43</v>
      </c>
      <c r="F117" s="14">
        <f>data!AA71</f>
        <v>1149465.01</v>
      </c>
      <c r="G117" s="14">
        <f>data!AB71</f>
        <v>20779029.439999998</v>
      </c>
      <c r="H117" s="14">
        <f>data!AC71</f>
        <v>6879542.71</v>
      </c>
      <c r="I117" s="14">
        <f>data!AD71</f>
        <v>1097548.7400000002</v>
      </c>
    </row>
    <row r="118" spans="1:9" ht="20.100000000000001" customHeight="1" x14ac:dyDescent="0.2">
      <c r="A118" s="23">
        <v>17</v>
      </c>
      <c r="B118" s="14" t="s">
        <v>244</v>
      </c>
      <c r="C118" s="209"/>
      <c r="D118" s="209"/>
      <c r="E118" s="209"/>
      <c r="F118" s="209"/>
      <c r="G118" s="209"/>
      <c r="H118" s="209"/>
      <c r="I118" s="209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0</v>
      </c>
      <c r="D119" s="48">
        <f>+data!M690</f>
        <v>12850713</v>
      </c>
      <c r="E119" s="48">
        <f>+data!M691</f>
        <v>1825479</v>
      </c>
      <c r="F119" s="48">
        <f>+data!M692</f>
        <v>352854</v>
      </c>
      <c r="G119" s="48">
        <f>+data!M693</f>
        <v>6311114</v>
      </c>
      <c r="H119" s="48">
        <f>+data!M694</f>
        <v>1926224</v>
      </c>
      <c r="I119" s="48">
        <f>+data!M695</f>
        <v>233599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0</v>
      </c>
      <c r="D120" s="14">
        <f>data!Y73</f>
        <v>177825251.30999997</v>
      </c>
      <c r="E120" s="14">
        <f>data!Z73</f>
        <v>2622770.1800000002</v>
      </c>
      <c r="F120" s="14">
        <f>data!AA73</f>
        <v>5811664.0700000003</v>
      </c>
      <c r="G120" s="14">
        <f>data!AB73</f>
        <v>151028761.21000007</v>
      </c>
      <c r="H120" s="14">
        <f>data!AC73</f>
        <v>41236474.899999999</v>
      </c>
      <c r="I120" s="14">
        <f>data!AD73</f>
        <v>3805030.09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0</v>
      </c>
      <c r="D121" s="14">
        <f>data!Y74</f>
        <v>291202978.75</v>
      </c>
      <c r="E121" s="14">
        <f>data!Z74</f>
        <v>43752212</v>
      </c>
      <c r="F121" s="14">
        <f>data!AA74</f>
        <v>11598172.32</v>
      </c>
      <c r="G121" s="14">
        <f>data!AB74</f>
        <v>106127689.60000001</v>
      </c>
      <c r="H121" s="14">
        <f>data!AC74</f>
        <v>9804891.6899999995</v>
      </c>
      <c r="I121" s="14">
        <f>data!AD74</f>
        <v>207248.34999999998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0</v>
      </c>
      <c r="D122" s="14">
        <f>data!Y75</f>
        <v>469028230.05999994</v>
      </c>
      <c r="E122" s="14">
        <f>data!Z75</f>
        <v>46374982.18</v>
      </c>
      <c r="F122" s="14">
        <f>data!AA75</f>
        <v>17409836.390000001</v>
      </c>
      <c r="G122" s="14">
        <f>data!AB75</f>
        <v>257156450.81000006</v>
      </c>
      <c r="H122" s="14">
        <f>data!AC75</f>
        <v>51041366.589999996</v>
      </c>
      <c r="I122" s="14">
        <f>data!AD75</f>
        <v>4012278.44</v>
      </c>
    </row>
    <row r="123" spans="1:9" ht="20.100000000000001" customHeight="1" x14ac:dyDescent="0.2">
      <c r="A123" s="23" t="s">
        <v>1185</v>
      </c>
      <c r="B123" s="60"/>
      <c r="C123" s="209"/>
      <c r="D123" s="209"/>
      <c r="E123" s="209"/>
      <c r="F123" s="209"/>
      <c r="G123" s="209"/>
      <c r="H123" s="209"/>
      <c r="I123" s="209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23073</v>
      </c>
      <c r="E124" s="14">
        <f>data!Z76</f>
        <v>11773</v>
      </c>
      <c r="F124" s="14">
        <f>data!AA76</f>
        <v>0</v>
      </c>
      <c r="G124" s="14">
        <f>data!AB76</f>
        <v>5552</v>
      </c>
      <c r="H124" s="14">
        <f>data!AC76</f>
        <v>7609</v>
      </c>
      <c r="I124" s="14">
        <f>data!AD76</f>
        <v>810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6638.9004650544575</v>
      </c>
      <c r="E126" s="14">
        <f>data!Z78</f>
        <v>3387.49946582959</v>
      </c>
      <c r="F126" s="14">
        <f>data!AA78</f>
        <v>0</v>
      </c>
      <c r="G126" s="14">
        <f>data!AB78</f>
        <v>1597.5025086457049</v>
      </c>
      <c r="H126" s="14">
        <f>data!AC78</f>
        <v>2189.3725843453112</v>
      </c>
      <c r="I126" s="14">
        <f>data!AD78</f>
        <v>233.06502737806576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96370</v>
      </c>
      <c r="E127" s="14">
        <f>data!Z79</f>
        <v>27548</v>
      </c>
      <c r="F127" s="14">
        <f>data!AA79</f>
        <v>0</v>
      </c>
      <c r="G127" s="14">
        <f>data!AB79</f>
        <v>0</v>
      </c>
      <c r="H127" s="14">
        <f>data!AC79</f>
        <v>15229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18.808328544061304</v>
      </c>
      <c r="E128" s="26">
        <f>data!Z80</f>
        <v>2.2849760536398467</v>
      </c>
      <c r="F128" s="26">
        <f>data!AA80</f>
        <v>0</v>
      </c>
      <c r="G128" s="26">
        <f>data!AB80</f>
        <v>0</v>
      </c>
      <c r="H128" s="26">
        <f>data!AC80</f>
        <v>1.5444971264367815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St Michael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68657</v>
      </c>
      <c r="D137" s="14">
        <f>data!AF59</f>
        <v>0</v>
      </c>
      <c r="E137" s="14">
        <f>data!AG59</f>
        <v>67619</v>
      </c>
      <c r="F137" s="14">
        <f>data!AH59</f>
        <v>0</v>
      </c>
      <c r="G137" s="14">
        <f>data!AI59</f>
        <v>0</v>
      </c>
      <c r="H137" s="14">
        <f>data!AJ59</f>
        <v>506141.09</v>
      </c>
      <c r="I137" s="14">
        <f>data!AK59</f>
        <v>30310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25.360153256704979</v>
      </c>
      <c r="D138" s="26">
        <f>data!AF60</f>
        <v>0</v>
      </c>
      <c r="E138" s="26">
        <f>data!AG60</f>
        <v>93.463103448275859</v>
      </c>
      <c r="F138" s="26">
        <f>data!AH60</f>
        <v>0</v>
      </c>
      <c r="G138" s="26">
        <f>data!AI60</f>
        <v>0</v>
      </c>
      <c r="H138" s="26">
        <f>data!AJ60</f>
        <v>492.21558400000004</v>
      </c>
      <c r="I138" s="26">
        <f>data!AK60</f>
        <v>8.7385584291187737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2247426.8800000004</v>
      </c>
      <c r="D139" s="14">
        <f>data!AF61</f>
        <v>0</v>
      </c>
      <c r="E139" s="14">
        <f>data!AG61</f>
        <v>10723414.469999999</v>
      </c>
      <c r="F139" s="14">
        <f>data!AH61</f>
        <v>0</v>
      </c>
      <c r="G139" s="14">
        <f>data!AI61</f>
        <v>0</v>
      </c>
      <c r="H139" s="14">
        <f>data!AJ61</f>
        <v>63562727.18</v>
      </c>
      <c r="I139" s="14">
        <f>data!AK61</f>
        <v>902692.48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615076</v>
      </c>
      <c r="D140" s="14">
        <f>data!AF62</f>
        <v>0</v>
      </c>
      <c r="E140" s="14">
        <f>data!AG62</f>
        <v>2212636</v>
      </c>
      <c r="F140" s="14">
        <f>data!AH62</f>
        <v>0</v>
      </c>
      <c r="G140" s="14">
        <f>data!AI62</f>
        <v>0</v>
      </c>
      <c r="H140" s="14">
        <f>data!AJ62</f>
        <v>11481773</v>
      </c>
      <c r="I140" s="14">
        <f>data!AK62</f>
        <v>226008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5638321</v>
      </c>
      <c r="F141" s="14">
        <f>data!AH63</f>
        <v>0</v>
      </c>
      <c r="G141" s="14">
        <f>data!AI63</f>
        <v>0</v>
      </c>
      <c r="H141" s="14">
        <f>data!AJ63</f>
        <v>25773185.43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21618.81</v>
      </c>
      <c r="D142" s="14">
        <f>data!AF64</f>
        <v>0</v>
      </c>
      <c r="E142" s="14">
        <f>data!AG64</f>
        <v>1683083.5699999996</v>
      </c>
      <c r="F142" s="14">
        <f>data!AH64</f>
        <v>0</v>
      </c>
      <c r="G142" s="14">
        <f>data!AI64</f>
        <v>0</v>
      </c>
      <c r="H142" s="14">
        <f>data!AJ64</f>
        <v>3708260.63</v>
      </c>
      <c r="I142" s="14">
        <f>data!AK64</f>
        <v>8757.65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10493.47</v>
      </c>
      <c r="D143" s="14">
        <f>data!AF65</f>
        <v>0</v>
      </c>
      <c r="E143" s="14">
        <f>data!AG65</f>
        <v>2678.71</v>
      </c>
      <c r="F143" s="14">
        <f>data!AH65</f>
        <v>0</v>
      </c>
      <c r="G143" s="14">
        <f>data!AI65</f>
        <v>0</v>
      </c>
      <c r="H143" s="14">
        <f>data!AJ65</f>
        <v>927679.02</v>
      </c>
      <c r="I143" s="14">
        <f>data!AK65</f>
        <v>1287.1500000000001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446733.97</v>
      </c>
      <c r="D144" s="14">
        <f>data!AF66</f>
        <v>0</v>
      </c>
      <c r="E144" s="14">
        <f>data!AG66</f>
        <v>403209.9361689408</v>
      </c>
      <c r="F144" s="14">
        <f>data!AH66</f>
        <v>0</v>
      </c>
      <c r="G144" s="14">
        <f>data!AI66</f>
        <v>0</v>
      </c>
      <c r="H144" s="14">
        <f>data!AJ66</f>
        <v>44736728.960000001</v>
      </c>
      <c r="I144" s="14">
        <f>data!AK66</f>
        <v>111474.82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932257</v>
      </c>
      <c r="D145" s="14">
        <f>data!AF67</f>
        <v>0</v>
      </c>
      <c r="E145" s="14">
        <f>data!AG67</f>
        <v>1348256</v>
      </c>
      <c r="F145" s="14">
        <f>data!AH67</f>
        <v>0</v>
      </c>
      <c r="G145" s="14">
        <f>data!AI67</f>
        <v>0</v>
      </c>
      <c r="H145" s="14">
        <f>data!AJ67</f>
        <v>4877721</v>
      </c>
      <c r="I145" s="14">
        <f>data!AK67</f>
        <v>197504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326102.04000000004</v>
      </c>
      <c r="D146" s="14">
        <f>data!AF68</f>
        <v>0</v>
      </c>
      <c r="E146" s="14">
        <f>data!AG68</f>
        <v>24717.440000000002</v>
      </c>
      <c r="F146" s="14">
        <f>data!AH68</f>
        <v>0</v>
      </c>
      <c r="G146" s="14">
        <f>data!AI68</f>
        <v>0</v>
      </c>
      <c r="H146" s="14">
        <f>data!AJ68</f>
        <v>8513056.2200000007</v>
      </c>
      <c r="I146" s="14">
        <f>data!AK68</f>
        <v>151994.31999999998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7848.4600000000009</v>
      </c>
      <c r="D147" s="14">
        <f>data!AF69</f>
        <v>0</v>
      </c>
      <c r="E147" s="14">
        <f>data!AG69</f>
        <v>80682.36</v>
      </c>
      <c r="F147" s="14">
        <f>data!AH69</f>
        <v>0</v>
      </c>
      <c r="G147" s="14">
        <f>data!AI69</f>
        <v>0</v>
      </c>
      <c r="H147" s="14">
        <f>data!AJ69</f>
        <v>3074901.9799999995</v>
      </c>
      <c r="I147" s="14">
        <f>data!AK69</f>
        <v>1480.44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-3505.2299999999996</v>
      </c>
      <c r="D148" s="14">
        <f>-data!AF70</f>
        <v>0</v>
      </c>
      <c r="E148" s="14">
        <f>-data!AG70</f>
        <v>-91000</v>
      </c>
      <c r="F148" s="14">
        <f>-data!AH70</f>
        <v>0</v>
      </c>
      <c r="G148" s="14">
        <f>-data!AI70</f>
        <v>0</v>
      </c>
      <c r="H148" s="14">
        <f>-data!AJ70</f>
        <v>-4055980.94</v>
      </c>
      <c r="I148" s="14">
        <f>-data!AK70</f>
        <v>-2961.67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4604051.4000000004</v>
      </c>
      <c r="D149" s="14">
        <f>data!AF71</f>
        <v>0</v>
      </c>
      <c r="E149" s="14">
        <f>data!AG71</f>
        <v>22025999.486168943</v>
      </c>
      <c r="F149" s="14">
        <f>data!AH71</f>
        <v>0</v>
      </c>
      <c r="G149" s="14">
        <f>data!AI71</f>
        <v>0</v>
      </c>
      <c r="H149" s="14">
        <f>data!AJ71</f>
        <v>162600052.47999999</v>
      </c>
      <c r="I149" s="14">
        <f>data!AK71</f>
        <v>1598237.19</v>
      </c>
    </row>
    <row r="150" spans="1:9" ht="20.100000000000001" customHeight="1" x14ac:dyDescent="0.2">
      <c r="A150" s="23">
        <v>17</v>
      </c>
      <c r="B150" s="14" t="s">
        <v>244</v>
      </c>
      <c r="C150" s="209"/>
      <c r="D150" s="209"/>
      <c r="E150" s="209"/>
      <c r="F150" s="209"/>
      <c r="G150" s="209"/>
      <c r="H150" s="209"/>
      <c r="I150" s="209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1927177</v>
      </c>
      <c r="D151" s="48">
        <f>+data!M697</f>
        <v>0</v>
      </c>
      <c r="E151" s="48">
        <f>+data!M698</f>
        <v>9000927</v>
      </c>
      <c r="F151" s="48">
        <f>+data!M699</f>
        <v>0</v>
      </c>
      <c r="G151" s="48">
        <f>+data!M700</f>
        <v>0</v>
      </c>
      <c r="H151" s="48">
        <f>+data!M701</f>
        <v>26444512</v>
      </c>
      <c r="I151" s="48">
        <f>+data!M702</f>
        <v>536500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5454932.4399999995</v>
      </c>
      <c r="D152" s="14">
        <f>data!AF73</f>
        <v>0</v>
      </c>
      <c r="E152" s="14">
        <f>data!AG73</f>
        <v>54646880.149999999</v>
      </c>
      <c r="F152" s="14">
        <f>data!AH73</f>
        <v>0</v>
      </c>
      <c r="G152" s="14">
        <f>data!AI73</f>
        <v>0</v>
      </c>
      <c r="H152" s="14">
        <f>data!AJ73</f>
        <v>1073443.8199999998</v>
      </c>
      <c r="I152" s="14">
        <f>data!AK73</f>
        <v>3626879.7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7669402.3600000013</v>
      </c>
      <c r="D153" s="14">
        <f>data!AF74</f>
        <v>0</v>
      </c>
      <c r="E153" s="14">
        <f>data!AG74</f>
        <v>206281095.30999997</v>
      </c>
      <c r="F153" s="14">
        <f>data!AH74</f>
        <v>0</v>
      </c>
      <c r="G153" s="14">
        <f>data!AI74</f>
        <v>0</v>
      </c>
      <c r="H153" s="14">
        <f>data!AJ74</f>
        <v>269019550.50999999</v>
      </c>
      <c r="I153" s="14">
        <f>data!AK74</f>
        <v>3298096.92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13124334.800000001</v>
      </c>
      <c r="D154" s="14">
        <f>data!AF75</f>
        <v>0</v>
      </c>
      <c r="E154" s="14">
        <f>data!AG75</f>
        <v>260927975.45999998</v>
      </c>
      <c r="F154" s="14">
        <f>data!AH75</f>
        <v>0</v>
      </c>
      <c r="G154" s="14">
        <f>data!AI75</f>
        <v>0</v>
      </c>
      <c r="H154" s="14">
        <f>data!AJ75</f>
        <v>270092994.32999998</v>
      </c>
      <c r="I154" s="14">
        <f>data!AK75</f>
        <v>6924976.6200000001</v>
      </c>
    </row>
    <row r="155" spans="1:9" ht="20.100000000000001" customHeight="1" x14ac:dyDescent="0.2">
      <c r="A155" s="23" t="s">
        <v>1185</v>
      </c>
      <c r="B155" s="60"/>
      <c r="C155" s="209"/>
      <c r="D155" s="209"/>
      <c r="E155" s="209"/>
      <c r="F155" s="209"/>
      <c r="G155" s="209"/>
      <c r="H155" s="209"/>
      <c r="I155" s="209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21850</v>
      </c>
      <c r="D156" s="14">
        <f>data!AF76</f>
        <v>0</v>
      </c>
      <c r="E156" s="14">
        <f>data!AG76</f>
        <v>28510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4681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11807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6287.0010471737487</v>
      </c>
      <c r="D158" s="14">
        <f>data!AF78</f>
        <v>0</v>
      </c>
      <c r="E158" s="14">
        <f>data!AG78</f>
        <v>8203.3134945045094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1346.8856705638589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23195</v>
      </c>
      <c r="D159" s="14">
        <f>data!AF79</f>
        <v>0</v>
      </c>
      <c r="E159" s="14">
        <f>data!AG79</f>
        <v>483347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48.765124521072792</v>
      </c>
      <c r="F160" s="26">
        <f>data!AH80</f>
        <v>0</v>
      </c>
      <c r="G160" s="26">
        <f>data!AI80</f>
        <v>0</v>
      </c>
      <c r="H160" s="26">
        <f>data!AJ80</f>
        <v>53.141511825817901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St Michael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6389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514343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4.325210727969349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90.833304597701158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435574.75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6717993.4999999981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111204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2007858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21375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7470.1499999999987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38339707.13000001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190.76999999999998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109356.51000000001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69728.600000000006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1640659.1499999997</v>
      </c>
      <c r="H176" s="14">
        <f>data!AQ66</f>
        <v>0</v>
      </c>
      <c r="I176" s="14">
        <f>data!AR66</f>
        <v>129810.49500000002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64977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3351015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95746.78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650062.00000000012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1335.82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55695.01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-2000.08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-1301689.73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784227.79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51592031.570000008</v>
      </c>
      <c r="H181" s="14">
        <f>data!AQ71</f>
        <v>0</v>
      </c>
      <c r="I181" s="14">
        <f>data!AR71</f>
        <v>129810.49500000002</v>
      </c>
    </row>
    <row r="182" spans="1:9" ht="20.100000000000001" customHeight="1" x14ac:dyDescent="0.2">
      <c r="A182" s="23">
        <v>17</v>
      </c>
      <c r="B182" s="14" t="s">
        <v>244</v>
      </c>
      <c r="C182" s="209"/>
      <c r="D182" s="209"/>
      <c r="E182" s="209"/>
      <c r="F182" s="209"/>
      <c r="G182" s="209"/>
      <c r="H182" s="209"/>
      <c r="I182" s="209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223856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16839246</v>
      </c>
      <c r="H183" s="48">
        <f>+data!M708</f>
        <v>0</v>
      </c>
      <c r="I183" s="48">
        <f>+data!M709</f>
        <v>17783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1585841.9799999995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805266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1854787.7899999996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393340809.79000008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3440629.7699999991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394146075.79000008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09"/>
      <c r="D187" s="209"/>
      <c r="E187" s="209"/>
      <c r="F187" s="209"/>
      <c r="G187" s="209"/>
      <c r="H187" s="209"/>
      <c r="I187" s="209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1540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63472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443.11128662002619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18263.09063918591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31.363146551724135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St Michael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0"/>
      <c r="G200" s="210"/>
      <c r="H200" s="210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0"/>
      <c r="G201" s="210"/>
      <c r="H201" s="210"/>
      <c r="I201" s="14">
        <f>data!AY59</f>
        <v>200502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23.770680076628349</v>
      </c>
      <c r="G202" s="26">
        <f>data!AW60</f>
        <v>0</v>
      </c>
      <c r="H202" s="26">
        <f>data!AX60</f>
        <v>0</v>
      </c>
      <c r="I202" s="26">
        <f>data!AY60</f>
        <v>72.762270114942538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2128561.35</v>
      </c>
      <c r="G203" s="14">
        <f>data!AW61</f>
        <v>0</v>
      </c>
      <c r="H203" s="14">
        <f>data!AX61</f>
        <v>0</v>
      </c>
      <c r="I203" s="14">
        <f>data!AY61</f>
        <v>3209052.42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560379</v>
      </c>
      <c r="G204" s="14">
        <f>data!AW62</f>
        <v>0</v>
      </c>
      <c r="H204" s="14">
        <f>data!AX62</f>
        <v>0</v>
      </c>
      <c r="I204" s="14">
        <f>data!AY62</f>
        <v>1322351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1335726.26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902413.23</v>
      </c>
      <c r="G206" s="14">
        <f>data!AW64</f>
        <v>0</v>
      </c>
      <c r="H206" s="14">
        <f>data!AX64</f>
        <v>0</v>
      </c>
      <c r="I206" s="14">
        <f>data!AY64</f>
        <v>1916182.9799999997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166.47</v>
      </c>
      <c r="G207" s="14">
        <f>data!AW65</f>
        <v>0</v>
      </c>
      <c r="H207" s="14">
        <f>data!AX65</f>
        <v>0</v>
      </c>
      <c r="I207" s="14">
        <f>data!AY65</f>
        <v>1472.8300000000002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98322.16</v>
      </c>
      <c r="G208" s="14">
        <f>data!AW66</f>
        <v>0</v>
      </c>
      <c r="H208" s="14">
        <f>data!AX66</f>
        <v>0</v>
      </c>
      <c r="I208" s="14">
        <f>data!AY66</f>
        <v>1137446.0000000002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133709</v>
      </c>
      <c r="G209" s="14">
        <f>data!AW67</f>
        <v>0</v>
      </c>
      <c r="H209" s="14">
        <f>data!AX67</f>
        <v>0</v>
      </c>
      <c r="I209" s="14">
        <f>data!AY67</f>
        <v>995917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1908.3</v>
      </c>
      <c r="G210" s="14">
        <f>data!AW68</f>
        <v>0</v>
      </c>
      <c r="H210" s="14">
        <f>data!AX68</f>
        <v>0</v>
      </c>
      <c r="I210" s="14">
        <f>data!AY68</f>
        <v>24417.970000000005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-277220.34000000003</v>
      </c>
      <c r="G211" s="14">
        <f>data!AW69</f>
        <v>0</v>
      </c>
      <c r="H211" s="14">
        <f>data!AX69</f>
        <v>0</v>
      </c>
      <c r="I211" s="14">
        <f>data!AY69</f>
        <v>39301.060000000005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-15408.13</v>
      </c>
      <c r="G212" s="14">
        <f>-data!AW70</f>
        <v>0</v>
      </c>
      <c r="H212" s="14">
        <f>-data!AX70</f>
        <v>0</v>
      </c>
      <c r="I212" s="14">
        <f>-data!AY70</f>
        <v>-1765836.77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4868557.3</v>
      </c>
      <c r="G213" s="14">
        <f>data!AW71</f>
        <v>0</v>
      </c>
      <c r="H213" s="14">
        <f>data!AX71</f>
        <v>0</v>
      </c>
      <c r="I213" s="14">
        <f>data!AY71</f>
        <v>6880304.4900000021</v>
      </c>
    </row>
    <row r="214" spans="1:9" ht="20.100000000000001" customHeight="1" x14ac:dyDescent="0.2">
      <c r="A214" s="23">
        <v>17</v>
      </c>
      <c r="B214" s="14" t="s">
        <v>244</v>
      </c>
      <c r="C214" s="209"/>
      <c r="D214" s="209"/>
      <c r="E214" s="209"/>
      <c r="F214" s="209"/>
      <c r="G214" s="209"/>
      <c r="H214" s="209"/>
      <c r="I214" s="209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1220685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1" t="str">
        <f>IF(data!AW73&gt;0,data!AW73,"")</f>
        <v>x</v>
      </c>
      <c r="H216" s="211" t="str">
        <f>IF(data!AX73&gt;0,data!AX73,"")</f>
        <v>x</v>
      </c>
      <c r="I216" s="211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4245764</v>
      </c>
      <c r="G217" s="211" t="str">
        <f>IF(data!AW74&gt;0,data!AW74,"")</f>
        <v>x</v>
      </c>
      <c r="H217" s="211" t="str">
        <f>IF(data!AX74&gt;0,data!AX74,"")</f>
        <v>x</v>
      </c>
      <c r="I217" s="211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4245764</v>
      </c>
      <c r="G218" s="211" t="str">
        <f>IF(data!AW75&gt;0,data!AW75,"")</f>
        <v>x</v>
      </c>
      <c r="H218" s="211" t="str">
        <f>IF(data!AX75&gt;0,data!AX75,"")</f>
        <v>x</v>
      </c>
      <c r="I218" s="211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09"/>
      <c r="D219" s="209"/>
      <c r="E219" s="209"/>
      <c r="F219" s="209"/>
      <c r="G219" s="209"/>
      <c r="H219" s="209"/>
      <c r="I219" s="209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3169</v>
      </c>
      <c r="G220" s="14">
        <f>data!AW76</f>
        <v>0</v>
      </c>
      <c r="H220" s="14">
        <f>data!AX76</f>
        <v>0</v>
      </c>
      <c r="I220" s="85">
        <f>data!AY76</f>
        <v>19152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1" t="str">
        <f>IF(data!AX77&gt;0,data!AX77,"")</f>
        <v>x</v>
      </c>
      <c r="I221" s="211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911.8309527914696</v>
      </c>
      <c r="G222" s="14">
        <f>data!AW78</f>
        <v>0</v>
      </c>
      <c r="H222" s="211" t="str">
        <f>IF(data!AX78&gt;0,data!AX78,"")</f>
        <v>x</v>
      </c>
      <c r="I222" s="211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6612</v>
      </c>
      <c r="G223" s="14">
        <f>data!AW79</f>
        <v>0</v>
      </c>
      <c r="H223" s="211" t="str">
        <f>IF(data!AX79&gt;0,data!AX79,"")</f>
        <v>x</v>
      </c>
      <c r="I223" s="211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12.668400383141762</v>
      </c>
      <c r="G224" s="211" t="str">
        <f>IF(data!AW80&gt;0,data!AW80,"")</f>
        <v>x</v>
      </c>
      <c r="H224" s="211" t="str">
        <f>IF(data!AX80&gt;0,data!AX80,"")</f>
        <v>x</v>
      </c>
      <c r="I224" s="211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St Michael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0"/>
      <c r="F232" s="210"/>
      <c r="G232" s="210"/>
      <c r="H232" s="15" t="s">
        <v>232</v>
      </c>
      <c r="I232" s="210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428430</v>
      </c>
      <c r="D233" s="14">
        <f>data!BA59</f>
        <v>0</v>
      </c>
      <c r="E233" s="210"/>
      <c r="F233" s="210"/>
      <c r="G233" s="210"/>
      <c r="H233" s="14">
        <f>data!BE59</f>
        <v>577281</v>
      </c>
      <c r="I233" s="210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2.669784482758621</v>
      </c>
      <c r="E234" s="26">
        <f>data!BB60</f>
        <v>0</v>
      </c>
      <c r="F234" s="26">
        <f>data!BC60</f>
        <v>16.5933908045977</v>
      </c>
      <c r="G234" s="26">
        <f>data!BD60</f>
        <v>0</v>
      </c>
      <c r="H234" s="26">
        <f>data!BE60</f>
        <v>17.695852490421458</v>
      </c>
      <c r="I234" s="26">
        <f>data!BF60</f>
        <v>73.606283524904214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104846.75999999998</v>
      </c>
      <c r="E235" s="14">
        <f>data!BB61</f>
        <v>0</v>
      </c>
      <c r="F235" s="14">
        <f>data!BC61</f>
        <v>651215.46</v>
      </c>
      <c r="G235" s="14">
        <f>data!BD61</f>
        <v>0</v>
      </c>
      <c r="H235" s="14">
        <f>data!BE61</f>
        <v>1270097.5399999998</v>
      </c>
      <c r="I235" s="14">
        <f>data!BF61</f>
        <v>3053297.84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47030</v>
      </c>
      <c r="E236" s="14">
        <f>data!BB62</f>
        <v>0</v>
      </c>
      <c r="F236" s="14">
        <f>data!BC62</f>
        <v>291712</v>
      </c>
      <c r="G236" s="14">
        <f>data!BD62</f>
        <v>0</v>
      </c>
      <c r="H236" s="14">
        <f>data!BE62</f>
        <v>384048</v>
      </c>
      <c r="I236" s="14">
        <f>data!BF62</f>
        <v>1311123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17019.710000000003</v>
      </c>
      <c r="G238" s="14">
        <f>data!BD64</f>
        <v>0</v>
      </c>
      <c r="H238" s="14">
        <f>data!BE64</f>
        <v>-44075.789999999994</v>
      </c>
      <c r="I238" s="14">
        <f>data!BF64</f>
        <v>231247.4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2765.12</v>
      </c>
      <c r="G239" s="14">
        <f>data!BD65</f>
        <v>0</v>
      </c>
      <c r="H239" s="14">
        <f>data!BE65</f>
        <v>2677995.4500000002</v>
      </c>
      <c r="I239" s="14">
        <f>data!BF65</f>
        <v>5961.29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9840.6500000000015</v>
      </c>
      <c r="E240" s="14">
        <f>data!BB66</f>
        <v>0</v>
      </c>
      <c r="F240" s="14">
        <f>data!BC66</f>
        <v>286856.44</v>
      </c>
      <c r="G240" s="14">
        <f>data!BD66</f>
        <v>0</v>
      </c>
      <c r="H240" s="14">
        <f>data!BE66</f>
        <v>9143802.8919999991</v>
      </c>
      <c r="I240" s="14">
        <f>data!BF66</f>
        <v>124130.56000000001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156873</v>
      </c>
      <c r="E241" s="14">
        <f>data!BB67</f>
        <v>48268</v>
      </c>
      <c r="F241" s="14">
        <f>data!BC67</f>
        <v>6603</v>
      </c>
      <c r="G241" s="14">
        <f>data!BD67</f>
        <v>2219929</v>
      </c>
      <c r="H241" s="14">
        <f>data!BE67</f>
        <v>3943570</v>
      </c>
      <c r="I241" s="14">
        <f>data!BF67</f>
        <v>460586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1291.7800000000002</v>
      </c>
      <c r="G242" s="14">
        <f>data!BD68</f>
        <v>473458.06000000006</v>
      </c>
      <c r="H242" s="14">
        <f>data!BE68</f>
        <v>636774.41</v>
      </c>
      <c r="I242" s="14">
        <f>data!BF68</f>
        <v>7720.3400000000011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176906.56</v>
      </c>
      <c r="I243" s="14">
        <f>data!BF69</f>
        <v>7988.8500000000013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318590.40999999997</v>
      </c>
      <c r="E245" s="14">
        <f>data!BB71</f>
        <v>48268</v>
      </c>
      <c r="F245" s="14">
        <f>data!BC71</f>
        <v>1257463.51</v>
      </c>
      <c r="G245" s="14">
        <f>data!BD71</f>
        <v>2693387.06</v>
      </c>
      <c r="H245" s="14">
        <f>data!BE71</f>
        <v>18189119.061999999</v>
      </c>
      <c r="I245" s="14">
        <f>data!BF71</f>
        <v>5202055.2799999993</v>
      </c>
    </row>
    <row r="246" spans="1:9" ht="20.100000000000001" customHeight="1" x14ac:dyDescent="0.2">
      <c r="A246" s="23">
        <v>17</v>
      </c>
      <c r="B246" s="14" t="s">
        <v>244</v>
      </c>
      <c r="C246" s="209"/>
      <c r="D246" s="209"/>
      <c r="E246" s="209"/>
      <c r="F246" s="209"/>
      <c r="G246" s="209"/>
      <c r="H246" s="209"/>
      <c r="I246" s="209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1" t="str">
        <f>IF(data!AZ73&gt;0,data!AZ73,"")</f>
        <v>x</v>
      </c>
      <c r="D248" s="211" t="str">
        <f>IF(data!BA73&gt;0,data!BA73,"")</f>
        <v>x</v>
      </c>
      <c r="E248" s="211" t="str">
        <f>IF(data!BB73&gt;0,data!BB73,"")</f>
        <v>x</v>
      </c>
      <c r="F248" s="211" t="str">
        <f>IF(data!BC73&gt;0,data!BC73,"")</f>
        <v>x</v>
      </c>
      <c r="G248" s="211" t="str">
        <f>IF(data!BD73&gt;0,data!BD73,"")</f>
        <v>x</v>
      </c>
      <c r="H248" s="211" t="str">
        <f>IF(data!BE73&gt;0,data!BE73,"")</f>
        <v>x</v>
      </c>
      <c r="I248" s="211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1" t="str">
        <f>IF(data!AZ74&gt;0,data!AZ74,"")</f>
        <v>x</v>
      </c>
      <c r="D249" s="211" t="str">
        <f>IF(data!BA74&gt;0,data!BA74,"")</f>
        <v>x</v>
      </c>
      <c r="E249" s="211" t="str">
        <f>IF(data!BB74&gt;0,data!BB74,"")</f>
        <v>x</v>
      </c>
      <c r="F249" s="211" t="str">
        <f>IF(data!BC74&gt;0,data!BC74,"")</f>
        <v>x</v>
      </c>
      <c r="G249" s="211" t="str">
        <f>IF(data!BD74&gt;0,data!BD74,"")</f>
        <v>x</v>
      </c>
      <c r="H249" s="211" t="str">
        <f>IF(data!BE74&gt;0,data!BE74,"")</f>
        <v>x</v>
      </c>
      <c r="I249" s="211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1" t="str">
        <f>IF(data!AZ75&gt;0,data!AZ75,"")</f>
        <v>x</v>
      </c>
      <c r="D250" s="211" t="str">
        <f>IF(data!BA75&gt;0,data!BA75,"")</f>
        <v>x</v>
      </c>
      <c r="E250" s="211" t="str">
        <f>IF(data!BB75&gt;0,data!BB75,"")</f>
        <v>x</v>
      </c>
      <c r="F250" s="211" t="str">
        <f>IF(data!BC75&gt;0,data!BC75,"")</f>
        <v>x</v>
      </c>
      <c r="G250" s="211" t="str">
        <f>IF(data!BD75&gt;0,data!BD75,"")</f>
        <v>x</v>
      </c>
      <c r="H250" s="211" t="str">
        <f>IF(data!BE75&gt;0,data!BE75,"")</f>
        <v>x</v>
      </c>
      <c r="I250" s="211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09"/>
      <c r="D251" s="209"/>
      <c r="E251" s="209"/>
      <c r="F251" s="209"/>
      <c r="G251" s="209"/>
      <c r="H251" s="209"/>
      <c r="I251" s="209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3718</v>
      </c>
      <c r="E252" s="85">
        <f>data!BB76</f>
        <v>1144</v>
      </c>
      <c r="F252" s="85">
        <f>data!BC76</f>
        <v>0</v>
      </c>
      <c r="G252" s="85">
        <f>data!BD76</f>
        <v>52614</v>
      </c>
      <c r="H252" s="85">
        <f>data!BE76</f>
        <v>81349</v>
      </c>
      <c r="I252" s="85">
        <f>data!BF76</f>
        <v>10852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1" t="str">
        <f>IF(data!BD77&gt;0,data!BD77,"")</f>
        <v>x</v>
      </c>
      <c r="H253" s="211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1" t="str">
        <f>IF(data!AZ78&gt;0,data!AZ78,"")</f>
        <v>x</v>
      </c>
      <c r="D254" s="85">
        <f>data!BA78</f>
        <v>1069.7972491254918</v>
      </c>
      <c r="E254" s="85">
        <f>data!BB78</f>
        <v>329.16838434630517</v>
      </c>
      <c r="F254" s="85">
        <f>data!BC78</f>
        <v>0</v>
      </c>
      <c r="G254" s="211" t="str">
        <f>IF(data!BD78&gt;0,data!BD78,"")</f>
        <v>x</v>
      </c>
      <c r="H254" s="211" t="str">
        <f>IF(data!BE78&gt;0,data!BE78,"")</f>
        <v>x</v>
      </c>
      <c r="I254" s="211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1" t="str">
        <f>IF(data!AZ79&gt;0,data!AZ79,"")</f>
        <v>x</v>
      </c>
      <c r="D255" s="211" t="str">
        <f>IF(data!BA79&gt;0,data!BA79,"")</f>
        <v>x</v>
      </c>
      <c r="E255" s="85">
        <f>data!BB79</f>
        <v>22</v>
      </c>
      <c r="F255" s="85">
        <f>data!BC79</f>
        <v>0</v>
      </c>
      <c r="G255" s="211" t="str">
        <f>IF(data!BD79&gt;0,data!BD79,"")</f>
        <v>x</v>
      </c>
      <c r="H255" s="211" t="str">
        <f>IF(data!BE79&gt;0,data!BE79,"")</f>
        <v>x</v>
      </c>
      <c r="I255" s="211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1" t="str">
        <f>IF(data!AZ80&gt;0,data!AZ80,"")</f>
        <v>x</v>
      </c>
      <c r="D256" s="211" t="str">
        <f>IF(data!BA80&gt;0,data!BA80,"")</f>
        <v>x</v>
      </c>
      <c r="E256" s="211" t="str">
        <f>IF(data!BB80&gt;0,data!BB80,"")</f>
        <v>x</v>
      </c>
      <c r="F256" s="211" t="str">
        <f>IF(data!BC80&gt;0,data!BC80,"")</f>
        <v>x</v>
      </c>
      <c r="G256" s="211" t="str">
        <f>IF(data!BD80&gt;0,data!BD80,"")</f>
        <v>x</v>
      </c>
      <c r="H256" s="211" t="str">
        <f>IF(data!BE80&gt;0,data!BE80,"")</f>
        <v>x</v>
      </c>
      <c r="I256" s="211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St Michael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0"/>
      <c r="D264" s="210"/>
      <c r="E264" s="210"/>
      <c r="F264" s="210"/>
      <c r="G264" s="210"/>
      <c r="H264" s="210"/>
      <c r="I264" s="210"/>
    </row>
    <row r="265" spans="1:9" ht="20.100000000000001" customHeight="1" x14ac:dyDescent="0.2">
      <c r="A265" s="23">
        <v>4</v>
      </c>
      <c r="B265" s="14" t="s">
        <v>233</v>
      </c>
      <c r="C265" s="210"/>
      <c r="D265" s="210"/>
      <c r="E265" s="210"/>
      <c r="F265" s="210"/>
      <c r="G265" s="210"/>
      <c r="H265" s="210"/>
      <c r="I265" s="210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50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195.28</v>
      </c>
      <c r="D270" s="14">
        <f>data!BH64</f>
        <v>0</v>
      </c>
      <c r="E270" s="14">
        <f>data!BI64</f>
        <v>93225.75</v>
      </c>
      <c r="F270" s="14">
        <f>data!BJ64</f>
        <v>0</v>
      </c>
      <c r="G270" s="14">
        <f>data!BK64</f>
        <v>658.41</v>
      </c>
      <c r="H270" s="14">
        <f>data!BL64</f>
        <v>25473.949999999997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265636.55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154.88999999999999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1460.2</v>
      </c>
      <c r="F272" s="14">
        <f>data!BJ66</f>
        <v>0</v>
      </c>
      <c r="G272" s="14">
        <f>data!BK66</f>
        <v>7982201.4377212506</v>
      </c>
      <c r="H272" s="14">
        <f>data!BL66</f>
        <v>3833278.9687513174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81472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3945</v>
      </c>
      <c r="H273" s="14">
        <f>data!BL67</f>
        <v>939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2456.3799999999997</v>
      </c>
      <c r="D274" s="14">
        <f>data!BH68</f>
        <v>0</v>
      </c>
      <c r="E274" s="14">
        <f>data!BI68</f>
        <v>21575.77</v>
      </c>
      <c r="F274" s="14">
        <f>data!BJ68</f>
        <v>0</v>
      </c>
      <c r="G274" s="14">
        <f>data!BK68</f>
        <v>15978.629999999997</v>
      </c>
      <c r="H274" s="14">
        <f>data!BL68</f>
        <v>16414.64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499.37</v>
      </c>
      <c r="F275" s="14">
        <f>data!BJ69</f>
        <v>0</v>
      </c>
      <c r="G275" s="14">
        <f>data!BK69</f>
        <v>0</v>
      </c>
      <c r="H275" s="14">
        <f>data!BL69</f>
        <v>62.01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-146168.03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349760.21</v>
      </c>
      <c r="D277" s="14">
        <f>data!BH71</f>
        <v>0</v>
      </c>
      <c r="E277" s="14">
        <f>data!BI71</f>
        <v>-29356.940000000002</v>
      </c>
      <c r="F277" s="14">
        <f>data!BJ71</f>
        <v>0</v>
      </c>
      <c r="G277" s="14">
        <f>data!BK71</f>
        <v>8002783.4777212506</v>
      </c>
      <c r="H277" s="14">
        <f>data!BL71</f>
        <v>3876323.4587513171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09"/>
      <c r="D278" s="209"/>
      <c r="E278" s="209"/>
      <c r="F278" s="209"/>
      <c r="G278" s="209"/>
      <c r="H278" s="209"/>
      <c r="I278" s="209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1" t="str">
        <f>IF(data!BG73&gt;0,data!BG73,"")</f>
        <v>x</v>
      </c>
      <c r="D280" s="211" t="str">
        <f>IF(data!BH73&gt;0,data!BH73,"")</f>
        <v>x</v>
      </c>
      <c r="E280" s="211" t="str">
        <f>IF(data!BI73&gt;0,data!BI73,"")</f>
        <v>x</v>
      </c>
      <c r="F280" s="211" t="str">
        <f>IF(data!BJ73&gt;0,data!BJ73,"")</f>
        <v>x</v>
      </c>
      <c r="G280" s="211" t="str">
        <f>IF(data!BK73&gt;0,data!BK73,"")</f>
        <v>x</v>
      </c>
      <c r="H280" s="211" t="str">
        <f>IF(data!BL73&gt;0,data!BL73,"")</f>
        <v>x</v>
      </c>
      <c r="I280" s="211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1" t="str">
        <f>IF(data!BG74&gt;0,data!BG74,"")</f>
        <v>x</v>
      </c>
      <c r="D281" s="211" t="str">
        <f>IF(data!BH74&gt;0,data!BH74,"")</f>
        <v>x</v>
      </c>
      <c r="E281" s="211" t="str">
        <f>IF(data!BI74&gt;0,data!BI74,"")</f>
        <v>x</v>
      </c>
      <c r="F281" s="211" t="str">
        <f>IF(data!BJ74&gt;0,data!BJ74,"")</f>
        <v>x</v>
      </c>
      <c r="G281" s="211" t="str">
        <f>IF(data!BK74&gt;0,data!BK74,"")</f>
        <v>x</v>
      </c>
      <c r="H281" s="211" t="str">
        <f>IF(data!BL74&gt;0,data!BL74,"")</f>
        <v>x</v>
      </c>
      <c r="I281" s="211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1" t="str">
        <f>IF(data!BG75&gt;0,data!BG75,"")</f>
        <v>x</v>
      </c>
      <c r="D282" s="211" t="str">
        <f>IF(data!BH75&gt;0,data!BH75,"")</f>
        <v>x</v>
      </c>
      <c r="E282" s="211" t="str">
        <f>IF(data!BI75&gt;0,data!BI75,"")</f>
        <v>x</v>
      </c>
      <c r="F282" s="211" t="str">
        <f>IF(data!BJ75&gt;0,data!BJ75,"")</f>
        <v>x</v>
      </c>
      <c r="G282" s="211" t="str">
        <f>IF(data!BK75&gt;0,data!BK75,"")</f>
        <v>x</v>
      </c>
      <c r="H282" s="211" t="str">
        <f>IF(data!BL75&gt;0,data!BL75,"")</f>
        <v>x</v>
      </c>
      <c r="I282" s="211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3"/>
      <c r="D283" s="213"/>
      <c r="E283" s="213"/>
      <c r="F283" s="213"/>
      <c r="G283" s="213"/>
      <c r="H283" s="213"/>
      <c r="I283" s="213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1" t="str">
        <f>IF(data!BG77&gt;0,data!BG77,"")</f>
        <v>x</v>
      </c>
      <c r="D285" s="85">
        <f>data!BH77</f>
        <v>0</v>
      </c>
      <c r="E285" s="85">
        <f>data!BI77</f>
        <v>0</v>
      </c>
      <c r="F285" s="211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1" t="str">
        <f>IF(data!BG78&gt;0,data!BG78,"")</f>
        <v>x</v>
      </c>
      <c r="D286" s="85">
        <f>data!BH78</f>
        <v>0</v>
      </c>
      <c r="E286" s="85">
        <f>data!BI78</f>
        <v>0</v>
      </c>
      <c r="F286" s="211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1" t="str">
        <f>IF(data!BG79&gt;0,data!BG79,"")</f>
        <v>x</v>
      </c>
      <c r="D287" s="85">
        <f>data!BH79</f>
        <v>0</v>
      </c>
      <c r="E287" s="85">
        <f>data!BI79</f>
        <v>0</v>
      </c>
      <c r="F287" s="211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1" t="str">
        <f>IF(data!BG80&gt;0,data!BG80,"")</f>
        <v>x</v>
      </c>
      <c r="D288" s="211" t="str">
        <f>IF(data!BH80&gt;0,data!BH80,"")</f>
        <v>x</v>
      </c>
      <c r="E288" s="211" t="str">
        <f>IF(data!BI80&gt;0,data!BI80,"")</f>
        <v>x</v>
      </c>
      <c r="F288" s="211" t="str">
        <f>IF(data!BJ80&gt;0,data!BJ80,"")</f>
        <v>x</v>
      </c>
      <c r="G288" s="211" t="str">
        <f>IF(data!BK80&gt;0,data!BK80,"")</f>
        <v>x</v>
      </c>
      <c r="H288" s="211" t="str">
        <f>IF(data!BL80&gt;0,data!BL80,"")</f>
        <v>x</v>
      </c>
      <c r="I288" s="211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St Michael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0"/>
      <c r="D296" s="210"/>
      <c r="E296" s="210"/>
      <c r="F296" s="210"/>
      <c r="G296" s="210"/>
      <c r="H296" s="210"/>
      <c r="I296" s="210"/>
    </row>
    <row r="297" spans="1:9" ht="20.100000000000001" customHeight="1" x14ac:dyDescent="0.2">
      <c r="A297" s="23">
        <v>4</v>
      </c>
      <c r="B297" s="14" t="s">
        <v>233</v>
      </c>
      <c r="C297" s="210"/>
      <c r="D297" s="210"/>
      <c r="E297" s="210"/>
      <c r="F297" s="210"/>
      <c r="G297" s="210"/>
      <c r="H297" s="210"/>
      <c r="I297" s="210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65.558069923371647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6781152.4900000002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9.35</v>
      </c>
      <c r="H299" s="14">
        <f>data!BS61</f>
        <v>0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1635441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1670</v>
      </c>
      <c r="H300" s="14">
        <f>data!BS62</f>
        <v>0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328691.45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11155.27</v>
      </c>
      <c r="H302" s="14">
        <f>data!BS64</f>
        <v>0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40299.380000000005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611713.21818249999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587579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179361</v>
      </c>
      <c r="I305" s="14">
        <f>data!BT67</f>
        <v>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595822.72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976733.24000000011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273831.60000000003</v>
      </c>
      <c r="H307" s="14">
        <f>data!BS69</f>
        <v>0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-467947.37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11089485.128182502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286666.22000000003</v>
      </c>
      <c r="H309" s="14">
        <f>data!BS71</f>
        <v>179361</v>
      </c>
      <c r="I309" s="14">
        <f>data!BT71</f>
        <v>0</v>
      </c>
    </row>
    <row r="310" spans="1:9" ht="20.100000000000001" customHeight="1" x14ac:dyDescent="0.2">
      <c r="A310" s="23">
        <v>17</v>
      </c>
      <c r="B310" s="14" t="s">
        <v>244</v>
      </c>
      <c r="C310" s="209"/>
      <c r="D310" s="209"/>
      <c r="E310" s="209"/>
      <c r="F310" s="209"/>
      <c r="G310" s="209"/>
      <c r="H310" s="209"/>
      <c r="I310" s="209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1" t="str">
        <f>IF(data!BN73&gt;0,data!BN73,"")</f>
        <v>x</v>
      </c>
      <c r="D312" s="211" t="str">
        <f>IF(data!BO73&gt;0,data!BO73,"")</f>
        <v>x</v>
      </c>
      <c r="E312" s="211" t="str">
        <f>IF(data!BP73&gt;0,data!BP73,"")</f>
        <v>x</v>
      </c>
      <c r="F312" s="211" t="str">
        <f>IF(data!BQ73&gt;0,data!BQ73,"")</f>
        <v>x</v>
      </c>
      <c r="G312" s="211" t="str">
        <f>IF(data!BR73&gt;0,data!BR73,"")</f>
        <v>x</v>
      </c>
      <c r="H312" s="211" t="str">
        <f>IF(data!BS73&gt;0,data!BS73,"")</f>
        <v>x</v>
      </c>
      <c r="I312" s="211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1" t="str">
        <f>IF(data!BN74&gt;0,data!BN74,"")</f>
        <v>x</v>
      </c>
      <c r="D313" s="211" t="str">
        <f>IF(data!BO74&gt;0,data!BO74,"")</f>
        <v>x</v>
      </c>
      <c r="E313" s="211" t="str">
        <f>IF(data!BP74&gt;0,data!BP74,"")</f>
        <v>x</v>
      </c>
      <c r="F313" s="211" t="str">
        <f>IF(data!BQ74&gt;0,data!BQ74,"")</f>
        <v>x</v>
      </c>
      <c r="G313" s="211" t="str">
        <f>IF(data!BR74&gt;0,data!BR74,"")</f>
        <v>x</v>
      </c>
      <c r="H313" s="211" t="str">
        <f>IF(data!BS74&gt;0,data!BS74,"")</f>
        <v>x</v>
      </c>
      <c r="I313" s="211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1" t="str">
        <f>IF(data!BN75&gt;0,data!BN75,"")</f>
        <v>x</v>
      </c>
      <c r="D314" s="211" t="str">
        <f>IF(data!BO75&gt;0,data!BO75,"")</f>
        <v>x</v>
      </c>
      <c r="E314" s="211" t="str">
        <f>IF(data!BP75&gt;0,data!BP75,"")</f>
        <v>x</v>
      </c>
      <c r="F314" s="211" t="str">
        <f>IF(data!BQ75&gt;0,data!BQ75,"")</f>
        <v>x</v>
      </c>
      <c r="G314" s="211" t="str">
        <f>IF(data!BR75&gt;0,data!BR75,"")</f>
        <v>x</v>
      </c>
      <c r="H314" s="211" t="str">
        <f>IF(data!BS75&gt;0,data!BS75,"")</f>
        <v>x</v>
      </c>
      <c r="I314" s="211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09"/>
      <c r="D315" s="209"/>
      <c r="E315" s="209"/>
      <c r="F315" s="209"/>
      <c r="G315" s="209"/>
      <c r="H315" s="209"/>
      <c r="I315" s="209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10802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4251</v>
      </c>
      <c r="I316" s="85">
        <f>data!BT76</f>
        <v>0</v>
      </c>
    </row>
    <row r="317" spans="1:9" ht="20.100000000000001" customHeight="1" x14ac:dyDescent="0.2">
      <c r="A317" s="23">
        <v>23</v>
      </c>
      <c r="B317" s="14" t="s">
        <v>1187</v>
      </c>
      <c r="C317" s="211" t="str">
        <f>IF(data!BN77&gt;0,data!BN77,"")</f>
        <v>x</v>
      </c>
      <c r="D317" s="211" t="str">
        <f>IF(data!BO77&gt;0,data!BO77,"")</f>
        <v>x</v>
      </c>
      <c r="E317" s="211" t="str">
        <f>IF(data!BP77&gt;0,data!BP77,"")</f>
        <v>x</v>
      </c>
      <c r="F317" s="211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1" t="str">
        <f>IF(data!BN78&gt;0,data!BN78,"")</f>
        <v>x</v>
      </c>
      <c r="D318" s="211" t="str">
        <f>IF(data!BO78&gt;0,data!BO78,"")</f>
        <v>x</v>
      </c>
      <c r="E318" s="211" t="str">
        <f>IF(data!BP78&gt;0,data!BP78,"")</f>
        <v>x</v>
      </c>
      <c r="F318" s="211" t="str">
        <f>IF(data!BQ78&gt;0,data!BQ78,"")</f>
        <v>x</v>
      </c>
      <c r="G318" s="211" t="str">
        <f>IF(data!BR78&gt;0,data!BR78,"")</f>
        <v>x</v>
      </c>
      <c r="H318" s="85">
        <f>data!BS78</f>
        <v>1223.159791832293</v>
      </c>
      <c r="I318" s="85">
        <f>data!BT78</f>
        <v>0</v>
      </c>
    </row>
    <row r="319" spans="1:9" ht="20.100000000000001" customHeight="1" x14ac:dyDescent="0.2">
      <c r="A319" s="23">
        <v>25</v>
      </c>
      <c r="B319" s="14" t="s">
        <v>1189</v>
      </c>
      <c r="C319" s="211" t="str">
        <f>IF(data!BN79&gt;0,data!BN79,"")</f>
        <v>x</v>
      </c>
      <c r="D319" s="211" t="str">
        <f>IF(data!BO79&gt;0,data!BO79,"")</f>
        <v>x</v>
      </c>
      <c r="E319" s="211" t="str">
        <f>IF(data!BP79&gt;0,data!BP79,"")</f>
        <v>x</v>
      </c>
      <c r="F319" s="211" t="str">
        <f>IF(data!BQ79&gt;0,data!BQ79,"")</f>
        <v>x</v>
      </c>
      <c r="G319" s="211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4" t="str">
        <f>IF(data!BN80&gt;0,data!BN80,"")</f>
        <v>x</v>
      </c>
      <c r="D320" s="214" t="str">
        <f>IF(data!BO80&gt;0,data!BO80,"")</f>
        <v>x</v>
      </c>
      <c r="E320" s="214" t="str">
        <f>IF(data!BP80&gt;0,data!BP80,"")</f>
        <v>x</v>
      </c>
      <c r="F320" s="214" t="str">
        <f>IF(data!BQ80&gt;0,data!BQ80,"")</f>
        <v>x</v>
      </c>
      <c r="G320" s="214" t="str">
        <f>IF(data!BR80&gt;0,data!BR80,"")</f>
        <v>x</v>
      </c>
      <c r="H320" s="214" t="str">
        <f>IF(data!BS80&gt;0,data!BS80,"")</f>
        <v>x</v>
      </c>
      <c r="I320" s="214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St Michael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0"/>
      <c r="D328" s="210"/>
      <c r="E328" s="210"/>
      <c r="F328" s="210"/>
      <c r="G328" s="210"/>
      <c r="H328" s="210"/>
      <c r="I328" s="210"/>
    </row>
    <row r="329" spans="1:9" ht="20.100000000000001" customHeight="1" x14ac:dyDescent="0.2">
      <c r="A329" s="23">
        <v>4</v>
      </c>
      <c r="B329" s="14" t="s">
        <v>233</v>
      </c>
      <c r="C329" s="210"/>
      <c r="D329" s="210"/>
      <c r="E329" s="210"/>
      <c r="F329" s="210"/>
      <c r="G329" s="210"/>
      <c r="H329" s="210"/>
      <c r="I329" s="210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40.922437739463604</v>
      </c>
      <c r="H330" s="26">
        <f>data!BZ60</f>
        <v>28.890215517241376</v>
      </c>
      <c r="I330" s="26">
        <f>data!CA60</f>
        <v>10.39432950191571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3788900.25</v>
      </c>
      <c r="H331" s="86">
        <f>data!BZ61</f>
        <v>2258056.37</v>
      </c>
      <c r="I331" s="86">
        <f>data!CA61</f>
        <v>1030414.31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214</v>
      </c>
      <c r="F332" s="86">
        <f>data!BX62</f>
        <v>0</v>
      </c>
      <c r="G332" s="86">
        <f>data!BY62</f>
        <v>983396</v>
      </c>
      <c r="H332" s="86">
        <f>data!BZ62</f>
        <v>639648</v>
      </c>
      <c r="I332" s="86">
        <f>data!CA62</f>
        <v>267473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23695.160000000003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1846.47</v>
      </c>
      <c r="E334" s="86">
        <f>data!BW64</f>
        <v>0</v>
      </c>
      <c r="F334" s="86">
        <f>data!BX64</f>
        <v>0</v>
      </c>
      <c r="G334" s="86">
        <f>data!BY64</f>
        <v>17518.330000000002</v>
      </c>
      <c r="H334" s="86">
        <f>data!BZ64</f>
        <v>24229.18</v>
      </c>
      <c r="I334" s="86">
        <f>data!CA64</f>
        <v>21809.97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2515.9400000000005</v>
      </c>
      <c r="H335" s="86">
        <f>data!BZ65</f>
        <v>41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5151917.5093459487</v>
      </c>
      <c r="E336" s="86">
        <f>data!BW66</f>
        <v>242626.12380825001</v>
      </c>
      <c r="F336" s="86">
        <f>data!BX66</f>
        <v>4797647.6230057497</v>
      </c>
      <c r="G336" s="86">
        <f>data!BY66</f>
        <v>1433728.46</v>
      </c>
      <c r="H336" s="86">
        <f>data!BZ66</f>
        <v>9265</v>
      </c>
      <c r="I336" s="86">
        <f>data!CA66</f>
        <v>130636.28000000001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113414</v>
      </c>
      <c r="D337" s="86">
        <f>data!BV67</f>
        <v>358293</v>
      </c>
      <c r="E337" s="86">
        <f>data!BW67</f>
        <v>0</v>
      </c>
      <c r="F337" s="86">
        <f>data!BX67</f>
        <v>0</v>
      </c>
      <c r="G337" s="86">
        <f>data!BY67</f>
        <v>268413</v>
      </c>
      <c r="H337" s="86">
        <f>data!BZ67</f>
        <v>9157</v>
      </c>
      <c r="I337" s="86">
        <f>data!CA67</f>
        <v>82138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11330.820000000002</v>
      </c>
      <c r="E338" s="86">
        <f>data!BW68</f>
        <v>0</v>
      </c>
      <c r="F338" s="86">
        <f>data!BX68</f>
        <v>0</v>
      </c>
      <c r="G338" s="86">
        <f>data!BY68</f>
        <v>36652.35</v>
      </c>
      <c r="H338" s="86">
        <f>data!BZ68</f>
        <v>0</v>
      </c>
      <c r="I338" s="86">
        <f>data!CA68</f>
        <v>43155.679999999993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71450.970000000016</v>
      </c>
      <c r="H339" s="86">
        <f>data!BZ69</f>
        <v>1631.16</v>
      </c>
      <c r="I339" s="86">
        <f>data!CA69</f>
        <v>16067.099999999999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-2791.59</v>
      </c>
      <c r="E340" s="14">
        <f>-data!BW70</f>
        <v>-386391.15</v>
      </c>
      <c r="F340" s="14">
        <f>-data!BX70</f>
        <v>0</v>
      </c>
      <c r="G340" s="14">
        <f>-data!BY70</f>
        <v>-352490.05</v>
      </c>
      <c r="H340" s="14">
        <f>-data!BZ70</f>
        <v>0</v>
      </c>
      <c r="I340" s="14">
        <f>-data!CA70</f>
        <v>-35.000000000000007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113414</v>
      </c>
      <c r="D341" s="14">
        <f>data!BV71</f>
        <v>5520596.2093459489</v>
      </c>
      <c r="E341" s="14">
        <f>data!BW71</f>
        <v>-119855.86619175004</v>
      </c>
      <c r="F341" s="14">
        <f>data!BX71</f>
        <v>4797647.6230057497</v>
      </c>
      <c r="G341" s="14">
        <f>data!BY71</f>
        <v>6250085.25</v>
      </c>
      <c r="H341" s="14">
        <f>data!BZ71</f>
        <v>2942027.7100000004</v>
      </c>
      <c r="I341" s="14">
        <f>data!CA71</f>
        <v>1591659.34</v>
      </c>
    </row>
    <row r="342" spans="1:9" ht="20.100000000000001" customHeight="1" x14ac:dyDescent="0.2">
      <c r="A342" s="23">
        <v>17</v>
      </c>
      <c r="B342" s="14" t="s">
        <v>244</v>
      </c>
      <c r="C342" s="209"/>
      <c r="D342" s="209"/>
      <c r="E342" s="209"/>
      <c r="F342" s="209"/>
      <c r="G342" s="209"/>
      <c r="H342" s="209"/>
      <c r="I342" s="209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1" t="str">
        <f>IF(data!BU73&gt;0,data!BU73,"")</f>
        <v>x</v>
      </c>
      <c r="D344" s="211" t="str">
        <f>IF(data!BV73&gt;0,data!BV73,"")</f>
        <v>x</v>
      </c>
      <c r="E344" s="211" t="str">
        <f>IF(data!BW73&gt;0,data!BW73,"")</f>
        <v>x</v>
      </c>
      <c r="F344" s="211" t="str">
        <f>IF(data!BX73&gt;0,data!BX73,"")</f>
        <v>x</v>
      </c>
      <c r="G344" s="211" t="str">
        <f>IF(data!BY73&gt;0,data!BY73,"")</f>
        <v>x</v>
      </c>
      <c r="H344" s="211" t="str">
        <f>IF(data!BZ73&gt;0,data!BZ73,"")</f>
        <v>x</v>
      </c>
      <c r="I344" s="211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1" t="str">
        <f>IF(data!BU74&gt;0,data!BU74,"")</f>
        <v>x</v>
      </c>
      <c r="D345" s="211" t="str">
        <f>IF(data!BV74&gt;0,data!BV74,"")</f>
        <v>x</v>
      </c>
      <c r="E345" s="211" t="str">
        <f>IF(data!BW74&gt;0,data!BW74,"")</f>
        <v>x</v>
      </c>
      <c r="F345" s="211" t="str">
        <f>IF(data!BX74&gt;0,data!BX74,"")</f>
        <v>x</v>
      </c>
      <c r="G345" s="211" t="str">
        <f>IF(data!BY74&gt;0,data!BY74,"")</f>
        <v>x</v>
      </c>
      <c r="H345" s="211" t="str">
        <f>IF(data!BZ74&gt;0,data!BZ74,"")</f>
        <v>x</v>
      </c>
      <c r="I345" s="211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1" t="str">
        <f>IF(data!BU75&gt;0,data!BU75,"")</f>
        <v>x</v>
      </c>
      <c r="D346" s="211" t="str">
        <f>IF(data!BV75&gt;0,data!BV75,"")</f>
        <v>x</v>
      </c>
      <c r="E346" s="211" t="str">
        <f>IF(data!BW75&gt;0,data!BW75,"")</f>
        <v>x</v>
      </c>
      <c r="F346" s="211" t="str">
        <f>IF(data!BX75&gt;0,data!BX75,"")</f>
        <v>x</v>
      </c>
      <c r="G346" s="211" t="str">
        <f>IF(data!BY75&gt;0,data!BY75,"")</f>
        <v>x</v>
      </c>
      <c r="H346" s="211" t="str">
        <f>IF(data!BZ75&gt;0,data!BZ75,"")</f>
        <v>x</v>
      </c>
      <c r="I346" s="211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09"/>
      <c r="D347" s="209"/>
      <c r="E347" s="209"/>
      <c r="F347" s="209"/>
      <c r="G347" s="209"/>
      <c r="H347" s="209"/>
      <c r="I347" s="209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2688</v>
      </c>
      <c r="D348" s="85">
        <f>data!BV76</f>
        <v>7535</v>
      </c>
      <c r="E348" s="85">
        <f>data!BW76</f>
        <v>0</v>
      </c>
      <c r="F348" s="85">
        <f>data!BX76</f>
        <v>0</v>
      </c>
      <c r="G348" s="85">
        <f>data!BY76</f>
        <v>2637</v>
      </c>
      <c r="H348" s="85">
        <f>data!BZ76</f>
        <v>0</v>
      </c>
      <c r="I348" s="85">
        <f>data!CA76</f>
        <v>1853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773.43060937313669</v>
      </c>
      <c r="D350" s="85">
        <f>data!BV78</f>
        <v>2168.0802238194137</v>
      </c>
      <c r="E350" s="85">
        <f>data!BW78</f>
        <v>0</v>
      </c>
      <c r="F350" s="85">
        <f>data!BX78</f>
        <v>0</v>
      </c>
      <c r="G350" s="85">
        <f>data!BY78</f>
        <v>758.75614468636945</v>
      </c>
      <c r="H350" s="85">
        <f>data!BZ78</f>
        <v>0</v>
      </c>
      <c r="I350" s="85">
        <f>data!CA78</f>
        <v>533.17221695253795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4" t="str">
        <f>IF(data!BU80&gt;0,data!BU80,"")</f>
        <v/>
      </c>
      <c r="D352" s="214" t="str">
        <f>IF(data!BV80&gt;0,data!BV80,"")</f>
        <v/>
      </c>
      <c r="E352" s="214" t="str">
        <f>IF(data!BW80&gt;0,data!BW80,"")</f>
        <v/>
      </c>
      <c r="F352" s="214" t="str">
        <f>IF(data!BX80&gt;0,data!BX80,"")</f>
        <v/>
      </c>
      <c r="G352" s="214" t="str">
        <f>IF(data!BY80&gt;0,data!BY80,"")</f>
        <v/>
      </c>
      <c r="H352" s="214" t="str">
        <f>IF(data!BZ80&gt;0,data!BZ80,"")</f>
        <v/>
      </c>
      <c r="I352" s="214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St Michael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0"/>
      <c r="D360" s="210"/>
      <c r="E360" s="210"/>
      <c r="F360" s="210"/>
      <c r="G360" s="210"/>
      <c r="H360" s="210"/>
      <c r="I360" s="210"/>
    </row>
    <row r="361" spans="1:9" ht="20.100000000000001" customHeight="1" x14ac:dyDescent="0.2">
      <c r="A361" s="23">
        <v>4</v>
      </c>
      <c r="B361" s="14" t="s">
        <v>233</v>
      </c>
      <c r="C361" s="210"/>
      <c r="D361" s="210"/>
      <c r="E361" s="210"/>
      <c r="F361" s="210"/>
      <c r="G361" s="210"/>
      <c r="H361" s="210"/>
      <c r="I361" s="210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5"/>
      <c r="F362" s="209"/>
      <c r="G362" s="209"/>
      <c r="H362" s="209"/>
      <c r="I362" s="87">
        <f>data!CE60</f>
        <v>2060.7667573716481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2476682</v>
      </c>
      <c r="E363" s="216"/>
      <c r="F363" s="217"/>
      <c r="G363" s="217"/>
      <c r="H363" s="217"/>
      <c r="I363" s="86">
        <f>data!CE61</f>
        <v>208185541.71999997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6"/>
      <c r="F364" s="217"/>
      <c r="G364" s="217"/>
      <c r="H364" s="217"/>
      <c r="I364" s="86">
        <f>data!CE62</f>
        <v>47694271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6"/>
      <c r="F365" s="217"/>
      <c r="G365" s="217"/>
      <c r="H365" s="217"/>
      <c r="I365" s="86">
        <f>data!CE63</f>
        <v>46408849.639999993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-35573.649999999965</v>
      </c>
      <c r="E366" s="216"/>
      <c r="F366" s="217"/>
      <c r="G366" s="217"/>
      <c r="H366" s="217"/>
      <c r="I366" s="86">
        <f>data!CE64</f>
        <v>108551313.39000002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12652.24</v>
      </c>
      <c r="E367" s="216"/>
      <c r="F367" s="217"/>
      <c r="G367" s="217"/>
      <c r="H367" s="217"/>
      <c r="I367" s="86">
        <f>data!CE65</f>
        <v>4387848.1300000008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60090231.533662751</v>
      </c>
      <c r="E368" s="216"/>
      <c r="F368" s="217"/>
      <c r="G368" s="217"/>
      <c r="H368" s="217"/>
      <c r="I368" s="86">
        <f>data!CE66</f>
        <v>159355617.95197171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91683</v>
      </c>
      <c r="E369" s="216"/>
      <c r="F369" s="217"/>
      <c r="G369" s="217"/>
      <c r="H369" s="217"/>
      <c r="I369" s="86">
        <f>data!CE67</f>
        <v>38189878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605646.14999999991</v>
      </c>
      <c r="E370" s="216"/>
      <c r="F370" s="217"/>
      <c r="G370" s="217"/>
      <c r="H370" s="217"/>
      <c r="I370" s="86">
        <f>data!CE68</f>
        <v>15174691.560000004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372.78</v>
      </c>
      <c r="E371" s="86">
        <f>data!CD69</f>
        <v>9920625.6799999997</v>
      </c>
      <c r="F371" s="217"/>
      <c r="G371" s="217"/>
      <c r="H371" s="217"/>
      <c r="I371" s="86">
        <f>data!CE69</f>
        <v>15044267.289999999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-74975</v>
      </c>
      <c r="E372" s="224">
        <f>data!CD70</f>
        <v>11946085.300000001</v>
      </c>
      <c r="F372" s="218"/>
      <c r="G372" s="218"/>
      <c r="H372" s="218"/>
      <c r="I372" s="14">
        <f>-data!CE70</f>
        <v>-20878427.560000002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63166719.053662755</v>
      </c>
      <c r="E373" s="86">
        <f>data!CD71</f>
        <v>-2025459.620000001</v>
      </c>
      <c r="F373" s="217"/>
      <c r="G373" s="217"/>
      <c r="H373" s="217"/>
      <c r="I373" s="14">
        <f>data!CE71</f>
        <v>622113851.12197161</v>
      </c>
    </row>
    <row r="374" spans="1:9" ht="20.100000000000001" customHeight="1" x14ac:dyDescent="0.2">
      <c r="A374" s="23">
        <v>17</v>
      </c>
      <c r="B374" s="14" t="s">
        <v>244</v>
      </c>
      <c r="C374" s="217"/>
      <c r="D374" s="217"/>
      <c r="E374" s="217"/>
      <c r="F374" s="217"/>
      <c r="G374" s="217"/>
      <c r="H374" s="217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1" t="str">
        <f>IF(data!CB73&gt;0,data!CB73,"")</f>
        <v>x</v>
      </c>
      <c r="D376" s="211" t="str">
        <f>IF(data!CC73&gt;0,data!CC73,"")</f>
        <v>x</v>
      </c>
      <c r="E376" s="212"/>
      <c r="F376" s="209"/>
      <c r="G376" s="209"/>
      <c r="H376" s="209"/>
      <c r="I376" s="85">
        <f>data!CE73</f>
        <v>1102193583.29</v>
      </c>
    </row>
    <row r="377" spans="1:9" ht="20.100000000000001" customHeight="1" x14ac:dyDescent="0.2">
      <c r="A377" s="23">
        <v>20</v>
      </c>
      <c r="B377" s="48" t="s">
        <v>1183</v>
      </c>
      <c r="C377" s="211" t="str">
        <f>IF(data!CB74&gt;0,data!CB74,"")</f>
        <v>x</v>
      </c>
      <c r="D377" s="211" t="str">
        <f>IF(data!CC74&gt;0,data!CC74,"")</f>
        <v>x</v>
      </c>
      <c r="E377" s="212"/>
      <c r="F377" s="209"/>
      <c r="G377" s="209"/>
      <c r="H377" s="209"/>
      <c r="I377" s="85">
        <f>data!CE74</f>
        <v>1702368690.0400004</v>
      </c>
    </row>
    <row r="378" spans="1:9" ht="20.100000000000001" customHeight="1" x14ac:dyDescent="0.2">
      <c r="A378" s="23">
        <v>21</v>
      </c>
      <c r="B378" s="48" t="s">
        <v>1184</v>
      </c>
      <c r="C378" s="211" t="str">
        <f>IF(data!CB75&gt;0,data!CB75,"")</f>
        <v>x</v>
      </c>
      <c r="D378" s="211" t="str">
        <f>IF(data!CC75&gt;0,data!CC75,"")</f>
        <v>x</v>
      </c>
      <c r="E378" s="212"/>
      <c r="F378" s="209"/>
      <c r="G378" s="209"/>
      <c r="H378" s="209"/>
      <c r="I378" s="85">
        <f>data!CE75</f>
        <v>2804562273.3299999</v>
      </c>
    </row>
    <row r="379" spans="1:9" ht="20.100000000000001" customHeight="1" x14ac:dyDescent="0.2">
      <c r="A379" s="23" t="s">
        <v>1185</v>
      </c>
      <c r="B379" s="60"/>
      <c r="C379" s="209"/>
      <c r="D379" s="209"/>
      <c r="E379" s="209"/>
      <c r="F379" s="209"/>
      <c r="G379" s="209"/>
      <c r="H379" s="209"/>
      <c r="I379" s="209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2"/>
      <c r="F380" s="209"/>
      <c r="G380" s="209"/>
      <c r="H380" s="209"/>
      <c r="I380" s="14">
        <f>data!CE76</f>
        <v>577281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1" t="str">
        <f>IF(data!CC77&gt;0,data!CC77,"")</f>
        <v>x</v>
      </c>
      <c r="E381" s="212"/>
      <c r="F381" s="209"/>
      <c r="G381" s="209"/>
      <c r="H381" s="209"/>
      <c r="I381" s="14">
        <f>data!CE77</f>
        <v>200502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1" t="str">
        <f>IF(data!CC78&gt;0,data!CC78,"")</f>
        <v>x</v>
      </c>
      <c r="E382" s="212"/>
      <c r="F382" s="209"/>
      <c r="G382" s="209"/>
      <c r="H382" s="209"/>
      <c r="I382" s="14">
        <f>data!CE78</f>
        <v>115817.07925410918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1" t="str">
        <f>IF(data!CC79&gt;0,data!CC79,"")</f>
        <v>x</v>
      </c>
      <c r="E383" s="212"/>
      <c r="F383" s="209"/>
      <c r="G383" s="209"/>
      <c r="H383" s="209"/>
      <c r="I383" s="14">
        <f>data!CE79</f>
        <v>1729339</v>
      </c>
    </row>
    <row r="384" spans="1:9" ht="20.100000000000001" customHeight="1" x14ac:dyDescent="0.2">
      <c r="A384" s="23">
        <v>26</v>
      </c>
      <c r="B384" s="14" t="s">
        <v>252</v>
      </c>
      <c r="C384" s="211" t="str">
        <f>IF(data!CB80&gt;0,data!CB80,"")</f>
        <v/>
      </c>
      <c r="D384" s="211" t="str">
        <f>IF(data!CC80&gt;0,data!CC80,"")</f>
        <v>x</v>
      </c>
      <c r="E384" s="215"/>
      <c r="F384" s="209"/>
      <c r="G384" s="209"/>
      <c r="H384" s="209"/>
      <c r="I384" s="84">
        <f>data!CE80</f>
        <v>534.85862868405536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02" transitionEvaluation="1" transitionEntry="1" codeName="Sheet10">
    <pageSetUpPr autoPageBreaks="0" fitToPage="1"/>
  </sheetPr>
  <dimension ref="A1:CF817"/>
  <sheetViews>
    <sheetView showGridLines="0" topLeftCell="A102" zoomScale="75" workbookViewId="0">
      <selection activeCell="C128" sqref="C128:C129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28" t="s">
        <v>1232</v>
      </c>
      <c r="B1" s="229"/>
      <c r="C1" s="229"/>
      <c r="D1" s="229"/>
      <c r="E1" s="229"/>
      <c r="F1" s="229"/>
    </row>
    <row r="2" spans="1:6" ht="12.75" customHeight="1" x14ac:dyDescent="0.2">
      <c r="A2" s="229" t="s">
        <v>1233</v>
      </c>
      <c r="B2" s="229"/>
      <c r="C2" s="230"/>
      <c r="D2" s="229"/>
      <c r="E2" s="229"/>
      <c r="F2" s="229"/>
    </row>
    <row r="3" spans="1:6" ht="12.75" customHeight="1" x14ac:dyDescent="0.2">
      <c r="A3" s="197"/>
      <c r="C3" s="231"/>
    </row>
    <row r="4" spans="1:6" ht="12.75" customHeight="1" x14ac:dyDescent="0.2">
      <c r="C4" s="231"/>
    </row>
    <row r="5" spans="1:6" ht="12.75" customHeight="1" x14ac:dyDescent="0.2">
      <c r="A5" s="197" t="s">
        <v>1258</v>
      </c>
      <c r="C5" s="231"/>
    </row>
    <row r="6" spans="1:6" ht="12.75" customHeight="1" x14ac:dyDescent="0.2">
      <c r="A6" s="197" t="s">
        <v>0</v>
      </c>
      <c r="C6" s="231"/>
    </row>
    <row r="7" spans="1:6" ht="12.75" customHeight="1" x14ac:dyDescent="0.2">
      <c r="A7" s="197" t="s">
        <v>1</v>
      </c>
      <c r="C7" s="231"/>
    </row>
    <row r="8" spans="1:6" ht="12.75" customHeight="1" x14ac:dyDescent="0.2">
      <c r="C8" s="231"/>
    </row>
    <row r="9" spans="1:6" ht="12.75" customHeight="1" x14ac:dyDescent="0.2">
      <c r="C9" s="231"/>
    </row>
    <row r="10" spans="1:6" ht="12.75" customHeight="1" x14ac:dyDescent="0.2">
      <c r="A10" s="196" t="s">
        <v>1228</v>
      </c>
      <c r="C10" s="231"/>
    </row>
    <row r="11" spans="1:6" ht="12.75" customHeight="1" x14ac:dyDescent="0.2">
      <c r="A11" s="196" t="s">
        <v>1231</v>
      </c>
      <c r="C11" s="231"/>
    </row>
    <row r="12" spans="1:6" ht="12.75" customHeight="1" x14ac:dyDescent="0.2">
      <c r="C12" s="231"/>
    </row>
    <row r="13" spans="1:6" ht="12.75" customHeight="1" x14ac:dyDescent="0.2">
      <c r="C13" s="231"/>
    </row>
    <row r="14" spans="1:6" ht="12.75" customHeight="1" x14ac:dyDescent="0.2">
      <c r="A14" s="197" t="s">
        <v>2</v>
      </c>
      <c r="C14" s="231"/>
    </row>
    <row r="15" spans="1:6" ht="12.75" customHeight="1" x14ac:dyDescent="0.2">
      <c r="A15" s="197"/>
      <c r="C15" s="231"/>
    </row>
    <row r="16" spans="1:6" ht="12.75" customHeight="1" x14ac:dyDescent="0.2">
      <c r="A16" s="180" t="s">
        <v>1260</v>
      </c>
      <c r="C16" s="231"/>
      <c r="F16" s="277" t="s">
        <v>1259</v>
      </c>
    </row>
    <row r="17" spans="1:6" ht="12.75" customHeight="1" x14ac:dyDescent="0.2">
      <c r="A17" s="180" t="s">
        <v>1230</v>
      </c>
      <c r="C17" s="277" t="s">
        <v>1259</v>
      </c>
    </row>
    <row r="18" spans="1:6" ht="12.75" customHeight="1" x14ac:dyDescent="0.2">
      <c r="A18" s="223"/>
      <c r="C18" s="231"/>
    </row>
    <row r="19" spans="1:6" ht="12.75" customHeight="1" x14ac:dyDescent="0.2">
      <c r="C19" s="231"/>
    </row>
    <row r="20" spans="1:6" ht="12.75" customHeight="1" x14ac:dyDescent="0.2">
      <c r="A20" s="267" t="s">
        <v>1234</v>
      </c>
      <c r="B20" s="267"/>
      <c r="C20" s="278"/>
      <c r="D20" s="267"/>
      <c r="E20" s="267"/>
      <c r="F20" s="267"/>
    </row>
    <row r="21" spans="1:6" ht="22.5" customHeight="1" x14ac:dyDescent="0.2">
      <c r="A21" s="197"/>
      <c r="C21" s="231"/>
    </row>
    <row r="22" spans="1:6" ht="12.6" customHeight="1" x14ac:dyDescent="0.2">
      <c r="A22" s="232" t="s">
        <v>1254</v>
      </c>
      <c r="B22" s="233"/>
      <c r="C22" s="234"/>
      <c r="D22" s="232"/>
      <c r="E22" s="232"/>
    </row>
    <row r="23" spans="1:6" ht="12.6" customHeight="1" x14ac:dyDescent="0.2">
      <c r="B23" s="197"/>
      <c r="C23" s="231"/>
    </row>
    <row r="24" spans="1:6" ht="12.6" customHeight="1" x14ac:dyDescent="0.2">
      <c r="A24" s="235" t="s">
        <v>3</v>
      </c>
      <c r="C24" s="231"/>
    </row>
    <row r="25" spans="1:6" ht="12.6" customHeight="1" x14ac:dyDescent="0.2">
      <c r="A25" s="196" t="s">
        <v>1235</v>
      </c>
      <c r="C25" s="231"/>
    </row>
    <row r="26" spans="1:6" ht="12.6" customHeight="1" x14ac:dyDescent="0.2">
      <c r="A26" s="197" t="s">
        <v>4</v>
      </c>
      <c r="C26" s="231"/>
    </row>
    <row r="27" spans="1:6" ht="12.6" customHeight="1" x14ac:dyDescent="0.2">
      <c r="A27" s="196" t="s">
        <v>1236</v>
      </c>
      <c r="C27" s="231"/>
    </row>
    <row r="28" spans="1:6" ht="12.6" customHeight="1" x14ac:dyDescent="0.2">
      <c r="A28" s="197" t="s">
        <v>5</v>
      </c>
      <c r="C28" s="231"/>
    </row>
    <row r="29" spans="1:6" ht="12.6" customHeight="1" x14ac:dyDescent="0.2">
      <c r="A29" s="196"/>
      <c r="C29" s="231"/>
    </row>
    <row r="30" spans="1:6" ht="12.6" customHeight="1" x14ac:dyDescent="0.2">
      <c r="A30" s="180" t="s">
        <v>6</v>
      </c>
      <c r="C30" s="231"/>
    </row>
    <row r="31" spans="1:6" ht="12.6" customHeight="1" x14ac:dyDescent="0.2">
      <c r="A31" s="197" t="s">
        <v>7</v>
      </c>
      <c r="C31" s="231"/>
    </row>
    <row r="32" spans="1:6" ht="12.6" customHeight="1" x14ac:dyDescent="0.2">
      <c r="A32" s="197" t="s">
        <v>8</v>
      </c>
      <c r="C32" s="231"/>
    </row>
    <row r="33" spans="1:83" ht="12.6" customHeight="1" x14ac:dyDescent="0.2">
      <c r="A33" s="196" t="s">
        <v>1237</v>
      </c>
      <c r="C33" s="231"/>
    </row>
    <row r="34" spans="1:83" ht="12.6" customHeight="1" x14ac:dyDescent="0.2">
      <c r="A34" s="197" t="s">
        <v>9</v>
      </c>
      <c r="C34" s="231"/>
    </row>
    <row r="35" spans="1:83" ht="12.6" customHeight="1" x14ac:dyDescent="0.2">
      <c r="A35" s="197"/>
      <c r="C35" s="231"/>
    </row>
    <row r="36" spans="1:83" ht="12.6" customHeight="1" x14ac:dyDescent="0.2">
      <c r="A36" s="196" t="s">
        <v>1238</v>
      </c>
      <c r="C36" s="231"/>
    </row>
    <row r="37" spans="1:83" ht="12.6" customHeight="1" x14ac:dyDescent="0.2">
      <c r="A37" s="197" t="s">
        <v>1229</v>
      </c>
      <c r="C37" s="231"/>
    </row>
    <row r="38" spans="1:83" ht="12" customHeight="1" x14ac:dyDescent="0.2">
      <c r="A38" s="196"/>
      <c r="C38" s="231"/>
    </row>
    <row r="39" spans="1:83" ht="12.6" customHeight="1" x14ac:dyDescent="0.2">
      <c r="A39" s="197"/>
      <c r="C39" s="231"/>
    </row>
    <row r="40" spans="1:83" ht="12" customHeight="1" x14ac:dyDescent="0.2">
      <c r="A40" s="197"/>
      <c r="C40" s="231"/>
    </row>
    <row r="41" spans="1:83" ht="12" customHeight="1" x14ac:dyDescent="0.2">
      <c r="A41" s="197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2">
      <c r="A42" s="197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2">
      <c r="A43" s="197"/>
      <c r="C43" s="231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f>41617708.54</f>
        <v>41617708.539999999</v>
      </c>
      <c r="C47" s="184">
        <v>1174128.2500000002</v>
      </c>
      <c r="D47" s="184">
        <v>0</v>
      </c>
      <c r="E47" s="184">
        <v>7381305.6399999997</v>
      </c>
      <c r="F47" s="184">
        <v>0</v>
      </c>
      <c r="G47" s="184">
        <v>0</v>
      </c>
      <c r="H47" s="184">
        <v>0</v>
      </c>
      <c r="I47" s="184">
        <v>0</v>
      </c>
      <c r="J47" s="184">
        <v>1563156.69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2079245.48</v>
      </c>
      <c r="Q47" s="184">
        <v>1006385.99</v>
      </c>
      <c r="R47" s="184">
        <v>78282.000000000015</v>
      </c>
      <c r="S47" s="184">
        <v>629059.80999999994</v>
      </c>
      <c r="T47" s="184">
        <v>0</v>
      </c>
      <c r="U47" s="184">
        <v>1071197.95</v>
      </c>
      <c r="V47" s="184">
        <v>109677.36999999998</v>
      </c>
      <c r="W47" s="184">
        <v>108676.5</v>
      </c>
      <c r="X47" s="184">
        <v>0</v>
      </c>
      <c r="Y47" s="184">
        <v>2995965.01</v>
      </c>
      <c r="Z47" s="184">
        <v>419423.05999999994</v>
      </c>
      <c r="AA47" s="184">
        <v>65481.46</v>
      </c>
      <c r="AB47" s="184">
        <v>1036305.4700000001</v>
      </c>
      <c r="AC47" s="184">
        <v>1182423.32</v>
      </c>
      <c r="AD47" s="184">
        <v>0</v>
      </c>
      <c r="AE47" s="184">
        <v>740504.33</v>
      </c>
      <c r="AF47" s="184">
        <v>0</v>
      </c>
      <c r="AG47" s="184">
        <v>2360956.3199999998</v>
      </c>
      <c r="AH47" s="184">
        <v>0</v>
      </c>
      <c r="AI47" s="184">
        <v>0</v>
      </c>
      <c r="AJ47" s="184">
        <v>10055081.51</v>
      </c>
      <c r="AK47" s="184">
        <v>202552.59</v>
      </c>
      <c r="AL47" s="184">
        <v>103033.66</v>
      </c>
      <c r="AM47" s="184">
        <v>0</v>
      </c>
      <c r="AN47" s="184">
        <v>0</v>
      </c>
      <c r="AO47" s="184">
        <v>0</v>
      </c>
      <c r="AP47" s="184">
        <v>1836035.73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32107.87999999999</v>
      </c>
      <c r="AW47" s="184">
        <v>247744.16999999998</v>
      </c>
      <c r="AX47" s="184">
        <v>0</v>
      </c>
      <c r="AY47" s="184">
        <v>1228138.27</v>
      </c>
      <c r="AZ47" s="184">
        <v>0</v>
      </c>
      <c r="BA47" s="184">
        <v>45160.17</v>
      </c>
      <c r="BB47" s="184">
        <v>0</v>
      </c>
      <c r="BC47" s="184">
        <v>247912.95999999999</v>
      </c>
      <c r="BD47" s="184">
        <v>0</v>
      </c>
      <c r="BE47" s="184">
        <v>335644.81</v>
      </c>
      <c r="BF47" s="184">
        <v>1181276.9900000002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3.01</v>
      </c>
      <c r="BM47" s="184">
        <v>0</v>
      </c>
      <c r="BN47" s="184">
        <v>1170587.4099999999</v>
      </c>
      <c r="BO47" s="184">
        <v>0</v>
      </c>
      <c r="BP47" s="184">
        <v>0</v>
      </c>
      <c r="BQ47" s="184">
        <v>0</v>
      </c>
      <c r="BR47" s="184">
        <v>50.960000000144987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693822.04</v>
      </c>
      <c r="BZ47" s="184">
        <v>0</v>
      </c>
      <c r="CA47" s="184">
        <v>236385.43</v>
      </c>
      <c r="CB47" s="184">
        <v>0</v>
      </c>
      <c r="CC47" s="184">
        <v>0</v>
      </c>
      <c r="CD47" s="193"/>
      <c r="CE47" s="193">
        <f>SUM(C47:CC47)</f>
        <v>41617712.240000002</v>
      </c>
    </row>
    <row r="48" spans="1:83" ht="12.6" customHeight="1" x14ac:dyDescent="0.2">
      <c r="A48" s="175" t="s">
        <v>205</v>
      </c>
      <c r="B48" s="183">
        <f>1947</f>
        <v>1947</v>
      </c>
      <c r="C48" s="240">
        <f>ROUND(((B48/CE61)*C61),0)</f>
        <v>58</v>
      </c>
      <c r="D48" s="240">
        <f>ROUND(((B48/CE61)*D61),0)</f>
        <v>0</v>
      </c>
      <c r="E48" s="193">
        <f>ROUND(((B48/CE61)*E61),0)</f>
        <v>331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75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99</v>
      </c>
      <c r="Q48" s="193">
        <f>ROUND(((B48/CE61)*Q61),0)</f>
        <v>46</v>
      </c>
      <c r="R48" s="193">
        <f>ROUND(((B48/CE61)*R61),0)</f>
        <v>3</v>
      </c>
      <c r="S48" s="193">
        <f>ROUND(((B48/CE61)*S61),0)</f>
        <v>21</v>
      </c>
      <c r="T48" s="193">
        <f>ROUND(((B48/CE61)*T61),0)</f>
        <v>0</v>
      </c>
      <c r="U48" s="193">
        <f>ROUND(((B48/CE61)*U61),0)</f>
        <v>46</v>
      </c>
      <c r="V48" s="193">
        <f>ROUND(((B48/CE61)*V61),0)</f>
        <v>5</v>
      </c>
      <c r="W48" s="193">
        <f>ROUND(((B48/CE61)*W61),0)</f>
        <v>5</v>
      </c>
      <c r="X48" s="193">
        <f>ROUND(((B48/CE61)*X61),0)</f>
        <v>0</v>
      </c>
      <c r="Y48" s="193">
        <f>ROUND(((B48/CE61)*Y61),0)</f>
        <v>126</v>
      </c>
      <c r="Z48" s="193">
        <f>ROUND(((B48/CE61)*Z61),0)</f>
        <v>19</v>
      </c>
      <c r="AA48" s="193">
        <f>ROUND(((B48/CE61)*AA61),0)</f>
        <v>3</v>
      </c>
      <c r="AB48" s="193">
        <f>ROUND(((B48/CE61)*AB61),0)</f>
        <v>50</v>
      </c>
      <c r="AC48" s="193">
        <f>ROUND(((B48/CE61)*AC61),0)</f>
        <v>48</v>
      </c>
      <c r="AD48" s="193">
        <f>ROUND(((B48/CE61)*AD61),0)</f>
        <v>0</v>
      </c>
      <c r="AE48" s="193">
        <f>ROUND(((B48/CE61)*AE61),0)</f>
        <v>30</v>
      </c>
      <c r="AF48" s="193">
        <f>ROUND(((B48/CE61)*AF61),0)</f>
        <v>0</v>
      </c>
      <c r="AG48" s="193">
        <f>ROUND(((B48/CE61)*AG61),0)</f>
        <v>118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582</v>
      </c>
      <c r="AK48" s="193">
        <f>ROUND(((B48/CE61)*AK61),0)</f>
        <v>9</v>
      </c>
      <c r="AL48" s="193">
        <f>ROUND(((B48/CE61)*AL61),0)</f>
        <v>5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69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2</v>
      </c>
      <c r="AW48" s="193">
        <f>ROUND(((B48/CE61)*AW61),0)</f>
        <v>9</v>
      </c>
      <c r="AX48" s="193">
        <f>ROUND(((B48/CE61)*AX61),0)</f>
        <v>0</v>
      </c>
      <c r="AY48" s="193">
        <f>ROUND(((B48/CE61)*AY61),0)</f>
        <v>33</v>
      </c>
      <c r="AZ48" s="193">
        <f>ROUND(((B48/CE61)*AZ61),0)</f>
        <v>0</v>
      </c>
      <c r="BA48" s="193">
        <f>ROUND(((B48/CE61)*BA61),0)</f>
        <v>1</v>
      </c>
      <c r="BB48" s="193">
        <f>ROUND(((B48/CE61)*BB61),0)</f>
        <v>0</v>
      </c>
      <c r="BC48" s="193">
        <f>ROUND(((B48/CE61)*BC61),0)</f>
        <v>6</v>
      </c>
      <c r="BD48" s="193">
        <f>ROUND(((B48/CE61)*BD61),0)</f>
        <v>0</v>
      </c>
      <c r="BE48" s="193">
        <f>ROUND(((B48/CE61)*BE61),0)</f>
        <v>12</v>
      </c>
      <c r="BF48" s="193">
        <f>ROUND(((B48/CE61)*BF61),0)</f>
        <v>31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59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31</v>
      </c>
      <c r="BZ48" s="193">
        <f>ROUND(((B48/CE61)*BZ61),0)</f>
        <v>0</v>
      </c>
      <c r="CA48" s="193">
        <f>ROUND(((B48/CE61)*CA61),0)</f>
        <v>10</v>
      </c>
      <c r="CB48" s="193">
        <f>ROUND(((B48/CE61)*CB61),0)</f>
        <v>0</v>
      </c>
      <c r="CC48" s="193">
        <f>ROUND(((B48/CE61)*CC61),0)</f>
        <v>3</v>
      </c>
      <c r="CD48" s="193"/>
      <c r="CE48" s="193">
        <f>SUM(C48:CD48)</f>
        <v>1945</v>
      </c>
    </row>
    <row r="49" spans="1:84" ht="12.6" customHeight="1" x14ac:dyDescent="0.2">
      <c r="A49" s="175" t="s">
        <v>206</v>
      </c>
      <c r="B49" s="193">
        <f>B47+B48</f>
        <v>41619655.539999999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 x14ac:dyDescent="0.2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 x14ac:dyDescent="0.2">
      <c r="A51" s="171" t="s">
        <v>207</v>
      </c>
      <c r="B51" s="184">
        <v>16809939.32</v>
      </c>
      <c r="C51" s="184">
        <v>150414.71</v>
      </c>
      <c r="D51" s="184">
        <v>0</v>
      </c>
      <c r="E51" s="184">
        <v>231847.16</v>
      </c>
      <c r="F51" s="184">
        <v>0</v>
      </c>
      <c r="G51" s="184">
        <v>0</v>
      </c>
      <c r="H51" s="184">
        <v>0</v>
      </c>
      <c r="I51" s="184">
        <v>0</v>
      </c>
      <c r="J51" s="184">
        <v>229836.4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4541946.32</v>
      </c>
      <c r="Q51" s="184">
        <v>9408.7800000000007</v>
      </c>
      <c r="R51" s="184">
        <v>0</v>
      </c>
      <c r="S51" s="184">
        <v>206248.56</v>
      </c>
      <c r="T51" s="184">
        <v>0</v>
      </c>
      <c r="U51" s="184">
        <v>81539.820000000007</v>
      </c>
      <c r="V51" s="184">
        <v>164028.62</v>
      </c>
      <c r="W51" s="184">
        <v>7428.58</v>
      </c>
      <c r="X51" s="184">
        <v>0</v>
      </c>
      <c r="Y51" s="184">
        <v>1705522.2500000005</v>
      </c>
      <c r="Z51" s="184">
        <v>115591.27</v>
      </c>
      <c r="AA51" s="184">
        <v>135303.47</v>
      </c>
      <c r="AB51" s="184">
        <v>297687.03000000003</v>
      </c>
      <c r="AC51" s="184">
        <v>199965.62999999995</v>
      </c>
      <c r="AD51" s="184">
        <v>0</v>
      </c>
      <c r="AE51" s="184">
        <v>158427.04</v>
      </c>
      <c r="AF51" s="184">
        <v>0</v>
      </c>
      <c r="AG51" s="184">
        <v>216836.53999999998</v>
      </c>
      <c r="AH51" s="184">
        <v>0</v>
      </c>
      <c r="AI51" s="184">
        <v>0</v>
      </c>
      <c r="AJ51" s="184">
        <v>6289601.5700000003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828749.06999999983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187724.98</v>
      </c>
      <c r="AZ51" s="184">
        <v>0</v>
      </c>
      <c r="BA51" s="184">
        <v>0</v>
      </c>
      <c r="BB51" s="184">
        <v>0</v>
      </c>
      <c r="BC51" s="184">
        <v>6602.56</v>
      </c>
      <c r="BD51" s="184">
        <v>0</v>
      </c>
      <c r="BE51" s="184">
        <v>549848.1100000001</v>
      </c>
      <c r="BF51" s="184">
        <v>2775.13</v>
      </c>
      <c r="BG51" s="184">
        <v>87460.71</v>
      </c>
      <c r="BH51" s="184">
        <v>0</v>
      </c>
      <c r="BI51" s="184">
        <v>0</v>
      </c>
      <c r="BJ51" s="184">
        <v>0</v>
      </c>
      <c r="BK51" s="184">
        <v>4311.7700000000004</v>
      </c>
      <c r="BL51" s="184">
        <v>0</v>
      </c>
      <c r="BM51" s="184">
        <v>0</v>
      </c>
      <c r="BN51" s="184">
        <v>115310.54999999999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4004.76</v>
      </c>
      <c r="BW51" s="184">
        <v>0</v>
      </c>
      <c r="BX51" s="184">
        <v>0</v>
      </c>
      <c r="BY51" s="184">
        <v>277563.17</v>
      </c>
      <c r="BZ51" s="184">
        <v>0</v>
      </c>
      <c r="CA51" s="184">
        <v>3955.16</v>
      </c>
      <c r="CB51" s="184">
        <v>0</v>
      </c>
      <c r="CC51" s="184">
        <v>0</v>
      </c>
      <c r="CD51" s="193"/>
      <c r="CE51" s="193">
        <f>SUM(C51:CD51)</f>
        <v>16809939.720000003</v>
      </c>
    </row>
    <row r="52" spans="1:84" ht="12.6" customHeight="1" x14ac:dyDescent="0.2">
      <c r="A52" s="171" t="s">
        <v>208</v>
      </c>
      <c r="B52" s="184">
        <f>29405739+20787</f>
        <v>29426526</v>
      </c>
      <c r="C52" s="193">
        <f>ROUND((B52/(CE76+CF76)*C76),0)</f>
        <v>448574</v>
      </c>
      <c r="D52" s="193">
        <f>ROUND((B52/(CE76+CF76)*D76),0)</f>
        <v>0</v>
      </c>
      <c r="E52" s="193">
        <f>ROUND((B52/(CE76+CF76)*E76),0)</f>
        <v>4602474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817680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0</v>
      </c>
      <c r="P52" s="193">
        <f>ROUND((B52/(CE76+CF76)*P76),0)</f>
        <v>2996680</v>
      </c>
      <c r="Q52" s="193">
        <f>ROUND((B52/(CE76+CF76)*Q76),0)</f>
        <v>439756</v>
      </c>
      <c r="R52" s="193">
        <f>ROUND((B52/(CE76+CF76)*R76),0)</f>
        <v>5913</v>
      </c>
      <c r="S52" s="193">
        <f>ROUND((B52/(CE76+CF76)*S76),0)</f>
        <v>429153</v>
      </c>
      <c r="T52" s="193">
        <f>ROUND((B52/(CE76+CF76)*T76),0)</f>
        <v>0</v>
      </c>
      <c r="U52" s="193">
        <f>ROUND((B52/(CE76+CF76)*U76),0)</f>
        <v>681731</v>
      </c>
      <c r="V52" s="193">
        <f>ROUND((B52/(CE76+CF76)*V76),0)</f>
        <v>0</v>
      </c>
      <c r="W52" s="193">
        <f>ROUND((B52/(CE76+CF76)*W76),0)</f>
        <v>111736</v>
      </c>
      <c r="X52" s="193">
        <f>ROUND((B52/(CE76+CF76)*X76),0)</f>
        <v>0</v>
      </c>
      <c r="Y52" s="193">
        <f>ROUND((B52/(CE76+CF76)*Y76),0)</f>
        <v>1176131</v>
      </c>
      <c r="Z52" s="193">
        <f>ROUND((B52/(CE76+CF76)*Z76),0)</f>
        <v>600121</v>
      </c>
      <c r="AA52" s="193">
        <f>ROUND((B52/(CE76+CF76)*AA76),0)</f>
        <v>0</v>
      </c>
      <c r="AB52" s="193">
        <f>ROUND((B52/(CE76+CF76)*AB76),0)</f>
        <v>283010</v>
      </c>
      <c r="AC52" s="193">
        <f>ROUND((B52/(CE76+CF76)*AC76),0)</f>
        <v>387864</v>
      </c>
      <c r="AD52" s="193">
        <f>ROUND((B52/(CE76+CF76)*AD76),0)</f>
        <v>41289</v>
      </c>
      <c r="AE52" s="193">
        <f>ROUND((B52/(CE76+CF76)*AE76),0)</f>
        <v>1113790</v>
      </c>
      <c r="AF52" s="193">
        <f>ROUND((B52/(CE76+CF76)*AF76),0)</f>
        <v>0</v>
      </c>
      <c r="AG52" s="193">
        <f>ROUND((B52/(CE76+CF76)*AG76),0)</f>
        <v>1453279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238611</v>
      </c>
      <c r="AL52" s="193">
        <f>ROUND((B52/(CE76+CF76)*AL76),0)</f>
        <v>78501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3235444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161538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976261</v>
      </c>
      <c r="AZ52" s="193">
        <f>ROUND((B52/(CE76+CF76)*AZ76),0)</f>
        <v>0</v>
      </c>
      <c r="BA52" s="193">
        <f>ROUND((B52/(CE76+CF76)*BA76),0)</f>
        <v>189523</v>
      </c>
      <c r="BB52" s="193">
        <f>ROUND((B52/(CE76+CF76)*BB76),0)</f>
        <v>58315</v>
      </c>
      <c r="BC52" s="193">
        <f>ROUND((B52/(CE76+CF76)*BC76),0)</f>
        <v>0</v>
      </c>
      <c r="BD52" s="193">
        <f>ROUND((B52/(CE76+CF76)*BD76),0)</f>
        <v>2681965</v>
      </c>
      <c r="BE52" s="193">
        <f>ROUND((B52/(CE76+CF76)*BE76),0)</f>
        <v>4146713</v>
      </c>
      <c r="BF52" s="193">
        <f>ROUND((B52/(CE76+CF76)*BF76),0)</f>
        <v>553174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0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550625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0</v>
      </c>
      <c r="BS52" s="193">
        <f>ROUND((B52/(CE76+CF76)*BS76),0)</f>
        <v>216692</v>
      </c>
      <c r="BT52" s="193">
        <f>ROUND((B52/(CE76+CF76)*BT76),0)</f>
        <v>0</v>
      </c>
      <c r="BU52" s="193">
        <f>ROUND((B52/(CE76+CF76)*BU76),0)</f>
        <v>137019</v>
      </c>
      <c r="BV52" s="193">
        <f>ROUND((B52/(CE76+CF76)*BV76),0)</f>
        <v>384092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134419</v>
      </c>
      <c r="BZ52" s="193">
        <f>ROUND((B52/(CE76+CF76)*BZ76),0)</f>
        <v>0</v>
      </c>
      <c r="CA52" s="193">
        <f>ROUND((B52/(CE76+CF76)*CA76),0)</f>
        <v>94455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29426528</v>
      </c>
    </row>
    <row r="53" spans="1:84" ht="12.6" customHeight="1" x14ac:dyDescent="0.2">
      <c r="A53" s="175" t="s">
        <v>206</v>
      </c>
      <c r="B53" s="193">
        <f>B51+B52</f>
        <v>46236465.32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2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 x14ac:dyDescent="0.2">
      <c r="A59" s="171" t="s">
        <v>233</v>
      </c>
      <c r="B59" s="175"/>
      <c r="C59" s="184">
        <v>4916</v>
      </c>
      <c r="D59" s="184">
        <v>0</v>
      </c>
      <c r="E59" s="184">
        <v>56659</v>
      </c>
      <c r="F59" s="184">
        <v>0</v>
      </c>
      <c r="G59" s="184">
        <v>0</v>
      </c>
      <c r="H59" s="184">
        <v>0</v>
      </c>
      <c r="I59" s="184">
        <v>0</v>
      </c>
      <c r="J59" s="184">
        <v>3964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1103372</v>
      </c>
      <c r="Q59" s="185">
        <v>34537</v>
      </c>
      <c r="R59" s="185">
        <v>642960</v>
      </c>
      <c r="S59" s="243"/>
      <c r="T59" s="243"/>
      <c r="U59" s="220">
        <v>1127200</v>
      </c>
      <c r="V59" s="185">
        <v>37304</v>
      </c>
      <c r="W59" s="185">
        <v>3374</v>
      </c>
      <c r="X59" s="185">
        <v>0</v>
      </c>
      <c r="Y59" s="185">
        <v>147723</v>
      </c>
      <c r="Z59" s="185">
        <v>16308</v>
      </c>
      <c r="AA59" s="185">
        <v>2899</v>
      </c>
      <c r="AB59" s="243"/>
      <c r="AC59" s="185">
        <v>84461</v>
      </c>
      <c r="AD59" s="185">
        <v>0</v>
      </c>
      <c r="AE59" s="185">
        <v>94259</v>
      </c>
      <c r="AF59" s="185">
        <v>0</v>
      </c>
      <c r="AG59" s="185">
        <v>78387</v>
      </c>
      <c r="AH59" s="185">
        <v>0</v>
      </c>
      <c r="AI59" s="185">
        <v>0</v>
      </c>
      <c r="AJ59" s="185">
        <v>512461</v>
      </c>
      <c r="AK59" s="185">
        <v>25891</v>
      </c>
      <c r="AL59" s="185">
        <v>3959</v>
      </c>
      <c r="AM59" s="185">
        <v>0</v>
      </c>
      <c r="AN59" s="185">
        <v>0</v>
      </c>
      <c r="AO59" s="185">
        <v>0</v>
      </c>
      <c r="AP59" s="185">
        <v>473447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3"/>
      <c r="AW59" s="243"/>
      <c r="AX59" s="243"/>
      <c r="AY59" s="185">
        <f>226987</f>
        <v>226987</v>
      </c>
      <c r="AZ59" s="185">
        <v>583327</v>
      </c>
      <c r="BA59" s="243"/>
      <c r="BB59" s="243"/>
      <c r="BC59" s="243"/>
      <c r="BD59" s="243"/>
      <c r="BE59" s="185">
        <v>577281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3"/>
    </row>
    <row r="60" spans="1:84" ht="12.6" customHeight="1" x14ac:dyDescent="0.2">
      <c r="A60" s="245" t="s">
        <v>234</v>
      </c>
      <c r="B60" s="175"/>
      <c r="C60" s="184">
        <v>53.062019230769231</v>
      </c>
      <c r="D60" s="184">
        <v>0</v>
      </c>
      <c r="E60" s="184">
        <v>371.74393269230768</v>
      </c>
      <c r="F60" s="184">
        <v>0</v>
      </c>
      <c r="G60" s="184">
        <v>0</v>
      </c>
      <c r="H60" s="184">
        <v>0</v>
      </c>
      <c r="I60" s="184">
        <v>0</v>
      </c>
      <c r="J60" s="184">
        <v>72.579750000000004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99.332899038461534</v>
      </c>
      <c r="Q60" s="184">
        <v>45.528759615384615</v>
      </c>
      <c r="R60" s="184">
        <v>4.1215288461538471</v>
      </c>
      <c r="S60" s="184">
        <v>36.922096153846155</v>
      </c>
      <c r="T60" s="184">
        <v>0</v>
      </c>
      <c r="U60" s="184">
        <v>58.532798076923079</v>
      </c>
      <c r="V60" s="184">
        <v>5.0219567307692303</v>
      </c>
      <c r="W60" s="184">
        <v>0</v>
      </c>
      <c r="X60" s="184">
        <v>0</v>
      </c>
      <c r="Y60" s="184">
        <v>150.90238461538462</v>
      </c>
      <c r="Z60" s="184">
        <v>19.432495192307691</v>
      </c>
      <c r="AA60" s="184">
        <v>2.8648221153846154</v>
      </c>
      <c r="AB60" s="184">
        <v>46.242716346153856</v>
      </c>
      <c r="AC60" s="184">
        <v>58.552673076923078</v>
      </c>
      <c r="AD60" s="184">
        <v>0</v>
      </c>
      <c r="AE60" s="184">
        <v>36.493836538461537</v>
      </c>
      <c r="AF60" s="184">
        <v>0</v>
      </c>
      <c r="AG60" s="184">
        <v>115.81929326923077</v>
      </c>
      <c r="AH60" s="184">
        <v>0</v>
      </c>
      <c r="AI60" s="184">
        <v>0</v>
      </c>
      <c r="AJ60" s="184">
        <v>466.14</v>
      </c>
      <c r="AK60" s="184">
        <v>9.1775048076923067</v>
      </c>
      <c r="AL60" s="184">
        <v>4.6697163461538462</v>
      </c>
      <c r="AM60" s="184">
        <v>0</v>
      </c>
      <c r="AN60" s="184">
        <v>0</v>
      </c>
      <c r="AO60" s="184">
        <v>0</v>
      </c>
      <c r="AP60" s="184">
        <v>95.712490384615379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1.2377163461538463</v>
      </c>
      <c r="AW60" s="184">
        <v>13.154884615384615</v>
      </c>
      <c r="AX60" s="184">
        <v>0</v>
      </c>
      <c r="AY60" s="184">
        <v>76.414067307692306</v>
      </c>
      <c r="AZ60" s="184">
        <v>0</v>
      </c>
      <c r="BA60" s="184">
        <v>2.8953317307692306</v>
      </c>
      <c r="BB60" s="184">
        <v>0</v>
      </c>
      <c r="BC60" s="184">
        <v>15.772514423076924</v>
      </c>
      <c r="BD60" s="184">
        <v>0</v>
      </c>
      <c r="BE60" s="184">
        <v>16.916639423076923</v>
      </c>
      <c r="BF60" s="184">
        <v>74.515725961538465</v>
      </c>
      <c r="BG60" s="184">
        <v>0</v>
      </c>
      <c r="BH60" s="184">
        <v>0</v>
      </c>
      <c r="BI60" s="184">
        <v>0.25144230769230769</v>
      </c>
      <c r="BJ60" s="184">
        <v>0</v>
      </c>
      <c r="BK60" s="184">
        <v>1.0025048076923078</v>
      </c>
      <c r="BL60" s="184">
        <v>0</v>
      </c>
      <c r="BM60" s="184">
        <v>0</v>
      </c>
      <c r="BN60" s="184">
        <v>53.611427884615395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0</v>
      </c>
      <c r="BY60" s="184">
        <v>30.74129807692308</v>
      </c>
      <c r="BZ60" s="184">
        <v>0</v>
      </c>
      <c r="CA60" s="184">
        <v>10.800697115384599</v>
      </c>
      <c r="CB60" s="184">
        <v>0</v>
      </c>
      <c r="CC60" s="184">
        <v>0</v>
      </c>
      <c r="CD60" s="244" t="s">
        <v>221</v>
      </c>
      <c r="CE60" s="246">
        <f t="shared" ref="CE60:CE70" si="0">SUM(C60:CD60)</f>
        <v>2050.1679230769228</v>
      </c>
    </row>
    <row r="61" spans="1:84" ht="12.6" customHeight="1" x14ac:dyDescent="0.2">
      <c r="A61" s="171" t="s">
        <v>235</v>
      </c>
      <c r="B61" s="175"/>
      <c r="C61" s="184">
        <v>5808922.879999999</v>
      </c>
      <c r="D61" s="184">
        <v>0</v>
      </c>
      <c r="E61" s="184">
        <v>32941979.420000002</v>
      </c>
      <c r="F61" s="184">
        <v>0</v>
      </c>
      <c r="G61" s="184">
        <v>0</v>
      </c>
      <c r="H61" s="184">
        <v>0</v>
      </c>
      <c r="I61" s="184">
        <v>0</v>
      </c>
      <c r="J61" s="184">
        <v>7498846.8699999992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9848226.870000001</v>
      </c>
      <c r="Q61" s="184">
        <v>4619032.41</v>
      </c>
      <c r="R61" s="184">
        <v>294443.81</v>
      </c>
      <c r="S61" s="184">
        <v>2073165.7200000002</v>
      </c>
      <c r="T61" s="184">
        <v>0</v>
      </c>
      <c r="U61" s="184">
        <v>4537988.0299999993</v>
      </c>
      <c r="V61" s="184">
        <v>490154.9200000001</v>
      </c>
      <c r="W61" s="184">
        <v>487374.59000000008</v>
      </c>
      <c r="X61" s="184">
        <v>0</v>
      </c>
      <c r="Y61" s="184">
        <v>12522593.6</v>
      </c>
      <c r="Z61" s="184">
        <v>1855120.06</v>
      </c>
      <c r="AA61" s="184">
        <v>307099.7</v>
      </c>
      <c r="AB61" s="184">
        <v>4955303.91</v>
      </c>
      <c r="AC61" s="184">
        <v>4751900.5000000009</v>
      </c>
      <c r="AD61" s="184">
        <v>0</v>
      </c>
      <c r="AE61" s="184">
        <v>2988700.49</v>
      </c>
      <c r="AF61" s="184">
        <v>0</v>
      </c>
      <c r="AG61" s="184">
        <v>11775753.16</v>
      </c>
      <c r="AH61" s="184">
        <v>0</v>
      </c>
      <c r="AI61" s="184">
        <v>0</v>
      </c>
      <c r="AJ61" s="184">
        <v>57920827.82</v>
      </c>
      <c r="AK61" s="184">
        <v>926052.93000000017</v>
      </c>
      <c r="AL61" s="184">
        <v>455777.82</v>
      </c>
      <c r="AM61" s="184">
        <v>0</v>
      </c>
      <c r="AN61" s="184">
        <v>0</v>
      </c>
      <c r="AO61" s="184">
        <v>0</v>
      </c>
      <c r="AP61" s="184">
        <v>6834455.4799999995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188233.72</v>
      </c>
      <c r="AW61" s="184">
        <v>906002.85</v>
      </c>
      <c r="AX61" s="184">
        <v>0</v>
      </c>
      <c r="AY61" s="184">
        <v>3301658.25</v>
      </c>
      <c r="AZ61" s="184">
        <v>0</v>
      </c>
      <c r="BA61" s="184">
        <v>110174.56999999999</v>
      </c>
      <c r="BB61" s="184">
        <v>0</v>
      </c>
      <c r="BC61" s="184">
        <v>616027.76</v>
      </c>
      <c r="BD61" s="184">
        <v>0</v>
      </c>
      <c r="BE61" s="184">
        <v>1202463.32</v>
      </c>
      <c r="BF61" s="184">
        <v>3068210.2700000005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39.380000000000003</v>
      </c>
      <c r="BM61" s="184">
        <v>0</v>
      </c>
      <c r="BN61" s="184">
        <v>5901340.3299999991</v>
      </c>
      <c r="BO61" s="184">
        <v>0</v>
      </c>
      <c r="BP61" s="184">
        <v>0</v>
      </c>
      <c r="BQ61" s="184">
        <v>0</v>
      </c>
      <c r="BR61" s="184">
        <v>-2181.13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3131040.78</v>
      </c>
      <c r="BZ61" s="184">
        <v>0</v>
      </c>
      <c r="CA61" s="184">
        <v>1029103.27</v>
      </c>
      <c r="CB61" s="184">
        <v>0</v>
      </c>
      <c r="CC61" s="184">
        <v>294566</v>
      </c>
      <c r="CD61" s="244" t="s">
        <v>221</v>
      </c>
      <c r="CE61" s="193">
        <f t="shared" si="0"/>
        <v>193640400.35999998</v>
      </c>
      <c r="CF61" s="247"/>
    </row>
    <row r="62" spans="1:84" ht="12.6" customHeight="1" x14ac:dyDescent="0.2">
      <c r="A62" s="171" t="s">
        <v>3</v>
      </c>
      <c r="B62" s="175"/>
      <c r="C62" s="193">
        <f t="shared" ref="C62:BN62" si="1">ROUND(C47+C48,0)</f>
        <v>1174186</v>
      </c>
      <c r="D62" s="193">
        <f t="shared" si="1"/>
        <v>0</v>
      </c>
      <c r="E62" s="193">
        <f t="shared" si="1"/>
        <v>7381637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1563232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0</v>
      </c>
      <c r="P62" s="193">
        <f t="shared" si="1"/>
        <v>2079344</v>
      </c>
      <c r="Q62" s="193">
        <f t="shared" si="1"/>
        <v>1006432</v>
      </c>
      <c r="R62" s="193">
        <f t="shared" si="1"/>
        <v>78285</v>
      </c>
      <c r="S62" s="193">
        <f t="shared" si="1"/>
        <v>629081</v>
      </c>
      <c r="T62" s="193">
        <f t="shared" si="1"/>
        <v>0</v>
      </c>
      <c r="U62" s="193">
        <f t="shared" si="1"/>
        <v>1071244</v>
      </c>
      <c r="V62" s="193">
        <f t="shared" si="1"/>
        <v>109682</v>
      </c>
      <c r="W62" s="193">
        <f t="shared" si="1"/>
        <v>108682</v>
      </c>
      <c r="X62" s="193">
        <f t="shared" si="1"/>
        <v>0</v>
      </c>
      <c r="Y62" s="193">
        <f t="shared" si="1"/>
        <v>2996091</v>
      </c>
      <c r="Z62" s="193">
        <f t="shared" si="1"/>
        <v>419442</v>
      </c>
      <c r="AA62" s="193">
        <f t="shared" si="1"/>
        <v>65484</v>
      </c>
      <c r="AB62" s="193">
        <f t="shared" si="1"/>
        <v>1036355</v>
      </c>
      <c r="AC62" s="193">
        <f t="shared" si="1"/>
        <v>1182471</v>
      </c>
      <c r="AD62" s="193">
        <f t="shared" si="1"/>
        <v>0</v>
      </c>
      <c r="AE62" s="193">
        <f t="shared" si="1"/>
        <v>740534</v>
      </c>
      <c r="AF62" s="193">
        <f t="shared" si="1"/>
        <v>0</v>
      </c>
      <c r="AG62" s="193">
        <f t="shared" si="1"/>
        <v>2361074</v>
      </c>
      <c r="AH62" s="193">
        <f t="shared" si="1"/>
        <v>0</v>
      </c>
      <c r="AI62" s="193">
        <f t="shared" si="1"/>
        <v>0</v>
      </c>
      <c r="AJ62" s="193">
        <f t="shared" si="1"/>
        <v>10055664</v>
      </c>
      <c r="AK62" s="193">
        <f t="shared" si="1"/>
        <v>202562</v>
      </c>
      <c r="AL62" s="193">
        <f t="shared" si="1"/>
        <v>103039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1836105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32110</v>
      </c>
      <c r="AW62" s="193">
        <f t="shared" si="1"/>
        <v>247753</v>
      </c>
      <c r="AX62" s="193">
        <f t="shared" si="1"/>
        <v>0</v>
      </c>
      <c r="AY62" s="193">
        <f>ROUND(AY47+AY48,0)</f>
        <v>1228171</v>
      </c>
      <c r="AZ62" s="193">
        <f>ROUND(AZ47+AZ48,0)</f>
        <v>0</v>
      </c>
      <c r="BA62" s="193">
        <f>ROUND(BA47+BA48,0)</f>
        <v>45161</v>
      </c>
      <c r="BB62" s="193">
        <f t="shared" si="1"/>
        <v>0</v>
      </c>
      <c r="BC62" s="193">
        <f t="shared" si="1"/>
        <v>247919</v>
      </c>
      <c r="BD62" s="193">
        <f t="shared" si="1"/>
        <v>0</v>
      </c>
      <c r="BE62" s="193">
        <f t="shared" si="1"/>
        <v>335657</v>
      </c>
      <c r="BF62" s="193">
        <f t="shared" si="1"/>
        <v>1181308</v>
      </c>
      <c r="BG62" s="193">
        <f t="shared" si="1"/>
        <v>0</v>
      </c>
      <c r="BH62" s="193">
        <f t="shared" si="1"/>
        <v>0</v>
      </c>
      <c r="BI62" s="193">
        <f t="shared" si="1"/>
        <v>0</v>
      </c>
      <c r="BJ62" s="193">
        <f t="shared" si="1"/>
        <v>0</v>
      </c>
      <c r="BK62" s="193">
        <f t="shared" si="1"/>
        <v>0</v>
      </c>
      <c r="BL62" s="193">
        <f t="shared" si="1"/>
        <v>3</v>
      </c>
      <c r="BM62" s="193">
        <f t="shared" si="1"/>
        <v>0</v>
      </c>
      <c r="BN62" s="193">
        <f t="shared" si="1"/>
        <v>1170646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51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0</v>
      </c>
      <c r="BX62" s="193">
        <f t="shared" si="2"/>
        <v>0</v>
      </c>
      <c r="BY62" s="193">
        <f t="shared" si="2"/>
        <v>693853</v>
      </c>
      <c r="BZ62" s="193">
        <f t="shared" si="2"/>
        <v>0</v>
      </c>
      <c r="CA62" s="193">
        <f t="shared" si="2"/>
        <v>236395</v>
      </c>
      <c r="CB62" s="193">
        <f t="shared" si="2"/>
        <v>0</v>
      </c>
      <c r="CC62" s="193">
        <f t="shared" si="2"/>
        <v>3</v>
      </c>
      <c r="CD62" s="244" t="s">
        <v>221</v>
      </c>
      <c r="CE62" s="193">
        <f t="shared" si="0"/>
        <v>41619656</v>
      </c>
      <c r="CF62" s="247"/>
    </row>
    <row r="63" spans="1:84" ht="12.6" customHeight="1" x14ac:dyDescent="0.2">
      <c r="A63" s="171" t="s">
        <v>236</v>
      </c>
      <c r="B63" s="175"/>
      <c r="C63" s="184">
        <v>894450.26</v>
      </c>
      <c r="D63" s="184">
        <v>0</v>
      </c>
      <c r="E63" s="184">
        <v>5293358.7300000004</v>
      </c>
      <c r="F63" s="184">
        <v>0</v>
      </c>
      <c r="G63" s="184">
        <v>0</v>
      </c>
      <c r="H63" s="184">
        <v>0</v>
      </c>
      <c r="I63" s="184">
        <v>0</v>
      </c>
      <c r="J63" s="184">
        <v>1519079.29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3632366.89</v>
      </c>
      <c r="Q63" s="184">
        <v>0</v>
      </c>
      <c r="R63" s="184">
        <v>409954.48</v>
      </c>
      <c r="S63" s="184">
        <v>0</v>
      </c>
      <c r="T63" s="184">
        <v>0</v>
      </c>
      <c r="U63" s="184">
        <v>60171.49</v>
      </c>
      <c r="V63" s="184">
        <v>135997.07</v>
      </c>
      <c r="W63" s="184">
        <v>0</v>
      </c>
      <c r="X63" s="184">
        <v>0</v>
      </c>
      <c r="Y63" s="184">
        <v>557589.54</v>
      </c>
      <c r="Z63" s="184">
        <v>36637.5</v>
      </c>
      <c r="AA63" s="184">
        <v>0</v>
      </c>
      <c r="AB63" s="184">
        <v>0</v>
      </c>
      <c r="AC63" s="184">
        <v>66675</v>
      </c>
      <c r="AD63" s="184">
        <v>0</v>
      </c>
      <c r="AE63" s="184">
        <v>215086.96</v>
      </c>
      <c r="AF63" s="184">
        <v>0</v>
      </c>
      <c r="AG63" s="184">
        <v>4005048.29</v>
      </c>
      <c r="AH63" s="184">
        <v>0</v>
      </c>
      <c r="AI63" s="184">
        <v>0</v>
      </c>
      <c r="AJ63" s="184">
        <v>23717360.199999999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34260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1449748.99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2365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18750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4" t="s">
        <v>221</v>
      </c>
      <c r="CE63" s="193">
        <f t="shared" si="0"/>
        <v>42048899.690000005</v>
      </c>
      <c r="CF63" s="247"/>
    </row>
    <row r="64" spans="1:84" ht="12.6" customHeight="1" x14ac:dyDescent="0.2">
      <c r="A64" s="171" t="s">
        <v>237</v>
      </c>
      <c r="B64" s="175"/>
      <c r="C64" s="184">
        <v>708566.23999999987</v>
      </c>
      <c r="D64" s="184">
        <v>0</v>
      </c>
      <c r="E64" s="184">
        <v>2017672.2300000002</v>
      </c>
      <c r="F64" s="184">
        <v>0</v>
      </c>
      <c r="G64" s="184">
        <v>0</v>
      </c>
      <c r="H64" s="184">
        <v>0</v>
      </c>
      <c r="I64" s="184">
        <v>0</v>
      </c>
      <c r="J64" s="184">
        <v>794572.83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21822590.370000001</v>
      </c>
      <c r="Q64" s="184">
        <v>481724.90999999992</v>
      </c>
      <c r="R64" s="184">
        <v>401212.72000000003</v>
      </c>
      <c r="S64" s="184">
        <v>-857551.18000000052</v>
      </c>
      <c r="T64" s="184">
        <v>0</v>
      </c>
      <c r="U64" s="184">
        <v>4248022.34</v>
      </c>
      <c r="V64" s="184">
        <v>11234.910000000002</v>
      </c>
      <c r="W64" s="184">
        <v>88013.170000000013</v>
      </c>
      <c r="X64" s="184">
        <v>0</v>
      </c>
      <c r="Y64" s="184">
        <v>17447975.600000001</v>
      </c>
      <c r="Z64" s="184">
        <v>47163.69</v>
      </c>
      <c r="AA64" s="184">
        <v>753369.01</v>
      </c>
      <c r="AB64" s="184">
        <v>11976472.909999998</v>
      </c>
      <c r="AC64" s="184">
        <v>522658.87999999995</v>
      </c>
      <c r="AD64" s="184">
        <v>0</v>
      </c>
      <c r="AE64" s="184">
        <v>586754.39</v>
      </c>
      <c r="AF64" s="184">
        <v>0</v>
      </c>
      <c r="AG64" s="184">
        <v>1677276.4999999995</v>
      </c>
      <c r="AH64" s="184">
        <v>0</v>
      </c>
      <c r="AI64" s="184">
        <v>0</v>
      </c>
      <c r="AJ64" s="184">
        <v>2833738.4700000011</v>
      </c>
      <c r="AK64" s="184">
        <v>10168.02</v>
      </c>
      <c r="AL64" s="184">
        <v>5028.4099999999989</v>
      </c>
      <c r="AM64" s="184">
        <v>-44.78</v>
      </c>
      <c r="AN64" s="184">
        <v>0</v>
      </c>
      <c r="AO64" s="184">
        <v>0</v>
      </c>
      <c r="AP64" s="184">
        <v>39078298.650000006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1951.96</v>
      </c>
      <c r="AW64" s="184">
        <v>9923.239999999998</v>
      </c>
      <c r="AX64" s="184">
        <v>0</v>
      </c>
      <c r="AY64" s="184">
        <v>1742441.79</v>
      </c>
      <c r="AZ64" s="184">
        <v>0</v>
      </c>
      <c r="BA64" s="184">
        <v>0</v>
      </c>
      <c r="BB64" s="184">
        <v>3108.41</v>
      </c>
      <c r="BC64" s="184">
        <v>15413.140000000003</v>
      </c>
      <c r="BD64" s="184">
        <v>0</v>
      </c>
      <c r="BE64" s="184">
        <v>28715.850000000002</v>
      </c>
      <c r="BF64" s="184">
        <v>191132.07</v>
      </c>
      <c r="BG64" s="184">
        <v>0</v>
      </c>
      <c r="BH64" s="184">
        <v>0</v>
      </c>
      <c r="BI64" s="184">
        <v>0</v>
      </c>
      <c r="BJ64" s="184">
        <v>0</v>
      </c>
      <c r="BK64" s="184">
        <v>292.09000000000003</v>
      </c>
      <c r="BL64" s="184">
        <v>26337.99</v>
      </c>
      <c r="BM64" s="184">
        <v>0</v>
      </c>
      <c r="BN64" s="184">
        <v>393862.95999999996</v>
      </c>
      <c r="BO64" s="184">
        <v>0</v>
      </c>
      <c r="BP64" s="184">
        <v>0</v>
      </c>
      <c r="BQ64" s="184">
        <v>0</v>
      </c>
      <c r="BR64" s="184">
        <v>16481.95</v>
      </c>
      <c r="BS64" s="184">
        <v>0</v>
      </c>
      <c r="BT64" s="184">
        <v>18.98</v>
      </c>
      <c r="BU64" s="184">
        <v>0</v>
      </c>
      <c r="BV64" s="184">
        <v>5280.22</v>
      </c>
      <c r="BW64" s="184">
        <v>147</v>
      </c>
      <c r="BX64" s="184">
        <v>8</v>
      </c>
      <c r="BY64" s="184">
        <v>20581.13</v>
      </c>
      <c r="BZ64" s="184">
        <v>0</v>
      </c>
      <c r="CA64" s="184">
        <v>39334.020000000004</v>
      </c>
      <c r="CB64" s="184">
        <v>0</v>
      </c>
      <c r="CC64" s="184">
        <v>370461.63</v>
      </c>
      <c r="CD64" s="244" t="s">
        <v>221</v>
      </c>
      <c r="CE64" s="193">
        <f t="shared" si="0"/>
        <v>107520410.71999995</v>
      </c>
      <c r="CF64" s="247"/>
    </row>
    <row r="65" spans="1:84" ht="12.6" customHeight="1" x14ac:dyDescent="0.2">
      <c r="A65" s="171" t="s">
        <v>238</v>
      </c>
      <c r="B65" s="175"/>
      <c r="C65" s="184">
        <v>1049</v>
      </c>
      <c r="D65" s="184">
        <v>0</v>
      </c>
      <c r="E65" s="184">
        <v>7673.5700000000006</v>
      </c>
      <c r="F65" s="184">
        <v>0</v>
      </c>
      <c r="G65" s="184">
        <v>0</v>
      </c>
      <c r="H65" s="184">
        <v>341.1</v>
      </c>
      <c r="I65" s="184">
        <v>0</v>
      </c>
      <c r="J65" s="184">
        <v>2094.2699999999995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3857.46</v>
      </c>
      <c r="Q65" s="184">
        <v>1612.3300000000004</v>
      </c>
      <c r="R65" s="184">
        <v>0</v>
      </c>
      <c r="S65" s="184">
        <v>0</v>
      </c>
      <c r="T65" s="184">
        <v>0</v>
      </c>
      <c r="U65" s="184">
        <v>63.88</v>
      </c>
      <c r="V65" s="184">
        <v>14.52</v>
      </c>
      <c r="W65" s="184">
        <v>432.15</v>
      </c>
      <c r="X65" s="184">
        <v>0</v>
      </c>
      <c r="Y65" s="184">
        <v>232290.75999999998</v>
      </c>
      <c r="Z65" s="184">
        <v>0</v>
      </c>
      <c r="AA65" s="184">
        <v>0</v>
      </c>
      <c r="AB65" s="184">
        <v>1196.4499999999998</v>
      </c>
      <c r="AC65" s="184">
        <v>4573.6299999999992</v>
      </c>
      <c r="AD65" s="184">
        <v>0</v>
      </c>
      <c r="AE65" s="184">
        <v>14602.95</v>
      </c>
      <c r="AF65" s="184">
        <v>0</v>
      </c>
      <c r="AG65" s="184">
        <v>1561.73</v>
      </c>
      <c r="AH65" s="184">
        <v>0</v>
      </c>
      <c r="AI65" s="184">
        <v>0</v>
      </c>
      <c r="AJ65" s="184">
        <v>897858.03</v>
      </c>
      <c r="AK65" s="184">
        <v>1358.3600000000001</v>
      </c>
      <c r="AL65" s="184">
        <v>188.04</v>
      </c>
      <c r="AM65" s="184">
        <v>0</v>
      </c>
      <c r="AN65" s="184">
        <v>0</v>
      </c>
      <c r="AO65" s="184">
        <v>0</v>
      </c>
      <c r="AP65" s="184">
        <v>124264.42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165.48</v>
      </c>
      <c r="AW65" s="184">
        <v>0</v>
      </c>
      <c r="AX65" s="184">
        <v>0</v>
      </c>
      <c r="AY65" s="184">
        <v>3379.77</v>
      </c>
      <c r="AZ65" s="184">
        <v>0</v>
      </c>
      <c r="BA65" s="184">
        <v>0</v>
      </c>
      <c r="BB65" s="184">
        <v>42.51</v>
      </c>
      <c r="BC65" s="184">
        <v>3092.12</v>
      </c>
      <c r="BD65" s="184">
        <v>0</v>
      </c>
      <c r="BE65" s="184">
        <v>3000713.44</v>
      </c>
      <c r="BF65" s="184">
        <v>5745.420000000001</v>
      </c>
      <c r="BG65" s="184">
        <v>289756.17000000004</v>
      </c>
      <c r="BH65" s="184">
        <v>0</v>
      </c>
      <c r="BI65" s="184">
        <v>0</v>
      </c>
      <c r="BJ65" s="184">
        <v>0</v>
      </c>
      <c r="BK65" s="184">
        <v>0</v>
      </c>
      <c r="BL65" s="184">
        <v>26.23</v>
      </c>
      <c r="BM65" s="184">
        <v>0</v>
      </c>
      <c r="BN65" s="184">
        <v>30950.100000000002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97.38</v>
      </c>
      <c r="BU65" s="184">
        <v>0</v>
      </c>
      <c r="BV65" s="184">
        <v>0</v>
      </c>
      <c r="BW65" s="184">
        <v>0</v>
      </c>
      <c r="BX65" s="184">
        <v>0</v>
      </c>
      <c r="BY65" s="184">
        <v>1340.47</v>
      </c>
      <c r="BZ65" s="184">
        <v>0</v>
      </c>
      <c r="CA65" s="184">
        <v>0</v>
      </c>
      <c r="CB65" s="184">
        <v>0</v>
      </c>
      <c r="CC65" s="184">
        <v>12011</v>
      </c>
      <c r="CD65" s="244" t="s">
        <v>221</v>
      </c>
      <c r="CE65" s="193">
        <f t="shared" si="0"/>
        <v>4642352.74</v>
      </c>
      <c r="CF65" s="247"/>
    </row>
    <row r="66" spans="1:84" ht="12.6" customHeight="1" x14ac:dyDescent="0.2">
      <c r="A66" s="171" t="s">
        <v>239</v>
      </c>
      <c r="B66" s="175"/>
      <c r="C66" s="184">
        <v>69645.509999999995</v>
      </c>
      <c r="D66" s="184">
        <v>0</v>
      </c>
      <c r="E66" s="184">
        <v>1492456.0125000002</v>
      </c>
      <c r="F66" s="184">
        <v>0</v>
      </c>
      <c r="G66" s="184">
        <v>119784.64750000001</v>
      </c>
      <c r="H66" s="184">
        <v>0</v>
      </c>
      <c r="I66" s="184">
        <v>0</v>
      </c>
      <c r="J66" s="184">
        <v>1105059.6099999999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1832524.5550000002</v>
      </c>
      <c r="Q66" s="184">
        <v>28502.899999999994</v>
      </c>
      <c r="R66" s="184">
        <v>382330.60000000003</v>
      </c>
      <c r="S66" s="184">
        <v>700136.41945249995</v>
      </c>
      <c r="T66" s="184">
        <v>0</v>
      </c>
      <c r="U66" s="184">
        <v>3563572.7599999988</v>
      </c>
      <c r="V66" s="184">
        <v>179841.49</v>
      </c>
      <c r="W66" s="184">
        <v>52532.729999999996</v>
      </c>
      <c r="X66" s="184">
        <v>0</v>
      </c>
      <c r="Y66" s="184">
        <v>3723575.47</v>
      </c>
      <c r="Z66" s="184">
        <v>1402077.56</v>
      </c>
      <c r="AA66" s="184">
        <v>65337.13</v>
      </c>
      <c r="AB66" s="184">
        <v>620257.69999999995</v>
      </c>
      <c r="AC66" s="184">
        <v>121786.57000000002</v>
      </c>
      <c r="AD66" s="184">
        <v>0</v>
      </c>
      <c r="AE66" s="184">
        <v>1641062.38</v>
      </c>
      <c r="AF66" s="184">
        <v>0</v>
      </c>
      <c r="AG66" s="184">
        <v>1764289.67</v>
      </c>
      <c r="AH66" s="184">
        <v>0</v>
      </c>
      <c r="AI66" s="184">
        <v>0</v>
      </c>
      <c r="AJ66" s="184">
        <v>41473953.999999993</v>
      </c>
      <c r="AK66" s="184">
        <v>133926.07999999999</v>
      </c>
      <c r="AL66" s="184">
        <v>23761.43</v>
      </c>
      <c r="AM66" s="184">
        <v>0</v>
      </c>
      <c r="AN66" s="184">
        <v>0</v>
      </c>
      <c r="AO66" s="184">
        <v>0</v>
      </c>
      <c r="AP66" s="184">
        <v>2470328.44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1554850.0349999997</v>
      </c>
      <c r="AW66" s="184">
        <v>172575</v>
      </c>
      <c r="AX66" s="184">
        <v>194884.55999999997</v>
      </c>
      <c r="AY66" s="184">
        <v>1158320.69</v>
      </c>
      <c r="AZ66" s="184">
        <v>0</v>
      </c>
      <c r="BA66" s="184">
        <v>0.04</v>
      </c>
      <c r="BB66" s="184">
        <v>1123.08</v>
      </c>
      <c r="BC66" s="184">
        <v>321239.09999999998</v>
      </c>
      <c r="BD66" s="184">
        <v>0</v>
      </c>
      <c r="BE66" s="184">
        <v>11951045.77</v>
      </c>
      <c r="BF66" s="184">
        <v>64815.520000000004</v>
      </c>
      <c r="BG66" s="184">
        <v>838957.98250000004</v>
      </c>
      <c r="BH66" s="184">
        <v>3654921.05</v>
      </c>
      <c r="BI66" s="184">
        <v>0</v>
      </c>
      <c r="BJ66" s="184">
        <v>872642.5924999998</v>
      </c>
      <c r="BK66" s="184">
        <v>6941783.4936347501</v>
      </c>
      <c r="BL66" s="184">
        <v>2704609.5150000001</v>
      </c>
      <c r="BM66" s="184">
        <v>0</v>
      </c>
      <c r="BN66" s="184">
        <v>4970796.9071362494</v>
      </c>
      <c r="BO66" s="184">
        <v>636076.26500000001</v>
      </c>
      <c r="BP66" s="184">
        <v>3352083.0449999999</v>
      </c>
      <c r="BQ66" s="184">
        <v>0</v>
      </c>
      <c r="BR66" s="184">
        <v>2140142.1274999999</v>
      </c>
      <c r="BS66" s="184">
        <v>175756.29749999996</v>
      </c>
      <c r="BT66" s="184">
        <v>300916.22249999997</v>
      </c>
      <c r="BU66" s="184">
        <v>104827.52750000003</v>
      </c>
      <c r="BV66" s="184">
        <v>3919540.9096307494</v>
      </c>
      <c r="BW66" s="184">
        <v>1544526.70456375</v>
      </c>
      <c r="BX66" s="184">
        <v>7580781.2291360004</v>
      </c>
      <c r="BY66" s="184">
        <v>958129.19750000001</v>
      </c>
      <c r="BZ66" s="184">
        <v>0</v>
      </c>
      <c r="CA66" s="184">
        <v>1084840.04</v>
      </c>
      <c r="CB66" s="184">
        <v>112544.0675</v>
      </c>
      <c r="CC66" s="184">
        <v>26059135.102049001</v>
      </c>
      <c r="CD66" s="244" t="s">
        <v>221</v>
      </c>
      <c r="CE66" s="193">
        <f t="shared" si="0"/>
        <v>146338607.73560297</v>
      </c>
      <c r="CF66" s="247"/>
    </row>
    <row r="67" spans="1:84" ht="12.6" customHeight="1" x14ac:dyDescent="0.2">
      <c r="A67" s="171" t="s">
        <v>6</v>
      </c>
      <c r="B67" s="175"/>
      <c r="C67" s="193">
        <f>ROUND(C51+C52,0)</f>
        <v>598989</v>
      </c>
      <c r="D67" s="193">
        <f>ROUND(D51+D52,0)</f>
        <v>0</v>
      </c>
      <c r="E67" s="193">
        <f t="shared" ref="E67:BP67" si="3">ROUND(E51+E52,0)</f>
        <v>4834321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1047516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0</v>
      </c>
      <c r="P67" s="193">
        <f t="shared" si="3"/>
        <v>7538626</v>
      </c>
      <c r="Q67" s="193">
        <f t="shared" si="3"/>
        <v>449165</v>
      </c>
      <c r="R67" s="193">
        <f t="shared" si="3"/>
        <v>5913</v>
      </c>
      <c r="S67" s="193">
        <f t="shared" si="3"/>
        <v>635402</v>
      </c>
      <c r="T67" s="193">
        <f t="shared" si="3"/>
        <v>0</v>
      </c>
      <c r="U67" s="193">
        <f t="shared" si="3"/>
        <v>763271</v>
      </c>
      <c r="V67" s="193">
        <f t="shared" si="3"/>
        <v>164029</v>
      </c>
      <c r="W67" s="193">
        <f t="shared" si="3"/>
        <v>119165</v>
      </c>
      <c r="X67" s="193">
        <f t="shared" si="3"/>
        <v>0</v>
      </c>
      <c r="Y67" s="193">
        <f t="shared" si="3"/>
        <v>2881653</v>
      </c>
      <c r="Z67" s="193">
        <f t="shared" si="3"/>
        <v>715712</v>
      </c>
      <c r="AA67" s="193">
        <f t="shared" si="3"/>
        <v>135303</v>
      </c>
      <c r="AB67" s="193">
        <f t="shared" si="3"/>
        <v>580697</v>
      </c>
      <c r="AC67" s="193">
        <f t="shared" si="3"/>
        <v>587830</v>
      </c>
      <c r="AD67" s="193">
        <f t="shared" si="3"/>
        <v>41289</v>
      </c>
      <c r="AE67" s="193">
        <f t="shared" si="3"/>
        <v>1272217</v>
      </c>
      <c r="AF67" s="193">
        <f t="shared" si="3"/>
        <v>0</v>
      </c>
      <c r="AG67" s="193">
        <f t="shared" si="3"/>
        <v>1670116</v>
      </c>
      <c r="AH67" s="193">
        <f t="shared" si="3"/>
        <v>0</v>
      </c>
      <c r="AI67" s="193">
        <f t="shared" si="3"/>
        <v>0</v>
      </c>
      <c r="AJ67" s="193">
        <f t="shared" si="3"/>
        <v>6289602</v>
      </c>
      <c r="AK67" s="193">
        <f t="shared" si="3"/>
        <v>238611</v>
      </c>
      <c r="AL67" s="193">
        <f t="shared" si="3"/>
        <v>78501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4064193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161538</v>
      </c>
      <c r="AW67" s="193">
        <f t="shared" si="3"/>
        <v>0</v>
      </c>
      <c r="AX67" s="193">
        <f t="shared" si="3"/>
        <v>0</v>
      </c>
      <c r="AY67" s="193">
        <f t="shared" si="3"/>
        <v>1163986</v>
      </c>
      <c r="AZ67" s="193">
        <f>ROUND(AZ51+AZ52,0)</f>
        <v>0</v>
      </c>
      <c r="BA67" s="193">
        <f>ROUND(BA51+BA52,0)</f>
        <v>189523</v>
      </c>
      <c r="BB67" s="193">
        <f t="shared" si="3"/>
        <v>58315</v>
      </c>
      <c r="BC67" s="193">
        <f t="shared" si="3"/>
        <v>6603</v>
      </c>
      <c r="BD67" s="193">
        <f t="shared" si="3"/>
        <v>2681965</v>
      </c>
      <c r="BE67" s="193">
        <f t="shared" si="3"/>
        <v>4696561</v>
      </c>
      <c r="BF67" s="193">
        <f t="shared" si="3"/>
        <v>555949</v>
      </c>
      <c r="BG67" s="193">
        <f t="shared" si="3"/>
        <v>87461</v>
      </c>
      <c r="BH67" s="193">
        <f t="shared" si="3"/>
        <v>0</v>
      </c>
      <c r="BI67" s="193">
        <f t="shared" si="3"/>
        <v>0</v>
      </c>
      <c r="BJ67" s="193">
        <f t="shared" si="3"/>
        <v>0</v>
      </c>
      <c r="BK67" s="193">
        <f t="shared" si="3"/>
        <v>4312</v>
      </c>
      <c r="BL67" s="193">
        <f t="shared" si="3"/>
        <v>0</v>
      </c>
      <c r="BM67" s="193">
        <f t="shared" si="3"/>
        <v>0</v>
      </c>
      <c r="BN67" s="193">
        <f t="shared" si="3"/>
        <v>665936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0</v>
      </c>
      <c r="BS67" s="193">
        <f t="shared" si="4"/>
        <v>216692</v>
      </c>
      <c r="BT67" s="193">
        <f t="shared" si="4"/>
        <v>0</v>
      </c>
      <c r="BU67" s="193">
        <f t="shared" si="4"/>
        <v>137019</v>
      </c>
      <c r="BV67" s="193">
        <f t="shared" si="4"/>
        <v>388097</v>
      </c>
      <c r="BW67" s="193">
        <f t="shared" si="4"/>
        <v>0</v>
      </c>
      <c r="BX67" s="193">
        <f t="shared" si="4"/>
        <v>0</v>
      </c>
      <c r="BY67" s="193">
        <f t="shared" si="4"/>
        <v>411982</v>
      </c>
      <c r="BZ67" s="193">
        <f t="shared" si="4"/>
        <v>0</v>
      </c>
      <c r="CA67" s="193">
        <f t="shared" si="4"/>
        <v>98410</v>
      </c>
      <c r="CB67" s="193">
        <f t="shared" si="4"/>
        <v>0</v>
      </c>
      <c r="CC67" s="193">
        <f t="shared" si="4"/>
        <v>0</v>
      </c>
      <c r="CD67" s="244" t="s">
        <v>221</v>
      </c>
      <c r="CE67" s="193">
        <f t="shared" si="0"/>
        <v>46236470</v>
      </c>
      <c r="CF67" s="247"/>
    </row>
    <row r="68" spans="1:84" ht="12.6" customHeight="1" x14ac:dyDescent="0.2">
      <c r="A68" s="171" t="s">
        <v>240</v>
      </c>
      <c r="B68" s="175"/>
      <c r="C68" s="184">
        <v>15218.560000000001</v>
      </c>
      <c r="D68" s="184">
        <v>0</v>
      </c>
      <c r="E68" s="184">
        <v>16552.27</v>
      </c>
      <c r="F68" s="184">
        <v>0</v>
      </c>
      <c r="G68" s="184">
        <v>0</v>
      </c>
      <c r="H68" s="184">
        <v>422.53</v>
      </c>
      <c r="I68" s="184">
        <v>0</v>
      </c>
      <c r="J68" s="184">
        <v>11075.9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1373297.17</v>
      </c>
      <c r="Q68" s="184">
        <v>3116.67</v>
      </c>
      <c r="R68" s="184">
        <v>4940.9400000000005</v>
      </c>
      <c r="S68" s="184">
        <v>46598.500000000007</v>
      </c>
      <c r="T68" s="184">
        <v>0</v>
      </c>
      <c r="U68" s="184">
        <v>76297.77</v>
      </c>
      <c r="V68" s="184">
        <v>0</v>
      </c>
      <c r="W68" s="184">
        <v>1521.05</v>
      </c>
      <c r="X68" s="184">
        <v>0</v>
      </c>
      <c r="Y68" s="184">
        <v>1070088.83</v>
      </c>
      <c r="Z68" s="184">
        <v>8646.33</v>
      </c>
      <c r="AA68" s="184">
        <v>467.27</v>
      </c>
      <c r="AB68" s="184">
        <v>39988.420000000006</v>
      </c>
      <c r="AC68" s="184">
        <v>286637.23000000004</v>
      </c>
      <c r="AD68" s="184">
        <v>0</v>
      </c>
      <c r="AE68" s="184">
        <v>349676.32999999996</v>
      </c>
      <c r="AF68" s="184">
        <v>0</v>
      </c>
      <c r="AG68" s="184">
        <v>31347.540000000005</v>
      </c>
      <c r="AH68" s="184">
        <v>0</v>
      </c>
      <c r="AI68" s="184">
        <v>0</v>
      </c>
      <c r="AJ68" s="184">
        <v>7477809.3500000006</v>
      </c>
      <c r="AK68" s="184">
        <v>170110.53999999998</v>
      </c>
      <c r="AL68" s="184">
        <v>58368.81</v>
      </c>
      <c r="AM68" s="184">
        <v>0</v>
      </c>
      <c r="AN68" s="184">
        <v>0</v>
      </c>
      <c r="AO68" s="184">
        <v>0</v>
      </c>
      <c r="AP68" s="184">
        <v>697830.32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21773.610000000004</v>
      </c>
      <c r="AZ68" s="184">
        <v>0</v>
      </c>
      <c r="BA68" s="184">
        <v>0</v>
      </c>
      <c r="BB68" s="184">
        <v>10011.42</v>
      </c>
      <c r="BC68" s="184">
        <v>1156.2799999999997</v>
      </c>
      <c r="BD68" s="184">
        <v>0</v>
      </c>
      <c r="BE68" s="184">
        <v>605288.71</v>
      </c>
      <c r="BF68" s="184">
        <v>7603.2900000000009</v>
      </c>
      <c r="BG68" s="184">
        <v>1722.6399999999999</v>
      </c>
      <c r="BH68" s="184">
        <v>0</v>
      </c>
      <c r="BI68" s="184">
        <v>0</v>
      </c>
      <c r="BJ68" s="184">
        <v>0</v>
      </c>
      <c r="BK68" s="184">
        <v>25787.65</v>
      </c>
      <c r="BL68" s="184">
        <v>12358.85</v>
      </c>
      <c r="BM68" s="184">
        <v>0</v>
      </c>
      <c r="BN68" s="184">
        <v>531229.57000000007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19085.789999999997</v>
      </c>
      <c r="BW68" s="184">
        <v>0</v>
      </c>
      <c r="BX68" s="184">
        <v>467.41</v>
      </c>
      <c r="BY68" s="184">
        <v>28605.690000000002</v>
      </c>
      <c r="BZ68" s="184">
        <v>0</v>
      </c>
      <c r="CA68" s="184">
        <v>46057.770000000004</v>
      </c>
      <c r="CB68" s="184">
        <v>0</v>
      </c>
      <c r="CC68" s="184">
        <v>166796.74</v>
      </c>
      <c r="CD68" s="244" t="s">
        <v>221</v>
      </c>
      <c r="CE68" s="193">
        <f t="shared" si="0"/>
        <v>13217957.749999996</v>
      </c>
      <c r="CF68" s="247"/>
    </row>
    <row r="69" spans="1:84" ht="12.6" customHeight="1" x14ac:dyDescent="0.2">
      <c r="A69" s="171" t="s">
        <v>241</v>
      </c>
      <c r="B69" s="175"/>
      <c r="C69" s="184">
        <v>3403.73</v>
      </c>
      <c r="D69" s="184">
        <v>0</v>
      </c>
      <c r="E69" s="184">
        <v>40480.58</v>
      </c>
      <c r="F69" s="184">
        <v>0</v>
      </c>
      <c r="G69" s="184">
        <v>0</v>
      </c>
      <c r="H69" s="184">
        <v>0</v>
      </c>
      <c r="I69" s="184">
        <v>0</v>
      </c>
      <c r="J69" s="184">
        <v>30530.57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92682.069999999978</v>
      </c>
      <c r="Q69" s="184">
        <v>14970.739999999991</v>
      </c>
      <c r="R69" s="184">
        <v>0</v>
      </c>
      <c r="S69" s="184">
        <v>91367.53</v>
      </c>
      <c r="T69" s="184">
        <v>0</v>
      </c>
      <c r="U69" s="184">
        <v>565196.33000000007</v>
      </c>
      <c r="V69" s="184">
        <v>826.04</v>
      </c>
      <c r="W69" s="184">
        <v>553.04000000000019</v>
      </c>
      <c r="X69" s="184">
        <v>0</v>
      </c>
      <c r="Y69" s="184">
        <v>32725.489999999998</v>
      </c>
      <c r="Z69" s="184">
        <v>10585.670000000002</v>
      </c>
      <c r="AA69" s="184">
        <v>61</v>
      </c>
      <c r="AB69" s="184">
        <v>51503.89</v>
      </c>
      <c r="AC69" s="184">
        <v>22694.440000000002</v>
      </c>
      <c r="AD69" s="184">
        <v>0</v>
      </c>
      <c r="AE69" s="184">
        <v>18818.2</v>
      </c>
      <c r="AF69" s="184">
        <v>0</v>
      </c>
      <c r="AG69" s="184">
        <v>35512.329999999994</v>
      </c>
      <c r="AH69" s="184">
        <v>0</v>
      </c>
      <c r="AI69" s="184">
        <v>0</v>
      </c>
      <c r="AJ69" s="184">
        <v>4635807.4399999976</v>
      </c>
      <c r="AK69" s="184">
        <v>5890.62</v>
      </c>
      <c r="AL69" s="184">
        <v>2246.86</v>
      </c>
      <c r="AM69" s="184">
        <v>0</v>
      </c>
      <c r="AN69" s="184">
        <v>0</v>
      </c>
      <c r="AO69" s="184">
        <v>0</v>
      </c>
      <c r="AP69" s="184">
        <v>49825.849999999991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300</v>
      </c>
      <c r="AW69" s="184">
        <v>1421.41</v>
      </c>
      <c r="AX69" s="184">
        <v>0</v>
      </c>
      <c r="AY69" s="184">
        <v>102924.7</v>
      </c>
      <c r="AZ69" s="184">
        <v>0</v>
      </c>
      <c r="BA69" s="184">
        <v>157.32</v>
      </c>
      <c r="BB69" s="184">
        <v>0</v>
      </c>
      <c r="BC69" s="184">
        <v>0</v>
      </c>
      <c r="BD69" s="184">
        <v>0</v>
      </c>
      <c r="BE69" s="184">
        <v>187315.82</v>
      </c>
      <c r="BF69" s="184">
        <v>6155.869999999999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209.42999999999998</v>
      </c>
      <c r="BM69" s="184">
        <v>0</v>
      </c>
      <c r="BN69" s="184">
        <v>1021288.1299999998</v>
      </c>
      <c r="BO69" s="184">
        <v>0</v>
      </c>
      <c r="BP69" s="184">
        <v>0</v>
      </c>
      <c r="BQ69" s="184">
        <v>0</v>
      </c>
      <c r="BR69" s="184">
        <v>29298.28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120853.59999999999</v>
      </c>
      <c r="BZ69" s="184">
        <v>0</v>
      </c>
      <c r="CA69" s="184">
        <v>6317.39</v>
      </c>
      <c r="CB69" s="184">
        <v>0</v>
      </c>
      <c r="CC69" s="184">
        <v>1080114</v>
      </c>
      <c r="CD69" s="184">
        <v>15452184</v>
      </c>
      <c r="CE69" s="193">
        <f t="shared" si="0"/>
        <v>23714222.369999997</v>
      </c>
      <c r="CF69" s="247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3316.66</v>
      </c>
      <c r="F70" s="184">
        <v>0</v>
      </c>
      <c r="G70" s="184">
        <v>0</v>
      </c>
      <c r="H70" s="184">
        <v>0</v>
      </c>
      <c r="I70" s="184">
        <v>0</v>
      </c>
      <c r="J70" s="184">
        <v>7583.57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364</v>
      </c>
      <c r="Q70" s="184">
        <v>0</v>
      </c>
      <c r="R70" s="184">
        <v>0</v>
      </c>
      <c r="S70" s="184">
        <v>0</v>
      </c>
      <c r="T70" s="184">
        <v>0</v>
      </c>
      <c r="U70" s="184">
        <v>122915.09</v>
      </c>
      <c r="V70" s="184">
        <v>0</v>
      </c>
      <c r="W70" s="184">
        <v>0</v>
      </c>
      <c r="X70" s="184">
        <v>0</v>
      </c>
      <c r="Y70" s="184">
        <v>11687.69</v>
      </c>
      <c r="Z70" s="184">
        <v>4210.1499999999996</v>
      </c>
      <c r="AA70" s="184">
        <v>0</v>
      </c>
      <c r="AB70" s="184">
        <v>0</v>
      </c>
      <c r="AC70" s="184">
        <v>0</v>
      </c>
      <c r="AD70" s="184">
        <v>0</v>
      </c>
      <c r="AE70" s="184">
        <v>6605.24</v>
      </c>
      <c r="AF70" s="184">
        <v>0</v>
      </c>
      <c r="AG70" s="184">
        <v>5839.52</v>
      </c>
      <c r="AH70" s="184">
        <v>0</v>
      </c>
      <c r="AI70" s="184">
        <v>0</v>
      </c>
      <c r="AJ70" s="184">
        <v>2357967.15</v>
      </c>
      <c r="AK70" s="184">
        <v>1858.82</v>
      </c>
      <c r="AL70" s="184">
        <v>3695.38</v>
      </c>
      <c r="AM70" s="184">
        <v>0</v>
      </c>
      <c r="AN70" s="184">
        <v>0</v>
      </c>
      <c r="AO70" s="184">
        <v>0</v>
      </c>
      <c r="AP70" s="184">
        <v>482046.26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24174.77</v>
      </c>
      <c r="AW70" s="184">
        <v>305840.75</v>
      </c>
      <c r="AX70" s="184">
        <v>0</v>
      </c>
      <c r="AY70" s="184">
        <v>1854075.33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900.85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530075.30000000005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2425.81</v>
      </c>
      <c r="BW70" s="184">
        <v>0</v>
      </c>
      <c r="BX70" s="184">
        <v>0</v>
      </c>
      <c r="BY70" s="184">
        <v>4876.1400000000003</v>
      </c>
      <c r="BZ70" s="184">
        <v>0</v>
      </c>
      <c r="CA70" s="184">
        <v>3703.79</v>
      </c>
      <c r="CB70" s="184">
        <v>0</v>
      </c>
      <c r="CC70" s="184">
        <v>0</v>
      </c>
      <c r="CD70" s="186">
        <v>12302</v>
      </c>
      <c r="CE70" s="193">
        <f t="shared" si="0"/>
        <v>5746464.2699999977</v>
      </c>
      <c r="CF70" s="247"/>
    </row>
    <row r="71" spans="1:84" ht="12.6" customHeight="1" x14ac:dyDescent="0.2">
      <c r="A71" s="171" t="s">
        <v>243</v>
      </c>
      <c r="B71" s="175"/>
      <c r="C71" s="193">
        <f>SUM(C61:C68)+C69-C70</f>
        <v>9274431.1799999997</v>
      </c>
      <c r="D71" s="193">
        <f t="shared" ref="D71:AI71" si="5">SUM(D61:D69)-D70</f>
        <v>0</v>
      </c>
      <c r="E71" s="193">
        <f t="shared" si="5"/>
        <v>54022814.152500011</v>
      </c>
      <c r="F71" s="193">
        <f t="shared" si="5"/>
        <v>0</v>
      </c>
      <c r="G71" s="193">
        <f t="shared" si="5"/>
        <v>119784.64750000001</v>
      </c>
      <c r="H71" s="193">
        <f t="shared" si="5"/>
        <v>763.63</v>
      </c>
      <c r="I71" s="193">
        <f t="shared" si="5"/>
        <v>0</v>
      </c>
      <c r="J71" s="193">
        <f t="shared" si="5"/>
        <v>13564423.77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0</v>
      </c>
      <c r="P71" s="193">
        <f t="shared" si="5"/>
        <v>48223151.385000005</v>
      </c>
      <c r="Q71" s="193">
        <f t="shared" si="5"/>
        <v>6604556.9600000009</v>
      </c>
      <c r="R71" s="193">
        <f t="shared" si="5"/>
        <v>1577080.55</v>
      </c>
      <c r="S71" s="193">
        <f t="shared" si="5"/>
        <v>3318199.9894524994</v>
      </c>
      <c r="T71" s="193">
        <f t="shared" si="5"/>
        <v>0</v>
      </c>
      <c r="U71" s="193">
        <f t="shared" si="5"/>
        <v>14762912.51</v>
      </c>
      <c r="V71" s="193">
        <f t="shared" si="5"/>
        <v>1091779.9500000002</v>
      </c>
      <c r="W71" s="193">
        <f t="shared" si="5"/>
        <v>858273.73000000021</v>
      </c>
      <c r="X71" s="193">
        <f t="shared" si="5"/>
        <v>0</v>
      </c>
      <c r="Y71" s="193">
        <f t="shared" si="5"/>
        <v>41452895.600000001</v>
      </c>
      <c r="Z71" s="193">
        <f t="shared" si="5"/>
        <v>4491174.66</v>
      </c>
      <c r="AA71" s="193">
        <f t="shared" si="5"/>
        <v>1327121.1099999999</v>
      </c>
      <c r="AB71" s="193">
        <f t="shared" si="5"/>
        <v>19261775.280000001</v>
      </c>
      <c r="AC71" s="193">
        <f t="shared" si="5"/>
        <v>7547227.2500000019</v>
      </c>
      <c r="AD71" s="193">
        <f t="shared" si="5"/>
        <v>41289</v>
      </c>
      <c r="AE71" s="193">
        <f t="shared" si="5"/>
        <v>7820847.46</v>
      </c>
      <c r="AF71" s="193">
        <f t="shared" si="5"/>
        <v>0</v>
      </c>
      <c r="AG71" s="193">
        <f t="shared" si="5"/>
        <v>23316139.699999999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152944654.15999997</v>
      </c>
      <c r="AK71" s="193">
        <f t="shared" si="6"/>
        <v>1686820.7300000004</v>
      </c>
      <c r="AL71" s="193">
        <f t="shared" si="6"/>
        <v>723215.99000000022</v>
      </c>
      <c r="AM71" s="193">
        <f t="shared" si="6"/>
        <v>-44.78</v>
      </c>
      <c r="AN71" s="193">
        <f t="shared" si="6"/>
        <v>0</v>
      </c>
      <c r="AO71" s="193">
        <f t="shared" si="6"/>
        <v>0</v>
      </c>
      <c r="AP71" s="193">
        <f t="shared" si="6"/>
        <v>54707514.900000013</v>
      </c>
      <c r="AQ71" s="193">
        <f t="shared" si="6"/>
        <v>0</v>
      </c>
      <c r="AR71" s="193">
        <f t="shared" si="6"/>
        <v>0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3364723.4149999996</v>
      </c>
      <c r="AW71" s="193">
        <f t="shared" si="6"/>
        <v>1031834.75</v>
      </c>
      <c r="AX71" s="193">
        <f t="shared" si="6"/>
        <v>194884.55999999997</v>
      </c>
      <c r="AY71" s="193">
        <f t="shared" si="6"/>
        <v>6868580.4799999986</v>
      </c>
      <c r="AZ71" s="193">
        <f>SUM(AZ61:AZ69)-AZ70</f>
        <v>0</v>
      </c>
      <c r="BA71" s="193">
        <f t="shared" si="6"/>
        <v>345015.93</v>
      </c>
      <c r="BB71" s="193">
        <f t="shared" si="6"/>
        <v>72600.42</v>
      </c>
      <c r="BC71" s="193">
        <f t="shared" si="6"/>
        <v>1211450.4000000001</v>
      </c>
      <c r="BD71" s="193">
        <f t="shared" si="6"/>
        <v>2681965</v>
      </c>
      <c r="BE71" s="193">
        <f t="shared" si="6"/>
        <v>22006860.059999999</v>
      </c>
      <c r="BF71" s="193">
        <f t="shared" si="6"/>
        <v>5080919.4400000004</v>
      </c>
      <c r="BG71" s="193">
        <f t="shared" si="6"/>
        <v>1217897.7925</v>
      </c>
      <c r="BH71" s="193">
        <f t="shared" si="6"/>
        <v>3654921.05</v>
      </c>
      <c r="BI71" s="193">
        <f t="shared" si="6"/>
        <v>0</v>
      </c>
      <c r="BJ71" s="193">
        <f t="shared" si="6"/>
        <v>872642.5924999998</v>
      </c>
      <c r="BK71" s="193">
        <f t="shared" si="6"/>
        <v>6972175.2336347504</v>
      </c>
      <c r="BL71" s="193">
        <f t="shared" si="6"/>
        <v>2743584.3950000005</v>
      </c>
      <c r="BM71" s="193">
        <f t="shared" si="6"/>
        <v>0</v>
      </c>
      <c r="BN71" s="193">
        <f t="shared" si="6"/>
        <v>14158339.697136246</v>
      </c>
      <c r="BO71" s="193">
        <f t="shared" si="6"/>
        <v>636076.26500000001</v>
      </c>
      <c r="BP71" s="193">
        <f t="shared" ref="BP71:CC71" si="7">SUM(BP61:BP69)-BP70</f>
        <v>3352083.0449999999</v>
      </c>
      <c r="BQ71" s="193">
        <f t="shared" si="7"/>
        <v>0</v>
      </c>
      <c r="BR71" s="193">
        <f t="shared" si="7"/>
        <v>2183792.2274999996</v>
      </c>
      <c r="BS71" s="193">
        <f t="shared" si="7"/>
        <v>392448.29749999999</v>
      </c>
      <c r="BT71" s="193">
        <f t="shared" si="7"/>
        <v>301032.58249999996</v>
      </c>
      <c r="BU71" s="193">
        <f t="shared" si="7"/>
        <v>241846.52750000003</v>
      </c>
      <c r="BV71" s="193">
        <f t="shared" si="7"/>
        <v>4329578.1096307505</v>
      </c>
      <c r="BW71" s="193">
        <f t="shared" si="7"/>
        <v>1544673.70456375</v>
      </c>
      <c r="BX71" s="193">
        <f t="shared" si="7"/>
        <v>7600006.6391360005</v>
      </c>
      <c r="BY71" s="193">
        <f t="shared" si="7"/>
        <v>5361509.7275</v>
      </c>
      <c r="BZ71" s="193">
        <f t="shared" si="7"/>
        <v>0</v>
      </c>
      <c r="CA71" s="193">
        <f t="shared" si="7"/>
        <v>2536753.7000000002</v>
      </c>
      <c r="CB71" s="193">
        <f t="shared" si="7"/>
        <v>112544.0675</v>
      </c>
      <c r="CC71" s="193">
        <f t="shared" si="7"/>
        <v>27983087.472048998</v>
      </c>
      <c r="CD71" s="240">
        <f>CD69-CD70</f>
        <v>15439882</v>
      </c>
      <c r="CE71" s="193">
        <f>SUM(CE61:CE69)-CE70</f>
        <v>613232513.09560299</v>
      </c>
      <c r="CF71" s="247"/>
    </row>
    <row r="72" spans="1:84" ht="12.6" customHeight="1" x14ac:dyDescent="0.2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6"/>
      <c r="CF72" s="247"/>
    </row>
    <row r="73" spans="1:84" ht="17.25" customHeight="1" x14ac:dyDescent="0.2">
      <c r="A73" s="171" t="s">
        <v>245</v>
      </c>
      <c r="B73" s="175"/>
      <c r="C73" s="184">
        <v>36995871.610000014</v>
      </c>
      <c r="D73" s="184">
        <v>0</v>
      </c>
      <c r="E73" s="184">
        <v>195219316.60999998</v>
      </c>
      <c r="F73" s="184">
        <v>0</v>
      </c>
      <c r="G73" s="184">
        <v>0</v>
      </c>
      <c r="H73" s="184">
        <v>0</v>
      </c>
      <c r="I73" s="184">
        <v>0</v>
      </c>
      <c r="J73" s="184">
        <v>60571494.869999997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222754045.53000003</v>
      </c>
      <c r="Q73" s="184">
        <v>15435530.939999998</v>
      </c>
      <c r="R73" s="184">
        <v>8055699.71</v>
      </c>
      <c r="S73" s="184">
        <v>0</v>
      </c>
      <c r="T73" s="184">
        <v>0</v>
      </c>
      <c r="U73" s="184">
        <v>65085801.170000002</v>
      </c>
      <c r="V73" s="184">
        <v>20929325.84</v>
      </c>
      <c r="W73" s="184">
        <v>6356582.4800000004</v>
      </c>
      <c r="X73" s="184">
        <v>0</v>
      </c>
      <c r="Y73" s="184">
        <v>150561929.22</v>
      </c>
      <c r="Z73" s="184">
        <v>2707402.5900000003</v>
      </c>
      <c r="AA73" s="184">
        <v>5493616.379999999</v>
      </c>
      <c r="AB73" s="184">
        <v>149779547.75999999</v>
      </c>
      <c r="AC73" s="184">
        <v>43268174.799999997</v>
      </c>
      <c r="AD73" s="184">
        <v>0</v>
      </c>
      <c r="AE73" s="184">
        <v>5715212.0199999986</v>
      </c>
      <c r="AF73" s="184">
        <v>0</v>
      </c>
      <c r="AG73" s="184">
        <v>55235562.890000001</v>
      </c>
      <c r="AH73" s="184">
        <v>0</v>
      </c>
      <c r="AI73" s="184">
        <v>0</v>
      </c>
      <c r="AJ73" s="184">
        <v>0</v>
      </c>
      <c r="AK73" s="184">
        <v>3380933.26</v>
      </c>
      <c r="AL73" s="184">
        <v>1333139.9100000001</v>
      </c>
      <c r="AM73" s="184">
        <v>0</v>
      </c>
      <c r="AN73" s="184">
        <v>0</v>
      </c>
      <c r="AO73" s="184">
        <v>0</v>
      </c>
      <c r="AP73" s="184">
        <v>3982387.54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-187489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3">
        <f t="shared" ref="CE73:CE80" si="8">SUM(C73:CD73)</f>
        <v>1052674086.1299999</v>
      </c>
      <c r="CF73" s="247"/>
    </row>
    <row r="74" spans="1:84" ht="12.6" customHeight="1" x14ac:dyDescent="0.2">
      <c r="A74" s="171" t="s">
        <v>246</v>
      </c>
      <c r="B74" s="175"/>
      <c r="C74" s="184">
        <v>96090.799999999988</v>
      </c>
      <c r="D74" s="184">
        <v>0</v>
      </c>
      <c r="E74" s="184">
        <v>17379467.469999999</v>
      </c>
      <c r="F74" s="184">
        <v>0</v>
      </c>
      <c r="G74" s="184">
        <v>0</v>
      </c>
      <c r="H74" s="184">
        <v>0</v>
      </c>
      <c r="I74" s="184">
        <v>0</v>
      </c>
      <c r="J74" s="184">
        <v>4298308.4400000004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209123792.50000003</v>
      </c>
      <c r="Q74" s="184">
        <v>36398005.560000002</v>
      </c>
      <c r="R74" s="184">
        <v>14339474.689999999</v>
      </c>
      <c r="S74" s="184">
        <v>0</v>
      </c>
      <c r="T74" s="184">
        <v>0</v>
      </c>
      <c r="U74" s="184">
        <v>36401080.159999996</v>
      </c>
      <c r="V74" s="184">
        <v>12597609.68</v>
      </c>
      <c r="W74" s="184">
        <v>15730749.129999999</v>
      </c>
      <c r="X74" s="184">
        <v>0</v>
      </c>
      <c r="Y74" s="184">
        <v>273041739.06000006</v>
      </c>
      <c r="Z74" s="184">
        <v>39218980.479999989</v>
      </c>
      <c r="AA74" s="184">
        <v>9350911.7599999979</v>
      </c>
      <c r="AB74" s="184">
        <v>91983435.110000014</v>
      </c>
      <c r="AC74" s="184">
        <v>19514490.920000002</v>
      </c>
      <c r="AD74" s="184">
        <v>0</v>
      </c>
      <c r="AE74" s="184">
        <v>21123398.710000001</v>
      </c>
      <c r="AF74" s="184">
        <v>0</v>
      </c>
      <c r="AG74" s="184">
        <v>206165921.69</v>
      </c>
      <c r="AH74" s="184">
        <v>0</v>
      </c>
      <c r="AI74" s="184">
        <v>0</v>
      </c>
      <c r="AJ74" s="184">
        <v>248490704.91000003</v>
      </c>
      <c r="AK74" s="184">
        <v>3500355.56</v>
      </c>
      <c r="AL74" s="184">
        <v>2054124.5699999998</v>
      </c>
      <c r="AM74" s="184">
        <v>0</v>
      </c>
      <c r="AN74" s="184">
        <v>0</v>
      </c>
      <c r="AO74" s="184">
        <v>0</v>
      </c>
      <c r="AP74" s="184">
        <v>361904506.97000015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3188097.4299999997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3">
        <f t="shared" si="8"/>
        <v>1625901245.6000001</v>
      </c>
      <c r="CF74" s="247"/>
    </row>
    <row r="75" spans="1:84" ht="12.6" customHeight="1" x14ac:dyDescent="0.2">
      <c r="A75" s="171" t="s">
        <v>247</v>
      </c>
      <c r="B75" s="175"/>
      <c r="C75" s="193">
        <f t="shared" ref="C75:AV75" si="9">SUM(C73:C74)</f>
        <v>37091962.410000011</v>
      </c>
      <c r="D75" s="193">
        <f t="shared" si="9"/>
        <v>0</v>
      </c>
      <c r="E75" s="193">
        <f t="shared" si="9"/>
        <v>212598784.07999998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64869803.309999995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0</v>
      </c>
      <c r="P75" s="193">
        <f t="shared" si="9"/>
        <v>431877838.03000009</v>
      </c>
      <c r="Q75" s="193">
        <f t="shared" si="9"/>
        <v>51833536.5</v>
      </c>
      <c r="R75" s="193">
        <f t="shared" si="9"/>
        <v>22395174.399999999</v>
      </c>
      <c r="S75" s="193">
        <f t="shared" si="9"/>
        <v>0</v>
      </c>
      <c r="T75" s="193">
        <f t="shared" si="9"/>
        <v>0</v>
      </c>
      <c r="U75" s="193">
        <f t="shared" si="9"/>
        <v>101486881.33</v>
      </c>
      <c r="V75" s="193">
        <f t="shared" si="9"/>
        <v>33526935.52</v>
      </c>
      <c r="W75" s="193">
        <f t="shared" si="9"/>
        <v>22087331.609999999</v>
      </c>
      <c r="X75" s="193">
        <f t="shared" si="9"/>
        <v>0</v>
      </c>
      <c r="Y75" s="193">
        <f t="shared" si="9"/>
        <v>423603668.28000009</v>
      </c>
      <c r="Z75" s="193">
        <f t="shared" si="9"/>
        <v>41926383.069999993</v>
      </c>
      <c r="AA75" s="193">
        <f t="shared" si="9"/>
        <v>14844528.139999997</v>
      </c>
      <c r="AB75" s="193">
        <f t="shared" si="9"/>
        <v>241762982.87</v>
      </c>
      <c r="AC75" s="193">
        <f t="shared" si="9"/>
        <v>62782665.719999999</v>
      </c>
      <c r="AD75" s="193">
        <f t="shared" si="9"/>
        <v>0</v>
      </c>
      <c r="AE75" s="193">
        <f t="shared" si="9"/>
        <v>26838610.73</v>
      </c>
      <c r="AF75" s="193">
        <f t="shared" si="9"/>
        <v>0</v>
      </c>
      <c r="AG75" s="193">
        <f t="shared" si="9"/>
        <v>261401484.57999998</v>
      </c>
      <c r="AH75" s="193">
        <f t="shared" si="9"/>
        <v>0</v>
      </c>
      <c r="AI75" s="193">
        <f t="shared" si="9"/>
        <v>0</v>
      </c>
      <c r="AJ75" s="193">
        <f t="shared" si="9"/>
        <v>248490704.91000003</v>
      </c>
      <c r="AK75" s="193">
        <f t="shared" si="9"/>
        <v>6881288.8200000003</v>
      </c>
      <c r="AL75" s="193">
        <f t="shared" si="9"/>
        <v>3387264.48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365886894.51000017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3000608.4299999997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3">
        <f t="shared" si="8"/>
        <v>2678575331.7300005</v>
      </c>
      <c r="CF75" s="247"/>
    </row>
    <row r="76" spans="1:84" ht="12.6" customHeight="1" x14ac:dyDescent="0.2">
      <c r="A76" s="171" t="s">
        <v>248</v>
      </c>
      <c r="B76" s="175"/>
      <c r="C76" s="184">
        <v>8800</v>
      </c>
      <c r="D76" s="184">
        <v>0</v>
      </c>
      <c r="E76" s="184">
        <v>90290</v>
      </c>
      <c r="F76" s="184">
        <v>0</v>
      </c>
      <c r="G76" s="184">
        <v>0</v>
      </c>
      <c r="H76" s="184">
        <v>0</v>
      </c>
      <c r="I76" s="184">
        <v>0</v>
      </c>
      <c r="J76" s="184">
        <v>16041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58788</v>
      </c>
      <c r="Q76" s="184">
        <v>8627</v>
      </c>
      <c r="R76" s="184">
        <v>116</v>
      </c>
      <c r="S76" s="184">
        <v>8419</v>
      </c>
      <c r="T76" s="184">
        <v>0</v>
      </c>
      <c r="U76" s="184">
        <v>13374</v>
      </c>
      <c r="V76" s="184">
        <v>0</v>
      </c>
      <c r="W76" s="184">
        <v>2192</v>
      </c>
      <c r="X76" s="184">
        <v>0</v>
      </c>
      <c r="Y76" s="184">
        <v>23073</v>
      </c>
      <c r="Z76" s="184">
        <v>11773</v>
      </c>
      <c r="AA76" s="184">
        <v>0</v>
      </c>
      <c r="AB76" s="184">
        <v>5552</v>
      </c>
      <c r="AC76" s="184">
        <v>7609</v>
      </c>
      <c r="AD76" s="184">
        <v>810</v>
      </c>
      <c r="AE76" s="184">
        <v>21850</v>
      </c>
      <c r="AF76" s="184">
        <v>0</v>
      </c>
      <c r="AG76" s="184">
        <v>28510</v>
      </c>
      <c r="AH76" s="184">
        <v>0</v>
      </c>
      <c r="AI76" s="184">
        <v>0</v>
      </c>
      <c r="AJ76" s="184">
        <v>0</v>
      </c>
      <c r="AK76" s="184">
        <v>4681</v>
      </c>
      <c r="AL76" s="184">
        <v>1540</v>
      </c>
      <c r="AM76" s="184">
        <v>0</v>
      </c>
      <c r="AN76" s="184">
        <v>0</v>
      </c>
      <c r="AO76" s="184">
        <v>0</v>
      </c>
      <c r="AP76" s="184">
        <v>63472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3169</v>
      </c>
      <c r="AW76" s="184">
        <v>0</v>
      </c>
      <c r="AX76" s="184">
        <v>0</v>
      </c>
      <c r="AY76" s="184">
        <v>19152</v>
      </c>
      <c r="AZ76" s="184">
        <v>0</v>
      </c>
      <c r="BA76" s="184">
        <v>3718</v>
      </c>
      <c r="BB76" s="184">
        <v>1144</v>
      </c>
      <c r="BC76" s="184">
        <v>0</v>
      </c>
      <c r="BD76" s="184">
        <v>52614</v>
      </c>
      <c r="BE76" s="184">
        <v>81349</v>
      </c>
      <c r="BF76" s="184">
        <v>10852</v>
      </c>
      <c r="BG76" s="184">
        <v>0</v>
      </c>
      <c r="BH76" s="184">
        <v>0</v>
      </c>
      <c r="BI76" s="184">
        <v>0</v>
      </c>
      <c r="BJ76" s="184">
        <v>0</v>
      </c>
      <c r="BK76" s="184">
        <v>0</v>
      </c>
      <c r="BL76" s="184">
        <v>0</v>
      </c>
      <c r="BM76" s="184">
        <v>0</v>
      </c>
      <c r="BN76" s="184">
        <v>10802</v>
      </c>
      <c r="BO76" s="184">
        <v>0</v>
      </c>
      <c r="BP76" s="184">
        <v>0</v>
      </c>
      <c r="BQ76" s="184">
        <v>0</v>
      </c>
      <c r="BR76" s="184">
        <v>0</v>
      </c>
      <c r="BS76" s="184">
        <v>4251</v>
      </c>
      <c r="BT76" s="184">
        <v>0</v>
      </c>
      <c r="BU76" s="184">
        <v>2688</v>
      </c>
      <c r="BV76" s="184">
        <v>7535</v>
      </c>
      <c r="BW76" s="184">
        <v>0</v>
      </c>
      <c r="BX76" s="184">
        <v>0</v>
      </c>
      <c r="BY76" s="184">
        <v>2637</v>
      </c>
      <c r="BZ76" s="184">
        <v>0</v>
      </c>
      <c r="CA76" s="184">
        <v>1853</v>
      </c>
      <c r="CB76" s="184">
        <v>0</v>
      </c>
      <c r="CC76" s="184">
        <v>0</v>
      </c>
      <c r="CD76" s="244" t="s">
        <v>221</v>
      </c>
      <c r="CE76" s="193">
        <f t="shared" si="8"/>
        <v>577281</v>
      </c>
      <c r="CF76" s="193">
        <f>BE59-CE76</f>
        <v>0</v>
      </c>
    </row>
    <row r="77" spans="1:84" ht="12.6" customHeight="1" x14ac:dyDescent="0.2">
      <c r="A77" s="171" t="s">
        <v>249</v>
      </c>
      <c r="B77" s="175"/>
      <c r="C77" s="184">
        <v>5806</v>
      </c>
      <c r="D77" s="184">
        <v>0</v>
      </c>
      <c r="E77" s="184">
        <f>211077-11330</f>
        <v>199747</v>
      </c>
      <c r="F77" s="184">
        <v>0</v>
      </c>
      <c r="G77" s="184">
        <v>0</v>
      </c>
      <c r="H77" s="184">
        <v>0</v>
      </c>
      <c r="I77" s="184">
        <v>0</v>
      </c>
      <c r="J77" s="184">
        <v>11330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10104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4" t="s">
        <v>221</v>
      </c>
      <c r="AY77" s="244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4" t="s">
        <v>221</v>
      </c>
      <c r="BE77" s="244" t="s">
        <v>221</v>
      </c>
      <c r="BF77" s="184">
        <v>0</v>
      </c>
      <c r="BG77" s="244" t="s">
        <v>221</v>
      </c>
      <c r="BH77" s="184">
        <v>0</v>
      </c>
      <c r="BI77" s="184">
        <v>0</v>
      </c>
      <c r="BJ77" s="244" t="s">
        <v>221</v>
      </c>
      <c r="BK77" s="184">
        <v>0</v>
      </c>
      <c r="BL77" s="184">
        <v>0</v>
      </c>
      <c r="BM77" s="184">
        <v>0</v>
      </c>
      <c r="BN77" s="244" t="s">
        <v>221</v>
      </c>
      <c r="BO77" s="244" t="s">
        <v>221</v>
      </c>
      <c r="BP77" s="244" t="s">
        <v>221</v>
      </c>
      <c r="BQ77" s="244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4" t="s">
        <v>221</v>
      </c>
      <c r="CD77" s="244" t="s">
        <v>221</v>
      </c>
      <c r="CE77" s="193">
        <f>SUM(C77:CD77)</f>
        <v>226987</v>
      </c>
      <c r="CF77" s="193">
        <f>AY59-CE77</f>
        <v>0</v>
      </c>
    </row>
    <row r="78" spans="1:84" ht="12.6" customHeight="1" x14ac:dyDescent="0.2">
      <c r="A78" s="171" t="s">
        <v>250</v>
      </c>
      <c r="B78" s="175"/>
      <c r="C78" s="184">
        <v>2514.2745955400092</v>
      </c>
      <c r="D78" s="184">
        <v>0</v>
      </c>
      <c r="E78" s="184">
        <v>25797.028776284933</v>
      </c>
      <c r="F78" s="184">
        <v>0</v>
      </c>
      <c r="G78" s="184">
        <v>0</v>
      </c>
      <c r="H78" s="184">
        <v>0</v>
      </c>
      <c r="I78" s="184">
        <v>0</v>
      </c>
      <c r="J78" s="184">
        <v>4583.1225894383279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16796.497150296142</v>
      </c>
      <c r="Q78" s="184">
        <v>2464.8462426958704</v>
      </c>
      <c r="R78" s="184">
        <v>33.142710577572842</v>
      </c>
      <c r="S78" s="184">
        <v>2405.4179340740156</v>
      </c>
      <c r="T78" s="184">
        <v>0</v>
      </c>
      <c r="U78" s="184">
        <v>3821.1259591763728</v>
      </c>
      <c r="V78" s="184">
        <v>0</v>
      </c>
      <c r="W78" s="184">
        <v>626.28294470723858</v>
      </c>
      <c r="X78" s="184">
        <v>0</v>
      </c>
      <c r="Y78" s="184">
        <v>6592.2565616925713</v>
      </c>
      <c r="Z78" s="184">
        <v>3363.6994106014236</v>
      </c>
      <c r="AA78" s="184">
        <v>0</v>
      </c>
      <c r="AB78" s="184">
        <v>1586.2786993679692</v>
      </c>
      <c r="AC78" s="184">
        <v>2173.9903860754462</v>
      </c>
      <c r="AD78" s="184">
        <v>231.42754799856903</v>
      </c>
      <c r="AE78" s="184">
        <v>6242.8295355169548</v>
      </c>
      <c r="AF78" s="184">
        <v>0</v>
      </c>
      <c r="AG78" s="184">
        <v>8145.6782635051877</v>
      </c>
      <c r="AH78" s="184">
        <v>0</v>
      </c>
      <c r="AI78" s="184">
        <v>0</v>
      </c>
      <c r="AJ78" s="184">
        <v>0</v>
      </c>
      <c r="AK78" s="184">
        <v>1337.4226570139526</v>
      </c>
      <c r="AL78" s="184">
        <v>439.99805421950163</v>
      </c>
      <c r="AM78" s="184">
        <v>0</v>
      </c>
      <c r="AN78" s="184">
        <v>0</v>
      </c>
      <c r="AO78" s="184">
        <v>0</v>
      </c>
      <c r="AP78" s="184">
        <v>18134.776946376758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905.42456741662374</v>
      </c>
      <c r="AW78" s="184">
        <v>0</v>
      </c>
      <c r="AX78" s="244" t="s">
        <v>221</v>
      </c>
      <c r="AY78" s="244" t="s">
        <v>221</v>
      </c>
      <c r="AZ78" s="244" t="s">
        <v>221</v>
      </c>
      <c r="BA78" s="184">
        <v>1062.2810166156537</v>
      </c>
      <c r="BB78" s="184">
        <v>326.85569742020118</v>
      </c>
      <c r="BC78" s="184"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v>0</v>
      </c>
      <c r="BI78" s="184">
        <v>0</v>
      </c>
      <c r="BJ78" s="244" t="s">
        <v>221</v>
      </c>
      <c r="BK78" s="184">
        <v>0</v>
      </c>
      <c r="BL78" s="184">
        <v>0</v>
      </c>
      <c r="BM78" s="184">
        <v>0</v>
      </c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>
        <v>1214.5660574591566</v>
      </c>
      <c r="BT78" s="184">
        <v>0</v>
      </c>
      <c r="BU78" s="184">
        <v>767.99660372858466</v>
      </c>
      <c r="BV78" s="184">
        <v>2152.8476224311325</v>
      </c>
      <c r="BW78" s="184">
        <v>0</v>
      </c>
      <c r="BX78" s="184">
        <v>0</v>
      </c>
      <c r="BY78" s="184">
        <v>753.42523959534128</v>
      </c>
      <c r="BZ78" s="184">
        <v>0</v>
      </c>
      <c r="CA78" s="184">
        <v>529.4262301745041</v>
      </c>
      <c r="CB78" s="184">
        <v>0</v>
      </c>
      <c r="CC78" s="244" t="s">
        <v>221</v>
      </c>
      <c r="CD78" s="244" t="s">
        <v>221</v>
      </c>
      <c r="CE78" s="193">
        <f t="shared" si="8"/>
        <v>115002.92000000003</v>
      </c>
      <c r="CF78" s="193"/>
    </row>
    <row r="79" spans="1:84" ht="12.6" customHeight="1" x14ac:dyDescent="0.2">
      <c r="A79" s="171" t="s">
        <v>251</v>
      </c>
      <c r="B79" s="175"/>
      <c r="C79" s="221">
        <v>65061</v>
      </c>
      <c r="D79" s="221">
        <v>0</v>
      </c>
      <c r="E79" s="184">
        <v>640945</v>
      </c>
      <c r="F79" s="184">
        <v>0</v>
      </c>
      <c r="G79" s="184">
        <v>0</v>
      </c>
      <c r="H79" s="184">
        <v>0</v>
      </c>
      <c r="I79" s="184">
        <v>0</v>
      </c>
      <c r="J79" s="184">
        <v>83794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f>61521+312554</f>
        <v>374075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102572</v>
      </c>
      <c r="Z79" s="184">
        <v>25657</v>
      </c>
      <c r="AA79" s="184">
        <v>0</v>
      </c>
      <c r="AB79" s="184">
        <v>0</v>
      </c>
      <c r="AC79" s="184">
        <v>18204</v>
      </c>
      <c r="AD79" s="184">
        <v>0</v>
      </c>
      <c r="AE79" s="184">
        <f>92+40276</f>
        <v>40368</v>
      </c>
      <c r="AF79" s="184">
        <v>0</v>
      </c>
      <c r="AG79" s="184">
        <f>377108+146459</f>
        <v>523567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12305</v>
      </c>
      <c r="AW79" s="184">
        <v>0</v>
      </c>
      <c r="AX79" s="244" t="s">
        <v>221</v>
      </c>
      <c r="AY79" s="244" t="s">
        <v>221</v>
      </c>
      <c r="AZ79" s="244" t="s">
        <v>221</v>
      </c>
      <c r="BA79" s="244" t="s">
        <v>221</v>
      </c>
      <c r="BB79" s="184">
        <v>0</v>
      </c>
      <c r="BC79" s="184">
        <v>0</v>
      </c>
      <c r="BD79" s="244" t="s">
        <v>221</v>
      </c>
      <c r="BE79" s="244" t="s">
        <v>221</v>
      </c>
      <c r="BF79" s="244" t="s">
        <v>221</v>
      </c>
      <c r="BG79" s="244" t="s">
        <v>221</v>
      </c>
      <c r="BH79" s="184">
        <v>0</v>
      </c>
      <c r="BI79" s="184">
        <v>0</v>
      </c>
      <c r="BJ79" s="244" t="s">
        <v>221</v>
      </c>
      <c r="BK79" s="184">
        <v>0</v>
      </c>
      <c r="BL79" s="184">
        <v>0</v>
      </c>
      <c r="BM79" s="184">
        <v>0</v>
      </c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4" t="s">
        <v>221</v>
      </c>
      <c r="CD79" s="244" t="s">
        <v>221</v>
      </c>
      <c r="CE79" s="193">
        <f t="shared" si="8"/>
        <v>1886548</v>
      </c>
      <c r="CF79" s="193">
        <f>BA59</f>
        <v>0</v>
      </c>
    </row>
    <row r="80" spans="1:84" ht="21" customHeight="1" x14ac:dyDescent="0.2">
      <c r="A80" s="171" t="s">
        <v>252</v>
      </c>
      <c r="B80" s="175"/>
      <c r="C80" s="184">
        <v>37.431908653846151</v>
      </c>
      <c r="D80" s="184">
        <v>0</v>
      </c>
      <c r="E80" s="184">
        <v>199.36947596153846</v>
      </c>
      <c r="F80" s="184">
        <v>0</v>
      </c>
      <c r="G80" s="184">
        <v>0</v>
      </c>
      <c r="H80" s="184">
        <v>0</v>
      </c>
      <c r="I80" s="184">
        <v>0</v>
      </c>
      <c r="J80" s="184">
        <v>53.456235576923078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184">
        <v>43.042163461538465</v>
      </c>
      <c r="Q80" s="184">
        <v>31.203600961538463</v>
      </c>
      <c r="R80" s="184">
        <v>3.7007451923076924</v>
      </c>
      <c r="S80" s="184">
        <v>2.403846153846154E-3</v>
      </c>
      <c r="T80" s="184">
        <v>0</v>
      </c>
      <c r="U80" s="184">
        <v>0</v>
      </c>
      <c r="V80" s="184">
        <v>0</v>
      </c>
      <c r="W80" s="184">
        <v>0</v>
      </c>
      <c r="X80" s="184">
        <v>0</v>
      </c>
      <c r="Y80" s="184">
        <v>19.305326923076922</v>
      </c>
      <c r="Z80" s="184">
        <v>2.4004038461538459</v>
      </c>
      <c r="AA80" s="184">
        <v>3.8461538461538464E-3</v>
      </c>
      <c r="AB80" s="184">
        <v>0</v>
      </c>
      <c r="AC80" s="184">
        <v>1.9638653846153846</v>
      </c>
      <c r="AD80" s="184">
        <v>0</v>
      </c>
      <c r="AE80" s="184">
        <v>6.4009278846153848</v>
      </c>
      <c r="AF80" s="184">
        <v>0</v>
      </c>
      <c r="AG80" s="184">
        <v>62.653269230769233</v>
      </c>
      <c r="AH80" s="184">
        <v>0</v>
      </c>
      <c r="AI80" s="184">
        <v>0</v>
      </c>
      <c r="AJ80" s="184">
        <v>29.26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32.223875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0.56800480769230766</v>
      </c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522.98605288461533</v>
      </c>
      <c r="CF80" s="250"/>
    </row>
    <row r="81" spans="1:5" ht="12.6" customHeight="1" x14ac:dyDescent="0.2">
      <c r="A81" s="206" t="s">
        <v>253</v>
      </c>
      <c r="B81" s="206"/>
      <c r="C81" s="206"/>
      <c r="D81" s="206"/>
      <c r="E81" s="206"/>
    </row>
    <row r="82" spans="1:5" ht="12.6" customHeight="1" x14ac:dyDescent="0.2">
      <c r="A82" s="171" t="s">
        <v>254</v>
      </c>
      <c r="B82" s="172"/>
      <c r="C82" s="276" t="s">
        <v>1266</v>
      </c>
      <c r="D82" s="251"/>
      <c r="E82" s="175"/>
    </row>
    <row r="83" spans="1:5" ht="12.6" customHeight="1" x14ac:dyDescent="0.2">
      <c r="A83" s="173" t="s">
        <v>255</v>
      </c>
      <c r="B83" s="172" t="s">
        <v>256</v>
      </c>
      <c r="C83" s="222" t="s">
        <v>1273</v>
      </c>
      <c r="D83" s="251"/>
      <c r="E83" s="175"/>
    </row>
    <row r="84" spans="1:5" ht="12.6" customHeight="1" x14ac:dyDescent="0.2">
      <c r="A84" s="173" t="s">
        <v>257</v>
      </c>
      <c r="B84" s="172" t="s">
        <v>256</v>
      </c>
      <c r="C84" s="225" t="s">
        <v>1274</v>
      </c>
      <c r="D84" s="203"/>
      <c r="E84" s="202"/>
    </row>
    <row r="85" spans="1:5" ht="12.6" customHeight="1" x14ac:dyDescent="0.2">
      <c r="A85" s="173" t="s">
        <v>1251</v>
      </c>
      <c r="B85" s="172"/>
      <c r="C85" s="265" t="s">
        <v>1275</v>
      </c>
      <c r="D85" s="203"/>
      <c r="E85" s="202"/>
    </row>
    <row r="86" spans="1:5" ht="12.6" customHeight="1" x14ac:dyDescent="0.2">
      <c r="A86" s="173" t="s">
        <v>1252</v>
      </c>
      <c r="B86" s="172" t="s">
        <v>256</v>
      </c>
      <c r="C86" s="226" t="s">
        <v>1275</v>
      </c>
      <c r="D86" s="203"/>
      <c r="E86" s="202"/>
    </row>
    <row r="87" spans="1:5" ht="12.6" customHeight="1" x14ac:dyDescent="0.2">
      <c r="A87" s="173" t="s">
        <v>258</v>
      </c>
      <c r="B87" s="172" t="s">
        <v>256</v>
      </c>
      <c r="C87" s="225" t="s">
        <v>1276</v>
      </c>
      <c r="D87" s="203"/>
      <c r="E87" s="202"/>
    </row>
    <row r="88" spans="1:5" ht="12.6" customHeight="1" x14ac:dyDescent="0.2">
      <c r="A88" s="173" t="s">
        <v>259</v>
      </c>
      <c r="B88" s="172" t="s">
        <v>256</v>
      </c>
      <c r="C88" s="225" t="s">
        <v>1277</v>
      </c>
      <c r="D88" s="203"/>
      <c r="E88" s="202"/>
    </row>
    <row r="89" spans="1:5" ht="12.6" customHeight="1" x14ac:dyDescent="0.2">
      <c r="A89" s="173" t="s">
        <v>260</v>
      </c>
      <c r="B89" s="172" t="s">
        <v>256</v>
      </c>
      <c r="C89" s="222" t="s">
        <v>1268</v>
      </c>
      <c r="D89" s="203"/>
      <c r="E89" s="202"/>
    </row>
    <row r="90" spans="1:5" ht="12.6" customHeight="1" x14ac:dyDescent="0.2">
      <c r="A90" s="173" t="s">
        <v>261</v>
      </c>
      <c r="B90" s="172" t="s">
        <v>256</v>
      </c>
      <c r="C90" s="222" t="s">
        <v>1269</v>
      </c>
      <c r="D90" s="203"/>
      <c r="E90" s="202"/>
    </row>
    <row r="91" spans="1:5" ht="12.6" customHeight="1" x14ac:dyDescent="0.2">
      <c r="A91" s="173" t="s">
        <v>262</v>
      </c>
      <c r="B91" s="172" t="s">
        <v>256</v>
      </c>
      <c r="C91" s="222" t="s">
        <v>1270</v>
      </c>
      <c r="D91" s="203"/>
      <c r="E91" s="202"/>
    </row>
    <row r="92" spans="1:5" ht="12.6" customHeight="1" x14ac:dyDescent="0.2">
      <c r="A92" s="173" t="s">
        <v>263</v>
      </c>
      <c r="B92" s="172" t="s">
        <v>256</v>
      </c>
      <c r="C92" s="222" t="s">
        <v>1271</v>
      </c>
      <c r="D92" s="251"/>
      <c r="E92" s="175"/>
    </row>
    <row r="93" spans="1:5" ht="12.6" customHeight="1" x14ac:dyDescent="0.2">
      <c r="A93" s="173" t="s">
        <v>264</v>
      </c>
      <c r="B93" s="172" t="s">
        <v>256</v>
      </c>
      <c r="C93" s="222" t="s">
        <v>1272</v>
      </c>
      <c r="D93" s="251"/>
      <c r="E93" s="175"/>
    </row>
    <row r="94" spans="1:5" ht="12.6" customHeight="1" x14ac:dyDescent="0.2">
      <c r="A94" s="173"/>
      <c r="B94" s="173"/>
      <c r="C94" s="189"/>
      <c r="D94" s="175"/>
      <c r="E94" s="175"/>
    </row>
    <row r="95" spans="1:5" ht="12.6" customHeight="1" x14ac:dyDescent="0.2">
      <c r="A95" s="206" t="s">
        <v>265</v>
      </c>
      <c r="B95" s="206"/>
      <c r="C95" s="206"/>
      <c r="D95" s="206"/>
      <c r="E95" s="206"/>
    </row>
    <row r="96" spans="1:5" ht="12.6" customHeight="1" x14ac:dyDescent="0.2">
      <c r="A96" s="252" t="s">
        <v>266</v>
      </c>
      <c r="B96" s="252"/>
      <c r="C96" s="252"/>
      <c r="D96" s="252"/>
      <c r="E96" s="252"/>
    </row>
    <row r="97" spans="1:5" ht="12.6" customHeight="1" x14ac:dyDescent="0.2">
      <c r="A97" s="173" t="s">
        <v>267</v>
      </c>
      <c r="B97" s="172" t="s">
        <v>256</v>
      </c>
      <c r="C97" s="187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7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7"/>
      <c r="D99" s="175"/>
      <c r="E99" s="175"/>
    </row>
    <row r="100" spans="1:5" ht="12.6" customHeight="1" x14ac:dyDescent="0.2">
      <c r="A100" s="252" t="s">
        <v>269</v>
      </c>
      <c r="B100" s="252"/>
      <c r="C100" s="252"/>
      <c r="D100" s="252"/>
      <c r="E100" s="252"/>
    </row>
    <row r="101" spans="1:5" ht="12.6" customHeight="1" x14ac:dyDescent="0.2">
      <c r="A101" s="173" t="s">
        <v>270</v>
      </c>
      <c r="B101" s="172" t="s">
        <v>256</v>
      </c>
      <c r="C101" s="21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19"/>
      <c r="D102" s="175"/>
      <c r="E102" s="175"/>
    </row>
    <row r="103" spans="1:5" ht="12.6" customHeight="1" x14ac:dyDescent="0.2">
      <c r="A103" s="252" t="s">
        <v>271</v>
      </c>
      <c r="B103" s="252"/>
      <c r="C103" s="252"/>
      <c r="D103" s="252"/>
      <c r="E103" s="252"/>
    </row>
    <row r="104" spans="1:5" ht="12.6" customHeight="1" x14ac:dyDescent="0.2">
      <c r="A104" s="173" t="s">
        <v>272</v>
      </c>
      <c r="B104" s="172" t="s">
        <v>256</v>
      </c>
      <c r="C104" s="187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7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7"/>
      <c r="D106" s="175"/>
      <c r="E106" s="175"/>
    </row>
    <row r="107" spans="1:5" ht="21.75" customHeight="1" x14ac:dyDescent="0.2">
      <c r="A107" s="173"/>
      <c r="B107" s="172"/>
      <c r="C107" s="188"/>
      <c r="D107" s="175"/>
      <c r="E107" s="175"/>
    </row>
    <row r="108" spans="1:5" ht="13.5" customHeight="1" x14ac:dyDescent="0.2">
      <c r="A108" s="205" t="s">
        <v>275</v>
      </c>
      <c r="B108" s="206"/>
      <c r="C108" s="206"/>
      <c r="D108" s="206"/>
      <c r="E108" s="206"/>
    </row>
    <row r="109" spans="1:5" ht="13.5" customHeight="1" x14ac:dyDescent="0.2">
      <c r="A109" s="173"/>
      <c r="B109" s="172"/>
      <c r="C109" s="188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7">
        <v>13385</v>
      </c>
      <c r="D111" s="174">
        <v>61575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 x14ac:dyDescent="0.2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 x14ac:dyDescent="0.2">
      <c r="A114" s="173" t="s">
        <v>281</v>
      </c>
      <c r="B114" s="172" t="s">
        <v>256</v>
      </c>
      <c r="C114" s="187">
        <v>1972</v>
      </c>
      <c r="D114" s="174">
        <v>3964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7">
        <v>20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7">
        <v>56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7">
        <v>192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7">
        <v>20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 x14ac:dyDescent="0.2">
      <c r="A124" s="173" t="s">
        <v>289</v>
      </c>
      <c r="B124" s="172"/>
      <c r="C124" s="187">
        <v>0</v>
      </c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7">
        <v>10</v>
      </c>
      <c r="D126" s="175"/>
      <c r="E126" s="175"/>
    </row>
    <row r="127" spans="1:5" ht="12.6" customHeight="1" x14ac:dyDescent="0.2">
      <c r="A127" s="173" t="s">
        <v>291</v>
      </c>
      <c r="B127" s="175"/>
      <c r="C127" s="189"/>
      <c r="D127" s="175"/>
      <c r="E127" s="175">
        <f>SUM(C116:C126)</f>
        <v>298</v>
      </c>
    </row>
    <row r="128" spans="1:5" ht="12.6" customHeight="1" x14ac:dyDescent="0.2">
      <c r="A128" s="173" t="s">
        <v>292</v>
      </c>
      <c r="B128" s="172" t="s">
        <v>256</v>
      </c>
      <c r="C128" s="187">
        <v>336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7">
        <v>22</v>
      </c>
      <c r="D129" s="175"/>
      <c r="E129" s="175"/>
    </row>
    <row r="130" spans="1:6" ht="12.6" customHeight="1" x14ac:dyDescent="0.2">
      <c r="A130" s="173"/>
      <c r="B130" s="175"/>
      <c r="C130" s="189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 x14ac:dyDescent="0.2">
      <c r="A132" s="173"/>
      <c r="B132" s="173"/>
      <c r="C132" s="189"/>
      <c r="D132" s="175"/>
      <c r="E132" s="175"/>
    </row>
    <row r="133" spans="1:6" ht="12.6" customHeight="1" x14ac:dyDescent="0.2">
      <c r="A133" s="173"/>
      <c r="B133" s="173"/>
      <c r="C133" s="189"/>
      <c r="D133" s="175"/>
      <c r="E133" s="175"/>
    </row>
    <row r="134" spans="1:6" ht="12.6" customHeight="1" x14ac:dyDescent="0.2">
      <c r="A134" s="173"/>
      <c r="B134" s="173"/>
      <c r="C134" s="189"/>
      <c r="D134" s="175"/>
      <c r="E134" s="175"/>
    </row>
    <row r="135" spans="1:6" ht="18" customHeight="1" x14ac:dyDescent="0.2">
      <c r="A135" s="173"/>
      <c r="B135" s="173"/>
      <c r="C135" s="189"/>
      <c r="D135" s="175"/>
      <c r="E135" s="175"/>
    </row>
    <row r="136" spans="1:6" ht="12.6" customHeight="1" x14ac:dyDescent="0.2">
      <c r="A136" s="206" t="s">
        <v>1240</v>
      </c>
      <c r="B136" s="205"/>
      <c r="C136" s="205"/>
      <c r="D136" s="205"/>
      <c r="E136" s="205"/>
    </row>
    <row r="137" spans="1:6" ht="12.6" customHeight="1" x14ac:dyDescent="0.2">
      <c r="A137" s="253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f>5913+1357+2</f>
        <v>7272</v>
      </c>
      <c r="C138" s="187">
        <f>323+2013+4</f>
        <v>2340</v>
      </c>
      <c r="D138" s="174">
        <f>2858+12+742+122+39</f>
        <v>3773</v>
      </c>
      <c r="E138" s="175">
        <f>SUM(B138:D138)</f>
        <v>13385</v>
      </c>
    </row>
    <row r="139" spans="1:6" ht="12.6" customHeight="1" x14ac:dyDescent="0.2">
      <c r="A139" s="173" t="s">
        <v>215</v>
      </c>
      <c r="B139" s="174">
        <f>30288+7643</f>
        <v>37931</v>
      </c>
      <c r="C139" s="187">
        <f>1555+8901+12</f>
        <v>10468</v>
      </c>
      <c r="D139" s="174">
        <f>9823+33+2720+443+157</f>
        <v>13176</v>
      </c>
      <c r="E139" s="175">
        <f>SUM(B139:D139)</f>
        <v>61575</v>
      </c>
    </row>
    <row r="140" spans="1:6" ht="12.6" customHeight="1" x14ac:dyDescent="0.2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">
      <c r="A141" s="173" t="s">
        <v>245</v>
      </c>
      <c r="B141" s="174">
        <v>650822579.09000003</v>
      </c>
      <c r="C141" s="187">
        <v>160319185.94999999</v>
      </c>
      <c r="D141" s="174">
        <f>10654171.65+62388155.93+105832351.07+7022045.85+55635597</f>
        <v>241532321.49999997</v>
      </c>
      <c r="E141" s="175">
        <f>SUM(B141:D141)</f>
        <v>1052674086.54</v>
      </c>
      <c r="F141" s="197"/>
    </row>
    <row r="142" spans="1:6" ht="12.6" customHeight="1" x14ac:dyDescent="0.2">
      <c r="A142" s="173" t="s">
        <v>246</v>
      </c>
      <c r="B142" s="174">
        <f>624221807.34+1518508.07+106515073.19</f>
        <v>732255388.60000014</v>
      </c>
      <c r="C142" s="187">
        <f>238483878.92+282761.18+27771599.67</f>
        <v>266538239.76999998</v>
      </c>
      <c r="D142" s="174">
        <f>27409308.34+130167991.59+215429511.42+20032873.35+117642963.91+29145.42+129837.53+413658.87+18146.86+185653.3+4467515.09+19396210.66+63585428.12+4850995.53+23348377.42</f>
        <v>627107617.40999997</v>
      </c>
      <c r="E142" s="175">
        <f>SUM(B142:D142)</f>
        <v>1625901245.7800002</v>
      </c>
      <c r="F142" s="197"/>
    </row>
    <row r="143" spans="1:6" ht="12.6" customHeight="1" x14ac:dyDescent="0.2">
      <c r="A143" s="253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>
        <v>0</v>
      </c>
      <c r="C144" s="187">
        <v>0</v>
      </c>
      <c r="D144" s="174">
        <v>0</v>
      </c>
      <c r="E144" s="175">
        <f>SUM(B144:D144)</f>
        <v>0</v>
      </c>
    </row>
    <row r="145" spans="1:5" ht="12.6" customHeight="1" x14ac:dyDescent="0.2">
      <c r="A145" s="173" t="s">
        <v>215</v>
      </c>
      <c r="B145" s="174">
        <v>0</v>
      </c>
      <c r="C145" s="187">
        <v>0</v>
      </c>
      <c r="D145" s="174">
        <v>0</v>
      </c>
      <c r="E145" s="175">
        <f>SUM(B145:D145)</f>
        <v>0</v>
      </c>
    </row>
    <row r="146" spans="1:5" ht="12.6" customHeight="1" x14ac:dyDescent="0.2">
      <c r="A146" s="173" t="s">
        <v>298</v>
      </c>
      <c r="B146" s="174">
        <v>0</v>
      </c>
      <c r="C146" s="187">
        <v>0</v>
      </c>
      <c r="D146" s="174">
        <v>0</v>
      </c>
      <c r="E146" s="175">
        <f>SUM(B146:D146)</f>
        <v>0</v>
      </c>
    </row>
    <row r="147" spans="1:5" ht="12.6" customHeight="1" x14ac:dyDescent="0.2">
      <c r="A147" s="173" t="s">
        <v>245</v>
      </c>
      <c r="B147" s="174">
        <v>0</v>
      </c>
      <c r="C147" s="187">
        <v>0</v>
      </c>
      <c r="D147" s="174">
        <v>0</v>
      </c>
      <c r="E147" s="175">
        <f>SUM(B147:D147)</f>
        <v>0</v>
      </c>
    </row>
    <row r="148" spans="1:5" ht="12.6" customHeight="1" x14ac:dyDescent="0.2">
      <c r="A148" s="173" t="s">
        <v>246</v>
      </c>
      <c r="B148" s="174">
        <v>0</v>
      </c>
      <c r="C148" s="187">
        <v>0</v>
      </c>
      <c r="D148" s="174">
        <v>0</v>
      </c>
      <c r="E148" s="175">
        <f>SUM(B148:D148)</f>
        <v>0</v>
      </c>
    </row>
    <row r="149" spans="1:5" ht="12.6" customHeight="1" x14ac:dyDescent="0.2">
      <c r="A149" s="253" t="s">
        <v>300</v>
      </c>
      <c r="B149" s="176"/>
      <c r="C149" s="190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>
        <v>0</v>
      </c>
      <c r="C150" s="187">
        <v>0</v>
      </c>
      <c r="D150" s="174">
        <v>0</v>
      </c>
      <c r="E150" s="175">
        <f t="shared" ref="E150:E155" si="10">SUM(B150:D150)</f>
        <v>0</v>
      </c>
    </row>
    <row r="151" spans="1:5" ht="12.6" customHeight="1" x14ac:dyDescent="0.2">
      <c r="A151" s="173" t="s">
        <v>215</v>
      </c>
      <c r="B151" s="174">
        <v>0</v>
      </c>
      <c r="C151" s="187">
        <v>0</v>
      </c>
      <c r="D151" s="174">
        <v>0</v>
      </c>
      <c r="E151" s="175">
        <f t="shared" si="10"/>
        <v>0</v>
      </c>
    </row>
    <row r="152" spans="1:5" ht="12.6" customHeight="1" x14ac:dyDescent="0.2">
      <c r="A152" s="173" t="s">
        <v>298</v>
      </c>
      <c r="B152" s="174">
        <v>0</v>
      </c>
      <c r="C152" s="187">
        <v>0</v>
      </c>
      <c r="D152" s="174">
        <v>0</v>
      </c>
      <c r="E152" s="175">
        <f t="shared" si="10"/>
        <v>0</v>
      </c>
    </row>
    <row r="153" spans="1:5" ht="12.6" customHeight="1" x14ac:dyDescent="0.2">
      <c r="A153" s="173" t="s">
        <v>245</v>
      </c>
      <c r="B153" s="174">
        <v>0</v>
      </c>
      <c r="C153" s="187">
        <v>0</v>
      </c>
      <c r="D153" s="174">
        <v>0</v>
      </c>
      <c r="E153" s="175">
        <f t="shared" si="10"/>
        <v>0</v>
      </c>
    </row>
    <row r="154" spans="1:5" ht="12.6" customHeight="1" x14ac:dyDescent="0.2">
      <c r="A154" s="173" t="s">
        <v>246</v>
      </c>
      <c r="B154" s="174">
        <v>0</v>
      </c>
      <c r="C154" s="187">
        <v>0</v>
      </c>
      <c r="D154" s="174">
        <v>0</v>
      </c>
      <c r="E154" s="175">
        <f t="shared" si="10"/>
        <v>0</v>
      </c>
    </row>
    <row r="155" spans="1:5" ht="12.6" customHeight="1" x14ac:dyDescent="0.2">
      <c r="A155" s="177"/>
      <c r="B155" s="177"/>
      <c r="C155" s="191"/>
      <c r="D155" s="178"/>
      <c r="E155" s="175">
        <f t="shared" si="10"/>
        <v>0</v>
      </c>
    </row>
    <row r="156" spans="1:5" ht="12.6" customHeight="1" x14ac:dyDescent="0.2">
      <c r="A156" s="253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 x14ac:dyDescent="0.2">
      <c r="A157" s="177" t="s">
        <v>304</v>
      </c>
      <c r="B157" s="174">
        <v>4022206</v>
      </c>
      <c r="C157" s="174">
        <v>2416330</v>
      </c>
      <c r="D157" s="175"/>
      <c r="E157" s="175"/>
    </row>
    <row r="158" spans="1:5" ht="12.6" customHeight="1" x14ac:dyDescent="0.2">
      <c r="A158" s="177"/>
      <c r="B158" s="178"/>
      <c r="C158" s="191"/>
      <c r="D158" s="175"/>
      <c r="E158" s="175"/>
    </row>
    <row r="159" spans="1:5" ht="12.6" customHeight="1" x14ac:dyDescent="0.2">
      <c r="A159" s="177"/>
      <c r="B159" s="177"/>
      <c r="C159" s="191"/>
      <c r="D159" s="178"/>
      <c r="E159" s="175"/>
    </row>
    <row r="160" spans="1:5" ht="12.6" customHeight="1" x14ac:dyDescent="0.2">
      <c r="A160" s="177"/>
      <c r="B160" s="177"/>
      <c r="C160" s="191"/>
      <c r="D160" s="178"/>
      <c r="E160" s="175"/>
    </row>
    <row r="161" spans="1:5" ht="12.6" customHeight="1" x14ac:dyDescent="0.2">
      <c r="A161" s="177"/>
      <c r="B161" s="177"/>
      <c r="C161" s="191"/>
      <c r="D161" s="178"/>
      <c r="E161" s="175"/>
    </row>
    <row r="162" spans="1:5" ht="21.75" customHeight="1" x14ac:dyDescent="0.2">
      <c r="A162" s="177"/>
      <c r="B162" s="177"/>
      <c r="C162" s="191"/>
      <c r="D162" s="178"/>
      <c r="E162" s="175"/>
    </row>
    <row r="163" spans="1:5" ht="11.45" customHeight="1" x14ac:dyDescent="0.2">
      <c r="A163" s="205" t="s">
        <v>305</v>
      </c>
      <c r="B163" s="206"/>
      <c r="C163" s="206"/>
      <c r="D163" s="206"/>
      <c r="E163" s="206"/>
    </row>
    <row r="164" spans="1:5" ht="11.45" customHeight="1" x14ac:dyDescent="0.2">
      <c r="A164" s="252" t="s">
        <v>306</v>
      </c>
      <c r="B164" s="252"/>
      <c r="C164" s="252"/>
      <c r="D164" s="252"/>
      <c r="E164" s="252"/>
    </row>
    <row r="165" spans="1:5" ht="11.45" customHeight="1" x14ac:dyDescent="0.2">
      <c r="A165" s="173" t="s">
        <v>307</v>
      </c>
      <c r="B165" s="172" t="s">
        <v>256</v>
      </c>
      <c r="C165" s="187">
        <f>9447897.16+2830148.91</f>
        <v>12278046.07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7">
        <f>125893.84+46202</f>
        <v>172095.84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7">
        <f>1521460.44-156585.15+110577</f>
        <v>1475452.29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7">
        <f>973.96+17634044.02-1939509.42+54.25+727322.72-275047.03+1.79+119151.23-118721.34+287487.76+4276866</f>
        <v>20712623.940000001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7">
        <f>220415.63-154718.69+53501</f>
        <v>119197.94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7">
        <f>3795779.55-2524616.04+2898543.97-359866.05+2192674</f>
        <v>6002515.4299999997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7">
        <f>106607.5-12142.66+47213.89+11503.31+63271.73+20000+10014.67+66600.84+1542.15+545112</f>
        <v>859723.43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7">
        <v>0</v>
      </c>
      <c r="D172" s="175"/>
      <c r="E172" s="175"/>
    </row>
    <row r="173" spans="1:5" ht="11.45" customHeight="1" x14ac:dyDescent="0.2">
      <c r="A173" s="173" t="s">
        <v>203</v>
      </c>
      <c r="B173" s="175"/>
      <c r="C173" s="189"/>
      <c r="D173" s="175">
        <f>SUM(C165:C172)</f>
        <v>41619654.939999998</v>
      </c>
      <c r="E173" s="175"/>
    </row>
    <row r="174" spans="1:5" ht="11.45" customHeight="1" x14ac:dyDescent="0.2">
      <c r="A174" s="252" t="s">
        <v>314</v>
      </c>
      <c r="B174" s="252"/>
      <c r="C174" s="252"/>
      <c r="D174" s="252"/>
      <c r="E174" s="252"/>
    </row>
    <row r="175" spans="1:5" ht="11.45" customHeight="1" x14ac:dyDescent="0.2">
      <c r="A175" s="173" t="s">
        <v>315</v>
      </c>
      <c r="B175" s="172" t="s">
        <v>256</v>
      </c>
      <c r="C175" s="187">
        <f>7323288.58+2212789.14+988038.39</f>
        <v>10524116.110000001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7">
        <f>2070325.91+623515.8+0</f>
        <v>2693841.71</v>
      </c>
      <c r="D176" s="175"/>
      <c r="E176" s="175"/>
    </row>
    <row r="177" spans="1:5" ht="11.45" customHeight="1" x14ac:dyDescent="0.2">
      <c r="A177" s="173" t="s">
        <v>203</v>
      </c>
      <c r="B177" s="175"/>
      <c r="C177" s="189"/>
      <c r="D177" s="175">
        <f>SUM(C175:C176)</f>
        <v>13217957.82</v>
      </c>
      <c r="E177" s="175"/>
    </row>
    <row r="178" spans="1:5" ht="11.45" customHeight="1" x14ac:dyDescent="0.2">
      <c r="A178" s="252" t="s">
        <v>317</v>
      </c>
      <c r="B178" s="252"/>
      <c r="C178" s="252"/>
      <c r="D178" s="252"/>
      <c r="E178" s="252"/>
    </row>
    <row r="179" spans="1:5" ht="11.45" customHeight="1" x14ac:dyDescent="0.2">
      <c r="A179" s="173" t="s">
        <v>318</v>
      </c>
      <c r="B179" s="172" t="s">
        <v>256</v>
      </c>
      <c r="C179" s="187">
        <f>3815760.88+902793.23</f>
        <v>4718554.1099999994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7">
        <f>971379.82-136271.75+8014.85</f>
        <v>843122.91999999993</v>
      </c>
      <c r="D180" s="175"/>
      <c r="E180" s="175"/>
    </row>
    <row r="181" spans="1:5" ht="11.45" customHeight="1" x14ac:dyDescent="0.2">
      <c r="A181" s="173" t="s">
        <v>203</v>
      </c>
      <c r="B181" s="175"/>
      <c r="C181" s="189"/>
      <c r="D181" s="175">
        <f>SUM(C179:C180)</f>
        <v>5561677.0299999993</v>
      </c>
      <c r="E181" s="175"/>
    </row>
    <row r="182" spans="1:5" ht="11.45" customHeight="1" x14ac:dyDescent="0.2">
      <c r="A182" s="252" t="s">
        <v>320</v>
      </c>
      <c r="B182" s="252"/>
      <c r="C182" s="252"/>
      <c r="D182" s="252"/>
      <c r="E182" s="252"/>
    </row>
    <row r="183" spans="1:5" ht="11.45" customHeight="1" x14ac:dyDescent="0.2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7">
        <v>14935935.68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5" customHeight="1" x14ac:dyDescent="0.2">
      <c r="A186" s="173" t="s">
        <v>203</v>
      </c>
      <c r="B186" s="175"/>
      <c r="C186" s="189"/>
      <c r="D186" s="175">
        <f>SUM(C183:C185)</f>
        <v>14935935.68</v>
      </c>
      <c r="E186" s="175"/>
    </row>
    <row r="187" spans="1:5" ht="11.45" customHeight="1" x14ac:dyDescent="0.2">
      <c r="A187" s="252" t="s">
        <v>323</v>
      </c>
      <c r="B187" s="252"/>
      <c r="C187" s="252"/>
      <c r="D187" s="252"/>
      <c r="E187" s="252"/>
    </row>
    <row r="188" spans="1:5" ht="11.45" customHeight="1" x14ac:dyDescent="0.2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7">
        <v>-5045428.8099999996</v>
      </c>
      <c r="D189" s="175"/>
      <c r="E189" s="175"/>
    </row>
    <row r="190" spans="1:5" ht="11.45" customHeight="1" x14ac:dyDescent="0.2">
      <c r="A190" s="173" t="s">
        <v>203</v>
      </c>
      <c r="B190" s="175"/>
      <c r="C190" s="189"/>
      <c r="D190" s="175">
        <f>SUM(C188:C189)</f>
        <v>-5045428.8099999996</v>
      </c>
      <c r="E190" s="175"/>
    </row>
    <row r="191" spans="1:5" ht="18" customHeight="1" x14ac:dyDescent="0.2">
      <c r="A191" s="173"/>
      <c r="B191" s="175"/>
      <c r="C191" s="189"/>
      <c r="D191" s="175"/>
      <c r="E191" s="175"/>
    </row>
    <row r="192" spans="1:5" ht="12.6" customHeight="1" x14ac:dyDescent="0.2">
      <c r="A192" s="206" t="s">
        <v>326</v>
      </c>
      <c r="B192" s="206"/>
      <c r="C192" s="206"/>
      <c r="D192" s="206"/>
      <c r="E192" s="206"/>
    </row>
    <row r="193" spans="1:8" ht="12.6" customHeight="1" x14ac:dyDescent="0.2">
      <c r="A193" s="205" t="s">
        <v>327</v>
      </c>
      <c r="B193" s="206"/>
      <c r="C193" s="206"/>
      <c r="D193" s="206"/>
      <c r="E193" s="206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10245719</v>
      </c>
      <c r="C195" s="187">
        <v>0</v>
      </c>
      <c r="D195" s="174">
        <v>0</v>
      </c>
      <c r="E195" s="175">
        <f t="shared" ref="E195:E203" si="11">SUM(B195:C195)-D195</f>
        <v>10245719</v>
      </c>
    </row>
    <row r="196" spans="1:8" ht="12.6" customHeight="1" x14ac:dyDescent="0.2">
      <c r="A196" s="173" t="s">
        <v>333</v>
      </c>
      <c r="B196" s="174">
        <v>2319119</v>
      </c>
      <c r="C196" s="187">
        <v>0</v>
      </c>
      <c r="D196" s="174">
        <v>0</v>
      </c>
      <c r="E196" s="175">
        <f t="shared" si="11"/>
        <v>2319119</v>
      </c>
    </row>
    <row r="197" spans="1:8" ht="12.6" customHeight="1" x14ac:dyDescent="0.2">
      <c r="A197" s="173" t="s">
        <v>334</v>
      </c>
      <c r="B197" s="174">
        <v>99727204</v>
      </c>
      <c r="C197" s="187">
        <v>0</v>
      </c>
      <c r="D197" s="174">
        <v>0</v>
      </c>
      <c r="E197" s="175">
        <f t="shared" si="11"/>
        <v>99727204</v>
      </c>
    </row>
    <row r="198" spans="1:8" ht="12.6" customHeight="1" x14ac:dyDescent="0.2">
      <c r="A198" s="173" t="s">
        <v>335</v>
      </c>
      <c r="B198" s="174">
        <f>14335837+146024.77</f>
        <v>14481861.77</v>
      </c>
      <c r="C198" s="187">
        <v>947224.6</v>
      </c>
      <c r="D198" s="174">
        <v>0</v>
      </c>
      <c r="E198" s="175">
        <f t="shared" si="11"/>
        <v>15429086.369999999</v>
      </c>
    </row>
    <row r="199" spans="1:8" ht="12.6" customHeight="1" x14ac:dyDescent="0.2">
      <c r="A199" s="173" t="s">
        <v>336</v>
      </c>
      <c r="B199" s="174">
        <f>4503445+716417.55</f>
        <v>5219862.55</v>
      </c>
      <c r="C199" s="187">
        <f>64003.78</f>
        <v>64003.78</v>
      </c>
      <c r="D199" s="174">
        <v>0</v>
      </c>
      <c r="E199" s="175">
        <f t="shared" si="11"/>
        <v>5283866.33</v>
      </c>
    </row>
    <row r="200" spans="1:8" ht="12.6" customHeight="1" x14ac:dyDescent="0.2">
      <c r="A200" s="173" t="s">
        <v>337</v>
      </c>
      <c r="B200" s="174">
        <f>114493343+35961241.73</f>
        <v>150454584.72999999</v>
      </c>
      <c r="C200" s="187">
        <f>5866322.84+1651042.28</f>
        <v>7517365.1200000001</v>
      </c>
      <c r="D200" s="174">
        <f>108749+66843.31+147702.62</f>
        <v>323294.93</v>
      </c>
      <c r="E200" s="175">
        <f t="shared" si="11"/>
        <v>157648654.91999999</v>
      </c>
    </row>
    <row r="201" spans="1:8" ht="12.6" customHeight="1" x14ac:dyDescent="0.2">
      <c r="A201" s="173" t="s">
        <v>338</v>
      </c>
      <c r="B201" s="174">
        <v>0</v>
      </c>
      <c r="C201" s="187">
        <v>0</v>
      </c>
      <c r="D201" s="174">
        <v>0</v>
      </c>
      <c r="E201" s="175">
        <f t="shared" si="11"/>
        <v>0</v>
      </c>
    </row>
    <row r="202" spans="1:8" ht="12.6" customHeight="1" x14ac:dyDescent="0.2">
      <c r="A202" s="173" t="s">
        <v>339</v>
      </c>
      <c r="B202" s="174">
        <f>13194159+17957701.71</f>
        <v>31151860.710000001</v>
      </c>
      <c r="C202" s="187">
        <f>56142.77+2325868.36</f>
        <v>2382011.13</v>
      </c>
      <c r="D202" s="174">
        <f>+-5628.4+28731.15</f>
        <v>23102.75</v>
      </c>
      <c r="E202" s="175">
        <f t="shared" si="11"/>
        <v>33510769.09</v>
      </c>
    </row>
    <row r="203" spans="1:8" ht="12.6" customHeight="1" x14ac:dyDescent="0.2">
      <c r="A203" s="173" t="s">
        <v>340</v>
      </c>
      <c r="B203" s="174">
        <f>136158316+3175981.24+224887.69</f>
        <v>139559184.93000001</v>
      </c>
      <c r="C203" s="187">
        <f>149385052.54-2957931.43-142630.44-5922718.68</f>
        <v>140361771.98999998</v>
      </c>
      <c r="D203" s="174">
        <v>0</v>
      </c>
      <c r="E203" s="175">
        <f t="shared" si="11"/>
        <v>279920956.91999996</v>
      </c>
    </row>
    <row r="204" spans="1:8" ht="12.6" customHeight="1" x14ac:dyDescent="0.2">
      <c r="A204" s="173" t="s">
        <v>203</v>
      </c>
      <c r="B204" s="175">
        <f>SUM(B195:B203)</f>
        <v>453159396.68999994</v>
      </c>
      <c r="C204" s="189">
        <f>SUM(C195:C203)</f>
        <v>151272376.61999997</v>
      </c>
      <c r="D204" s="175">
        <f>SUM(D195:D203)</f>
        <v>346397.68</v>
      </c>
      <c r="E204" s="175">
        <f>SUM(E195:E203)</f>
        <v>604085375.62999988</v>
      </c>
    </row>
    <row r="205" spans="1:8" ht="12.6" customHeight="1" x14ac:dyDescent="0.2">
      <c r="A205" s="173"/>
      <c r="B205" s="173"/>
      <c r="C205" s="189"/>
      <c r="D205" s="175"/>
      <c r="E205" s="175"/>
    </row>
    <row r="206" spans="1:8" ht="12.6" customHeight="1" x14ac:dyDescent="0.2">
      <c r="A206" s="205" t="s">
        <v>341</v>
      </c>
      <c r="B206" s="205"/>
      <c r="C206" s="205"/>
      <c r="D206" s="205"/>
      <c r="E206" s="205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 x14ac:dyDescent="0.2">
      <c r="A208" s="173" t="s">
        <v>332</v>
      </c>
      <c r="B208" s="178"/>
      <c r="C208" s="191"/>
      <c r="D208" s="178"/>
      <c r="E208" s="175"/>
      <c r="H208" s="254"/>
    </row>
    <row r="209" spans="1:8" ht="12.6" customHeight="1" x14ac:dyDescent="0.2">
      <c r="A209" s="173" t="s">
        <v>333</v>
      </c>
      <c r="B209" s="174">
        <v>424527</v>
      </c>
      <c r="C209" s="187">
        <f>83038.88+71400</f>
        <v>154438.88</v>
      </c>
      <c r="D209" s="174">
        <v>0</v>
      </c>
      <c r="E209" s="175">
        <f t="shared" ref="E209:E216" si="12">SUM(B209:C209)-D209</f>
        <v>578965.88</v>
      </c>
      <c r="H209" s="254"/>
    </row>
    <row r="210" spans="1:8" ht="12.6" customHeight="1" x14ac:dyDescent="0.2">
      <c r="A210" s="173" t="s">
        <v>334</v>
      </c>
      <c r="B210" s="174">
        <v>31193841</v>
      </c>
      <c r="C210" s="187">
        <f>3821404.01+16701276</f>
        <v>20522680.009999998</v>
      </c>
      <c r="D210" s="174">
        <v>0</v>
      </c>
      <c r="E210" s="175">
        <f t="shared" si="12"/>
        <v>51716521.009999998</v>
      </c>
      <c r="H210" s="254"/>
    </row>
    <row r="211" spans="1:8" ht="12.6" customHeight="1" x14ac:dyDescent="0.2">
      <c r="A211" s="173" t="s">
        <v>335</v>
      </c>
      <c r="B211" s="174">
        <f>3698196+23724.25</f>
        <v>3721920.25</v>
      </c>
      <c r="C211" s="187">
        <f>641578.33+235788+108936.01</f>
        <v>986302.34</v>
      </c>
      <c r="D211" s="174">
        <v>0</v>
      </c>
      <c r="E211" s="175">
        <f t="shared" si="12"/>
        <v>4708222.59</v>
      </c>
      <c r="H211" s="254"/>
    </row>
    <row r="212" spans="1:8" ht="12.6" customHeight="1" x14ac:dyDescent="0.2">
      <c r="A212" s="173" t="s">
        <v>336</v>
      </c>
      <c r="B212" s="174">
        <f>2204483+407964.41</f>
        <v>2612447.41</v>
      </c>
      <c r="C212" s="187">
        <f>463367.13+359064+75274.06</f>
        <v>897705.19</v>
      </c>
      <c r="D212" s="174">
        <v>0</v>
      </c>
      <c r="E212" s="175">
        <f t="shared" si="12"/>
        <v>3510152.6</v>
      </c>
      <c r="H212" s="254"/>
    </row>
    <row r="213" spans="1:8" ht="12.6" customHeight="1" x14ac:dyDescent="0.2">
      <c r="A213" s="173" t="s">
        <v>337</v>
      </c>
      <c r="B213" s="174">
        <f>73966478+20458359.18</f>
        <v>94424837.180000007</v>
      </c>
      <c r="C213" s="187">
        <f>13319981.82+2574848+3613836.73+1075462</f>
        <v>20584128.550000001</v>
      </c>
      <c r="D213" s="174">
        <f>308356.33+66843.31+1075462</f>
        <v>1450661.6400000001</v>
      </c>
      <c r="E213" s="175">
        <f t="shared" si="12"/>
        <v>113558304.09</v>
      </c>
      <c r="H213" s="254"/>
    </row>
    <row r="214" spans="1:8" ht="12.6" customHeight="1" x14ac:dyDescent="0.2">
      <c r="A214" s="173" t="s">
        <v>338</v>
      </c>
      <c r="B214" s="174">
        <v>0</v>
      </c>
      <c r="C214" s="187">
        <v>0</v>
      </c>
      <c r="D214" s="174">
        <v>0</v>
      </c>
      <c r="E214" s="175">
        <f t="shared" si="12"/>
        <v>0</v>
      </c>
      <c r="H214" s="254"/>
    </row>
    <row r="215" spans="1:8" ht="12.6" customHeight="1" x14ac:dyDescent="0.2">
      <c r="A215" s="173" t="s">
        <v>339</v>
      </c>
      <c r="B215" s="174">
        <f>7975717+8974741.56</f>
        <v>16950458.560000002</v>
      </c>
      <c r="C215" s="187">
        <f>1070842.04+2020369.91</f>
        <v>3091211.95</v>
      </c>
      <c r="D215" s="174">
        <v>0</v>
      </c>
      <c r="E215" s="175">
        <f t="shared" si="12"/>
        <v>20041670.510000002</v>
      </c>
      <c r="H215" s="254"/>
    </row>
    <row r="216" spans="1:8" ht="12.6" customHeight="1" x14ac:dyDescent="0.2">
      <c r="A216" s="173" t="s">
        <v>340</v>
      </c>
      <c r="B216" s="174">
        <v>0</v>
      </c>
      <c r="C216" s="187">
        <v>0</v>
      </c>
      <c r="D216" s="174">
        <v>0</v>
      </c>
      <c r="E216" s="175">
        <f t="shared" si="12"/>
        <v>0</v>
      </c>
      <c r="H216" s="254"/>
    </row>
    <row r="217" spans="1:8" ht="12.6" customHeight="1" x14ac:dyDescent="0.2">
      <c r="A217" s="173" t="s">
        <v>203</v>
      </c>
      <c r="B217" s="175">
        <f>SUM(B208:B216)</f>
        <v>149328031.40000001</v>
      </c>
      <c r="C217" s="189">
        <f>SUM(C208:C216)</f>
        <v>46236466.920000002</v>
      </c>
      <c r="D217" s="175">
        <f>SUM(D208:D216)</f>
        <v>1450661.6400000001</v>
      </c>
      <c r="E217" s="175">
        <f>SUM(E208:E216)</f>
        <v>194113836.68000001</v>
      </c>
    </row>
    <row r="218" spans="1:8" ht="21.75" customHeight="1" x14ac:dyDescent="0.2">
      <c r="A218" s="173"/>
      <c r="B218" s="175"/>
      <c r="C218" s="189"/>
      <c r="D218" s="175"/>
      <c r="E218" s="175"/>
    </row>
    <row r="219" spans="1:8" ht="12.6" customHeight="1" x14ac:dyDescent="0.2">
      <c r="A219" s="206" t="s">
        <v>342</v>
      </c>
      <c r="B219" s="206"/>
      <c r="C219" s="206"/>
      <c r="D219" s="206"/>
      <c r="E219" s="206"/>
    </row>
    <row r="220" spans="1:8" ht="12.6" customHeight="1" x14ac:dyDescent="0.2">
      <c r="A220" s="206"/>
      <c r="B220" s="348" t="s">
        <v>1255</v>
      </c>
      <c r="C220" s="348"/>
      <c r="D220" s="206"/>
      <c r="E220" s="206"/>
    </row>
    <row r="221" spans="1:8" ht="12.6" customHeight="1" x14ac:dyDescent="0.2">
      <c r="A221" s="266" t="s">
        <v>1255</v>
      </c>
      <c r="B221" s="206"/>
      <c r="C221" s="187">
        <v>12497585.57</v>
      </c>
      <c r="D221" s="172">
        <f>C221</f>
        <v>12497585.57</v>
      </c>
      <c r="E221" s="206"/>
    </row>
    <row r="222" spans="1:8" ht="12.6" customHeight="1" x14ac:dyDescent="0.2">
      <c r="A222" s="252" t="s">
        <v>343</v>
      </c>
      <c r="B222" s="252"/>
      <c r="C222" s="252"/>
      <c r="D222" s="252"/>
      <c r="E222" s="252"/>
    </row>
    <row r="223" spans="1:8" ht="12.6" customHeight="1" x14ac:dyDescent="0.2">
      <c r="A223" s="173" t="s">
        <v>344</v>
      </c>
      <c r="B223" s="172" t="s">
        <v>256</v>
      </c>
      <c r="C223" s="187">
        <f>544149162.22-1020606-529011-788350.28+529500196.4+940608.76+72146494.6</f>
        <v>1144398494.7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7">
        <f>137046591.58+93978.52-5008218.7-6240072.21+218132394.29+207863.96+20252094.19</f>
        <v>364484631.63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7">
        <f>2692655.82+30805130.25+50815477.46+42841513.42-933650.46+7396183.55+62661705.66+109999948.6+97072234.43+14251.39+63677.9+193418.69+111705.84+2132067.22+8829164.38+29696212.23-720318.92+13142644.65+1</f>
        <v>456814023.1099999</v>
      </c>
      <c r="D228" s="175"/>
      <c r="E228" s="175"/>
    </row>
    <row r="229" spans="1:5" ht="12.6" customHeight="1" x14ac:dyDescent="0.2">
      <c r="A229" s="173" t="s">
        <v>350</v>
      </c>
      <c r="B229" s="175"/>
      <c r="C229" s="189"/>
      <c r="D229" s="175">
        <f>SUM(C223:C228)</f>
        <v>1965697149.4399998</v>
      </c>
      <c r="E229" s="175"/>
    </row>
    <row r="230" spans="1:5" ht="12.6" customHeight="1" x14ac:dyDescent="0.2">
      <c r="A230" s="252" t="s">
        <v>351</v>
      </c>
      <c r="B230" s="252"/>
      <c r="C230" s="252"/>
      <c r="D230" s="252"/>
      <c r="E230" s="252"/>
    </row>
    <row r="231" spans="1:5" ht="12.6" customHeight="1" x14ac:dyDescent="0.2">
      <c r="A231" s="171" t="s">
        <v>352</v>
      </c>
      <c r="B231" s="172" t="s">
        <v>256</v>
      </c>
      <c r="C231" s="187">
        <v>11035</v>
      </c>
      <c r="D231" s="175"/>
      <c r="E231" s="175"/>
    </row>
    <row r="232" spans="1:5" ht="12.6" customHeight="1" x14ac:dyDescent="0.2">
      <c r="A232" s="171"/>
      <c r="B232" s="172"/>
      <c r="C232" s="189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7">
        <v>4758089.33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7">
        <f>9604579.58+1008186.92</f>
        <v>10612766.5</v>
      </c>
      <c r="D234" s="175"/>
      <c r="E234" s="175"/>
    </row>
    <row r="235" spans="1:5" ht="12.6" customHeight="1" x14ac:dyDescent="0.2">
      <c r="A235" s="173"/>
      <c r="B235" s="175"/>
      <c r="C235" s="189"/>
      <c r="D235" s="175"/>
      <c r="E235" s="175"/>
    </row>
    <row r="236" spans="1:5" ht="12.6" customHeight="1" x14ac:dyDescent="0.2">
      <c r="A236" s="171" t="s">
        <v>355</v>
      </c>
      <c r="B236" s="175"/>
      <c r="C236" s="189"/>
      <c r="D236" s="175">
        <f>SUM(C233:C235)</f>
        <v>15370855.83</v>
      </c>
      <c r="E236" s="175"/>
    </row>
    <row r="237" spans="1:5" ht="12.6" customHeight="1" x14ac:dyDescent="0.2">
      <c r="A237" s="252" t="s">
        <v>356</v>
      </c>
      <c r="B237" s="252"/>
      <c r="C237" s="252"/>
      <c r="D237" s="252"/>
      <c r="E237" s="252"/>
    </row>
    <row r="238" spans="1:5" ht="12.6" customHeight="1" x14ac:dyDescent="0.2">
      <c r="A238" s="173" t="s">
        <v>357</v>
      </c>
      <c r="B238" s="172" t="s">
        <v>256</v>
      </c>
      <c r="C238" s="187">
        <f>2615342.12+10168109.31+30.63+11722.96+440448.53-52842.12</f>
        <v>13182811.430000002</v>
      </c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 x14ac:dyDescent="0.2">
      <c r="A240" s="173" t="s">
        <v>358</v>
      </c>
      <c r="B240" s="175"/>
      <c r="C240" s="189"/>
      <c r="D240" s="175">
        <f>SUM(C238:C239)</f>
        <v>13182811.430000002</v>
      </c>
      <c r="E240" s="175"/>
    </row>
    <row r="241" spans="1:5" ht="12.6" customHeight="1" x14ac:dyDescent="0.2">
      <c r="A241" s="173"/>
      <c r="B241" s="175"/>
      <c r="C241" s="189"/>
      <c r="D241" s="175"/>
      <c r="E241" s="175"/>
    </row>
    <row r="242" spans="1:5" ht="12.6" customHeight="1" x14ac:dyDescent="0.2">
      <c r="A242" s="173" t="s">
        <v>359</v>
      </c>
      <c r="B242" s="175"/>
      <c r="C242" s="189"/>
      <c r="D242" s="175">
        <f>D221+D229+D236+D240</f>
        <v>2006748402.2699997</v>
      </c>
      <c r="E242" s="175"/>
    </row>
    <row r="243" spans="1:5" ht="12.6" customHeight="1" x14ac:dyDescent="0.2">
      <c r="A243" s="173"/>
      <c r="B243" s="173"/>
      <c r="C243" s="189"/>
      <c r="D243" s="175"/>
      <c r="E243" s="175"/>
    </row>
    <row r="244" spans="1:5" ht="12.6" customHeight="1" x14ac:dyDescent="0.2">
      <c r="A244" s="173"/>
      <c r="B244" s="173"/>
      <c r="C244" s="189"/>
      <c r="D244" s="175"/>
      <c r="E244" s="175"/>
    </row>
    <row r="245" spans="1:5" ht="12.6" customHeight="1" x14ac:dyDescent="0.2">
      <c r="A245" s="173"/>
      <c r="B245" s="173"/>
      <c r="C245" s="189"/>
      <c r="D245" s="175"/>
      <c r="E245" s="175"/>
    </row>
    <row r="246" spans="1:5" ht="12.6" customHeight="1" x14ac:dyDescent="0.2">
      <c r="A246" s="173"/>
      <c r="B246" s="173"/>
      <c r="C246" s="189"/>
      <c r="D246" s="175"/>
      <c r="E246" s="175"/>
    </row>
    <row r="247" spans="1:5" ht="21.75" customHeight="1" x14ac:dyDescent="0.2">
      <c r="A247" s="173"/>
      <c r="B247" s="173"/>
      <c r="C247" s="189"/>
      <c r="D247" s="175"/>
      <c r="E247" s="175"/>
    </row>
    <row r="248" spans="1:5" ht="12.4" customHeight="1" x14ac:dyDescent="0.2">
      <c r="A248" s="206" t="s">
        <v>360</v>
      </c>
      <c r="B248" s="206"/>
      <c r="C248" s="206"/>
      <c r="D248" s="206"/>
      <c r="E248" s="206"/>
    </row>
    <row r="249" spans="1:5" ht="11.25" customHeight="1" x14ac:dyDescent="0.2">
      <c r="A249" s="252" t="s">
        <v>361</v>
      </c>
      <c r="B249" s="252"/>
      <c r="C249" s="252"/>
      <c r="D249" s="252"/>
      <c r="E249" s="252"/>
    </row>
    <row r="250" spans="1:5" ht="12.4" customHeight="1" x14ac:dyDescent="0.2">
      <c r="A250" s="173" t="s">
        <v>362</v>
      </c>
      <c r="B250" s="172" t="s">
        <v>256</v>
      </c>
      <c r="C250" s="187">
        <f>42231840.35-3748558.85</f>
        <v>38483281.5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7">
        <f>291249828.87+33377934.28</f>
        <v>324627763.14999998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7">
        <f>205019507.11+12272919.28+20773499.89</f>
        <v>238065926.28000003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7">
        <f>2266669.74+800642.63</f>
        <v>3067312.37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7">
        <f>9373354.67+686568.62</f>
        <v>10059923.289999999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7">
        <f>502669.46+738805.68</f>
        <v>1241475.1400000001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89"/>
      <c r="D260" s="175">
        <f>SUM(C250:C252)-C253+SUM(C254:C259)</f>
        <v>139413829.16999996</v>
      </c>
      <c r="E260" s="175"/>
    </row>
    <row r="261" spans="1:5" ht="11.25" customHeight="1" x14ac:dyDescent="0.2">
      <c r="A261" s="252" t="s">
        <v>372</v>
      </c>
      <c r="B261" s="252"/>
      <c r="C261" s="252"/>
      <c r="D261" s="252"/>
      <c r="E261" s="252"/>
    </row>
    <row r="262" spans="1:5" ht="12.4" customHeight="1" x14ac:dyDescent="0.2">
      <c r="A262" s="173" t="s">
        <v>362</v>
      </c>
      <c r="B262" s="172" t="s">
        <v>256</v>
      </c>
      <c r="C262" s="187">
        <v>0</v>
      </c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7">
        <v>0</v>
      </c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" customHeight="1" x14ac:dyDescent="0.2">
      <c r="A265" s="173" t="s">
        <v>374</v>
      </c>
      <c r="B265" s="175"/>
      <c r="C265" s="189"/>
      <c r="D265" s="175">
        <f>SUM(C262:C264)</f>
        <v>0</v>
      </c>
      <c r="E265" s="175"/>
    </row>
    <row r="266" spans="1:5" ht="11.25" customHeight="1" x14ac:dyDescent="0.2">
      <c r="A266" s="252" t="s">
        <v>375</v>
      </c>
      <c r="B266" s="252"/>
      <c r="C266" s="252"/>
      <c r="D266" s="252"/>
      <c r="E266" s="252"/>
    </row>
    <row r="267" spans="1:5" ht="12.4" customHeight="1" x14ac:dyDescent="0.2">
      <c r="A267" s="173" t="s">
        <v>332</v>
      </c>
      <c r="B267" s="172" t="s">
        <v>256</v>
      </c>
      <c r="C267" s="187">
        <v>10245719.140000001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7">
        <v>2319119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7">
        <f>99727204.21</f>
        <v>99727204.209999993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7">
        <f>14335836.95+1093249.37</f>
        <v>15429086.32</v>
      </c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7">
        <f>4503444.85+780421.34</f>
        <v>5283866.1899999995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7">
        <f>120184073.12+37464581.39</f>
        <v>157648654.50999999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7">
        <f>13255930.68+20254838.93</f>
        <v>33510769.609999999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7">
        <f>279565915.6+54734.45+218049.82+82257.25</f>
        <v>279920957.12</v>
      </c>
      <c r="D274" s="175"/>
      <c r="E274" s="175"/>
    </row>
    <row r="275" spans="1:5" ht="12.4" customHeight="1" x14ac:dyDescent="0.2">
      <c r="A275" s="173" t="s">
        <v>379</v>
      </c>
      <c r="B275" s="175"/>
      <c r="C275" s="189"/>
      <c r="D275" s="175">
        <f>SUM(C267:C274)</f>
        <v>604085376.10000002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7">
        <f>158430631.47+35683206.12</f>
        <v>194113837.59</v>
      </c>
      <c r="D276" s="175"/>
      <c r="E276" s="175"/>
    </row>
    <row r="277" spans="1:5" ht="12.6" customHeight="1" x14ac:dyDescent="0.2">
      <c r="A277" s="173" t="s">
        <v>381</v>
      </c>
      <c r="B277" s="175"/>
      <c r="C277" s="189"/>
      <c r="D277" s="175">
        <f>D275-C276</f>
        <v>409971538.50999999</v>
      </c>
      <c r="E277" s="175"/>
    </row>
    <row r="278" spans="1:5" ht="12.6" customHeight="1" x14ac:dyDescent="0.2">
      <c r="A278" s="252" t="s">
        <v>382</v>
      </c>
      <c r="B278" s="252"/>
      <c r="C278" s="252"/>
      <c r="D278" s="252"/>
      <c r="E278" s="252"/>
    </row>
    <row r="279" spans="1:5" ht="12.6" customHeight="1" x14ac:dyDescent="0.2">
      <c r="A279" s="173" t="s">
        <v>383</v>
      </c>
      <c r="B279" s="172" t="s">
        <v>256</v>
      </c>
      <c r="C279" s="187">
        <v>0</v>
      </c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7">
        <v>325677991.24000001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7">
        <f>261311.73+26549.23</f>
        <v>287860.96000000002</v>
      </c>
      <c r="D282" s="175"/>
      <c r="E282" s="175"/>
    </row>
    <row r="283" spans="1:5" ht="12.6" customHeight="1" x14ac:dyDescent="0.2">
      <c r="A283" s="173" t="s">
        <v>386</v>
      </c>
      <c r="B283" s="175"/>
      <c r="C283" s="189"/>
      <c r="D283" s="175">
        <f>C279-C280+C281+C282</f>
        <v>325965852.19999999</v>
      </c>
      <c r="E283" s="175"/>
    </row>
    <row r="284" spans="1:5" ht="12.6" customHeight="1" x14ac:dyDescent="0.2">
      <c r="A284" s="173"/>
      <c r="B284" s="175"/>
      <c r="C284" s="189"/>
      <c r="D284" s="175"/>
      <c r="E284" s="175"/>
    </row>
    <row r="285" spans="1:5" ht="12.6" customHeight="1" x14ac:dyDescent="0.2">
      <c r="A285" s="252" t="s">
        <v>387</v>
      </c>
      <c r="B285" s="252"/>
      <c r="C285" s="252"/>
      <c r="D285" s="252"/>
      <c r="E285" s="252"/>
    </row>
    <row r="286" spans="1:5" ht="12.6" customHeight="1" x14ac:dyDescent="0.2">
      <c r="A286" s="173" t="s">
        <v>388</v>
      </c>
      <c r="B286" s="172" t="s">
        <v>256</v>
      </c>
      <c r="C286" s="187">
        <f>3831214.66+4511034.37</f>
        <v>8342249.0300000003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7">
        <f>25211723.14+3831214.67-6588721.7+413190.76</f>
        <v>22867406.870000005</v>
      </c>
      <c r="D289" s="175"/>
      <c r="E289" s="175"/>
    </row>
    <row r="290" spans="1:5" ht="12.6" customHeight="1" x14ac:dyDescent="0.2">
      <c r="A290" s="173" t="s">
        <v>392</v>
      </c>
      <c r="B290" s="175"/>
      <c r="C290" s="189"/>
      <c r="D290" s="175">
        <f>SUM(C286:C289)</f>
        <v>31209655.900000006</v>
      </c>
      <c r="E290" s="175"/>
    </row>
    <row r="291" spans="1:5" ht="12.6" customHeight="1" x14ac:dyDescent="0.2">
      <c r="A291" s="173"/>
      <c r="B291" s="175"/>
      <c r="C291" s="189"/>
      <c r="D291" s="175"/>
      <c r="E291" s="175"/>
    </row>
    <row r="292" spans="1:5" ht="12.6" customHeight="1" x14ac:dyDescent="0.2">
      <c r="A292" s="173" t="s">
        <v>393</v>
      </c>
      <c r="B292" s="175"/>
      <c r="C292" s="189"/>
      <c r="D292" s="175">
        <f>D260+D265+D277+D283+D290</f>
        <v>906560875.77999985</v>
      </c>
      <c r="E292" s="175"/>
    </row>
    <row r="293" spans="1:5" ht="12.6" customHeight="1" x14ac:dyDescent="0.2">
      <c r="A293" s="173"/>
      <c r="B293" s="173"/>
      <c r="C293" s="189"/>
      <c r="D293" s="175"/>
      <c r="E293" s="175"/>
    </row>
    <row r="294" spans="1:5" ht="12.6" customHeight="1" x14ac:dyDescent="0.2">
      <c r="A294" s="173"/>
      <c r="B294" s="173"/>
      <c r="C294" s="189"/>
      <c r="D294" s="175"/>
      <c r="E294" s="175"/>
    </row>
    <row r="295" spans="1:5" ht="12.6" customHeight="1" x14ac:dyDescent="0.2">
      <c r="A295" s="173"/>
      <c r="B295" s="173"/>
      <c r="C295" s="189"/>
      <c r="D295" s="175"/>
      <c r="E295" s="175"/>
    </row>
    <row r="296" spans="1:5" ht="12.6" customHeight="1" x14ac:dyDescent="0.2">
      <c r="A296" s="173"/>
      <c r="B296" s="173"/>
      <c r="C296" s="189"/>
      <c r="D296" s="175"/>
      <c r="E296" s="175"/>
    </row>
    <row r="297" spans="1:5" ht="12.6" customHeight="1" x14ac:dyDescent="0.2">
      <c r="A297" s="173"/>
      <c r="B297" s="173"/>
      <c r="C297" s="189"/>
      <c r="D297" s="175"/>
      <c r="E297" s="175"/>
    </row>
    <row r="298" spans="1:5" ht="12.6" customHeight="1" x14ac:dyDescent="0.2">
      <c r="A298" s="173"/>
      <c r="B298" s="173"/>
      <c r="C298" s="189"/>
      <c r="D298" s="175"/>
      <c r="E298" s="175"/>
    </row>
    <row r="299" spans="1:5" ht="12.6" customHeight="1" x14ac:dyDescent="0.2">
      <c r="A299" s="173"/>
      <c r="B299" s="173"/>
      <c r="C299" s="189"/>
      <c r="D299" s="175"/>
      <c r="E299" s="175"/>
    </row>
    <row r="300" spans="1:5" ht="12.6" customHeight="1" x14ac:dyDescent="0.2">
      <c r="A300" s="173"/>
      <c r="B300" s="173"/>
      <c r="C300" s="189"/>
      <c r="D300" s="175"/>
      <c r="E300" s="175"/>
    </row>
    <row r="301" spans="1:5" ht="20.25" customHeight="1" x14ac:dyDescent="0.2">
      <c r="A301" s="173"/>
      <c r="B301" s="173"/>
      <c r="C301" s="189"/>
      <c r="D301" s="175"/>
      <c r="E301" s="175"/>
    </row>
    <row r="302" spans="1:5" ht="12.6" customHeight="1" x14ac:dyDescent="0.2">
      <c r="A302" s="206" t="s">
        <v>394</v>
      </c>
      <c r="B302" s="206"/>
      <c r="C302" s="206"/>
      <c r="D302" s="206"/>
      <c r="E302" s="206"/>
    </row>
    <row r="303" spans="1:5" ht="14.25" customHeight="1" x14ac:dyDescent="0.2">
      <c r="A303" s="252" t="s">
        <v>395</v>
      </c>
      <c r="B303" s="252"/>
      <c r="C303" s="252"/>
      <c r="D303" s="252"/>
      <c r="E303" s="252"/>
    </row>
    <row r="304" spans="1:5" ht="12.6" customHeight="1" x14ac:dyDescent="0.2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7">
        <f>5788806.61+542669.29</f>
        <v>6331475.9000000004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7">
        <f>14025213.78+6979355.24</f>
        <v>21004569.02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7">
        <f>6991211.91+10177344.31+787078.18+21307594.51+8266254.15</f>
        <v>47529483.059999995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7">
        <f>5108174</f>
        <v>5108174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7">
        <v>0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7">
        <f>4634831.28+378571.11+509920.27</f>
        <v>5523322.6600000001</v>
      </c>
      <c r="D313" s="175"/>
      <c r="E313" s="175"/>
    </row>
    <row r="314" spans="1:5" ht="12.6" customHeight="1" x14ac:dyDescent="0.2">
      <c r="A314" s="173" t="s">
        <v>405</v>
      </c>
      <c r="B314" s="175"/>
      <c r="C314" s="189"/>
      <c r="D314" s="175">
        <f>SUM(C304:C313)</f>
        <v>85497024.639999986</v>
      </c>
      <c r="E314" s="175"/>
    </row>
    <row r="315" spans="1:5" ht="12.6" customHeight="1" x14ac:dyDescent="0.2">
      <c r="A315" s="252" t="s">
        <v>406</v>
      </c>
      <c r="B315" s="252"/>
      <c r="C315" s="252"/>
      <c r="D315" s="252"/>
      <c r="E315" s="252"/>
    </row>
    <row r="316" spans="1:5" ht="12.6" customHeight="1" x14ac:dyDescent="0.2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7">
        <v>6352816</v>
      </c>
      <c r="D318" s="175"/>
      <c r="E318" s="175"/>
    </row>
    <row r="319" spans="1:5" ht="12.6" customHeight="1" x14ac:dyDescent="0.2">
      <c r="A319" s="173" t="s">
        <v>410</v>
      </c>
      <c r="B319" s="175"/>
      <c r="C319" s="189"/>
      <c r="D319" s="175">
        <f>SUM(C316:C318)</f>
        <v>6352816</v>
      </c>
      <c r="E319" s="175"/>
    </row>
    <row r="320" spans="1:5" ht="12.6" customHeight="1" x14ac:dyDescent="0.2">
      <c r="A320" s="252" t="s">
        <v>411</v>
      </c>
      <c r="B320" s="252"/>
      <c r="C320" s="252"/>
      <c r="D320" s="252"/>
      <c r="E320" s="252"/>
    </row>
    <row r="321" spans="1:5" ht="12.6" customHeight="1" x14ac:dyDescent="0.2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7">
        <f>1019840.53+509920.27</f>
        <v>1529760.8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7">
        <f>470395.05+141106.59+378571.11</f>
        <v>990072.75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7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7">
        <f>78157063.48+4493724.69</f>
        <v>82650788.170000002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7">
        <v>2511059</v>
      </c>
      <c r="D327" s="175"/>
      <c r="E327" s="175"/>
    </row>
    <row r="328" spans="1:5" ht="19.5" customHeight="1" x14ac:dyDescent="0.2">
      <c r="A328" s="173" t="s">
        <v>203</v>
      </c>
      <c r="B328" s="175"/>
      <c r="C328" s="189"/>
      <c r="D328" s="175">
        <f>SUM(C321:C327)</f>
        <v>87681680.719999999</v>
      </c>
      <c r="E328" s="175"/>
    </row>
    <row r="329" spans="1:5" ht="12.6" customHeight="1" x14ac:dyDescent="0.2">
      <c r="A329" s="173" t="s">
        <v>419</v>
      </c>
      <c r="B329" s="175"/>
      <c r="C329" s="189"/>
      <c r="D329" s="175">
        <f>C313</f>
        <v>5523322.6600000001</v>
      </c>
      <c r="E329" s="175"/>
    </row>
    <row r="330" spans="1:5" ht="12.6" customHeight="1" x14ac:dyDescent="0.2">
      <c r="A330" s="173" t="s">
        <v>420</v>
      </c>
      <c r="B330" s="175"/>
      <c r="C330" s="189"/>
      <c r="D330" s="175">
        <f>D328-D329</f>
        <v>82158358.060000002</v>
      </c>
      <c r="E330" s="175"/>
    </row>
    <row r="331" spans="1:5" ht="12.6" customHeight="1" x14ac:dyDescent="0.2">
      <c r="A331" s="173"/>
      <c r="B331" s="175"/>
      <c r="C331" s="189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19">
        <f>716829640.27+15723037.35</f>
        <v>732552677.62</v>
      </c>
      <c r="D332" s="175"/>
      <c r="E332" s="175"/>
    </row>
    <row r="333" spans="1:5" ht="12.6" customHeight="1" x14ac:dyDescent="0.2">
      <c r="A333" s="173"/>
      <c r="B333" s="172"/>
      <c r="C333" s="227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 x14ac:dyDescent="0.2">
      <c r="A339" s="173" t="s">
        <v>424</v>
      </c>
      <c r="B339" s="175"/>
      <c r="C339" s="189"/>
      <c r="D339" s="175">
        <f>D314+D319+D330+C332+C336+C337</f>
        <v>906560876.31999993</v>
      </c>
      <c r="E339" s="175"/>
    </row>
    <row r="340" spans="1:5" ht="12.6" customHeight="1" x14ac:dyDescent="0.2">
      <c r="A340" s="173"/>
      <c r="B340" s="175"/>
      <c r="C340" s="189"/>
      <c r="D340" s="175"/>
      <c r="E340" s="175"/>
    </row>
    <row r="341" spans="1:5" ht="12.6" customHeight="1" x14ac:dyDescent="0.2">
      <c r="A341" s="173" t="s">
        <v>425</v>
      </c>
      <c r="B341" s="175"/>
      <c r="C341" s="189"/>
      <c r="D341" s="175">
        <f>D292</f>
        <v>906560875.77999985</v>
      </c>
      <c r="E341" s="175"/>
    </row>
    <row r="342" spans="1:5" ht="12.6" customHeight="1" x14ac:dyDescent="0.2">
      <c r="A342" s="173"/>
      <c r="B342" s="173"/>
      <c r="C342" s="189"/>
      <c r="D342" s="175"/>
      <c r="E342" s="175"/>
    </row>
    <row r="343" spans="1:5" ht="12.6" customHeight="1" x14ac:dyDescent="0.2">
      <c r="A343" s="173"/>
      <c r="B343" s="173"/>
      <c r="C343" s="189"/>
      <c r="D343" s="175"/>
      <c r="E343" s="175"/>
    </row>
    <row r="344" spans="1:5" ht="12.6" customHeight="1" x14ac:dyDescent="0.2">
      <c r="A344" s="173"/>
      <c r="B344" s="173"/>
      <c r="C344" s="189"/>
      <c r="D344" s="175"/>
      <c r="E344" s="175"/>
    </row>
    <row r="345" spans="1:5" ht="12.6" customHeight="1" x14ac:dyDescent="0.2">
      <c r="A345" s="173"/>
      <c r="B345" s="173"/>
      <c r="C345" s="189"/>
      <c r="D345" s="175"/>
      <c r="E345" s="175"/>
    </row>
    <row r="346" spans="1:5" ht="12.6" customHeight="1" x14ac:dyDescent="0.2">
      <c r="A346" s="173"/>
      <c r="B346" s="173"/>
      <c r="C346" s="189"/>
      <c r="D346" s="175"/>
      <c r="E346" s="175"/>
    </row>
    <row r="347" spans="1:5" ht="12.6" customHeight="1" x14ac:dyDescent="0.2">
      <c r="A347" s="173"/>
      <c r="B347" s="173"/>
      <c r="C347" s="189"/>
      <c r="D347" s="175"/>
      <c r="E347" s="175"/>
    </row>
    <row r="348" spans="1:5" ht="12.6" customHeight="1" x14ac:dyDescent="0.2">
      <c r="A348" s="173"/>
      <c r="B348" s="173"/>
      <c r="C348" s="189"/>
      <c r="D348" s="175"/>
      <c r="E348" s="175"/>
    </row>
    <row r="349" spans="1:5" ht="12.6" customHeight="1" x14ac:dyDescent="0.2">
      <c r="A349" s="173"/>
      <c r="B349" s="173"/>
      <c r="C349" s="189"/>
      <c r="D349" s="175"/>
      <c r="E349" s="175"/>
    </row>
    <row r="350" spans="1:5" ht="12.6" customHeight="1" x14ac:dyDescent="0.2">
      <c r="A350" s="173"/>
      <c r="B350" s="173"/>
      <c r="C350" s="189"/>
      <c r="D350" s="175"/>
      <c r="E350" s="175"/>
    </row>
    <row r="351" spans="1:5" ht="12.6" customHeight="1" x14ac:dyDescent="0.2">
      <c r="A351" s="173"/>
      <c r="B351" s="173"/>
      <c r="C351" s="189"/>
      <c r="D351" s="175"/>
      <c r="E351" s="175"/>
    </row>
    <row r="352" spans="1:5" ht="12.6" customHeight="1" x14ac:dyDescent="0.2">
      <c r="A352" s="173"/>
      <c r="B352" s="173"/>
      <c r="C352" s="189"/>
      <c r="D352" s="175"/>
      <c r="E352" s="175"/>
    </row>
    <row r="353" spans="1:5" ht="12.6" customHeight="1" x14ac:dyDescent="0.2">
      <c r="A353" s="173"/>
      <c r="B353" s="173"/>
      <c r="C353" s="189"/>
      <c r="D353" s="175"/>
      <c r="E353" s="175"/>
    </row>
    <row r="354" spans="1:5" ht="12.6" customHeight="1" x14ac:dyDescent="0.2">
      <c r="A354" s="173"/>
      <c r="B354" s="173"/>
      <c r="C354" s="189"/>
      <c r="D354" s="175"/>
      <c r="E354" s="175"/>
    </row>
    <row r="355" spans="1:5" ht="12.6" customHeight="1" x14ac:dyDescent="0.2">
      <c r="A355" s="173"/>
      <c r="B355" s="173"/>
      <c r="C355" s="189"/>
      <c r="D355" s="175"/>
      <c r="E355" s="175"/>
    </row>
    <row r="356" spans="1:5" ht="20.25" customHeight="1" x14ac:dyDescent="0.2">
      <c r="A356" s="173"/>
      <c r="B356" s="173"/>
      <c r="C356" s="189"/>
      <c r="D356" s="175"/>
      <c r="E356" s="175"/>
    </row>
    <row r="357" spans="1:5" ht="12.6" customHeight="1" x14ac:dyDescent="0.2">
      <c r="A357" s="206" t="s">
        <v>426</v>
      </c>
      <c r="B357" s="206"/>
      <c r="C357" s="206"/>
      <c r="D357" s="206"/>
      <c r="E357" s="206"/>
    </row>
    <row r="358" spans="1:5" ht="12.6" customHeight="1" x14ac:dyDescent="0.2">
      <c r="A358" s="252" t="s">
        <v>427</v>
      </c>
      <c r="B358" s="252"/>
      <c r="C358" s="252"/>
      <c r="D358" s="252"/>
      <c r="E358" s="252"/>
    </row>
    <row r="359" spans="1:5" ht="12.6" customHeight="1" x14ac:dyDescent="0.2">
      <c r="A359" s="173" t="s">
        <v>428</v>
      </c>
      <c r="B359" s="172" t="s">
        <v>256</v>
      </c>
      <c r="C359" s="187">
        <v>1052674086.54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7">
        <f>1373388334.87+2577711.23+249935199.68</f>
        <v>1625901245.78</v>
      </c>
      <c r="D360" s="175"/>
      <c r="E360" s="175"/>
    </row>
    <row r="361" spans="1:5" ht="12.6" customHeight="1" x14ac:dyDescent="0.2">
      <c r="A361" s="173" t="s">
        <v>430</v>
      </c>
      <c r="B361" s="175"/>
      <c r="C361" s="189"/>
      <c r="D361" s="175">
        <f>SUM(C359:C360)</f>
        <v>2678575332.3199997</v>
      </c>
      <c r="E361" s="175"/>
    </row>
    <row r="362" spans="1:5" ht="12.6" customHeight="1" x14ac:dyDescent="0.2">
      <c r="A362" s="252" t="s">
        <v>431</v>
      </c>
      <c r="B362" s="252"/>
      <c r="C362" s="252"/>
      <c r="D362" s="252"/>
      <c r="E362" s="252"/>
    </row>
    <row r="363" spans="1:5" ht="12.6" customHeight="1" x14ac:dyDescent="0.2">
      <c r="A363" s="173" t="s">
        <v>1255</v>
      </c>
      <c r="B363" s="252"/>
      <c r="C363" s="187">
        <v>12497585.57</v>
      </c>
      <c r="D363" s="175"/>
      <c r="E363" s="252"/>
    </row>
    <row r="364" spans="1:5" ht="12.6" customHeight="1" x14ac:dyDescent="0.2">
      <c r="A364" s="173" t="s">
        <v>432</v>
      </c>
      <c r="B364" s="172" t="s">
        <v>256</v>
      </c>
      <c r="C364" s="187">
        <f>-2615342.12+-10168109.31+803568366.23+1027902349.75-11722.96-30.63+1543280.13-440448.53+52842.12+145865964.76</f>
        <v>1965697149.4400001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7">
        <v>15370855.83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7">
        <f>2615342.12+10168109.31+30.63+11722.96+440448.53-52842.12</f>
        <v>13182811.430000002</v>
      </c>
      <c r="D366" s="175"/>
      <c r="E366" s="175"/>
    </row>
    <row r="367" spans="1:5" ht="12.6" customHeight="1" x14ac:dyDescent="0.2">
      <c r="A367" s="173" t="s">
        <v>359</v>
      </c>
      <c r="B367" s="175"/>
      <c r="C367" s="189"/>
      <c r="D367" s="175">
        <f>SUM(C363:C366)</f>
        <v>2006748402.27</v>
      </c>
      <c r="E367" s="175"/>
    </row>
    <row r="368" spans="1:5" ht="12.6" customHeight="1" x14ac:dyDescent="0.2">
      <c r="A368" s="173" t="s">
        <v>435</v>
      </c>
      <c r="B368" s="175"/>
      <c r="C368" s="189"/>
      <c r="D368" s="175">
        <f>D361-D367</f>
        <v>671826930.04999971</v>
      </c>
      <c r="E368" s="175"/>
    </row>
    <row r="369" spans="1:5" ht="12.6" customHeight="1" x14ac:dyDescent="0.2">
      <c r="A369" s="252" t="s">
        <v>436</v>
      </c>
      <c r="B369" s="252"/>
      <c r="C369" s="252"/>
      <c r="D369" s="252"/>
      <c r="E369" s="252"/>
    </row>
    <row r="370" spans="1:5" ht="12.6" customHeight="1" x14ac:dyDescent="0.2">
      <c r="A370" s="173" t="s">
        <v>437</v>
      </c>
      <c r="B370" s="172" t="s">
        <v>256</v>
      </c>
      <c r="C370" s="187">
        <f>5409990.33+336474.24+0</f>
        <v>5746464.5700000003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 x14ac:dyDescent="0.2">
      <c r="A372" s="173" t="s">
        <v>439</v>
      </c>
      <c r="B372" s="175"/>
      <c r="C372" s="189"/>
      <c r="D372" s="175">
        <f>SUM(C370:C371)</f>
        <v>5746464.5700000003</v>
      </c>
      <c r="E372" s="175"/>
    </row>
    <row r="373" spans="1:5" ht="12.6" customHeight="1" x14ac:dyDescent="0.2">
      <c r="A373" s="173" t="s">
        <v>440</v>
      </c>
      <c r="B373" s="175"/>
      <c r="C373" s="189"/>
      <c r="D373" s="175">
        <f>D368+D372</f>
        <v>677573394.61999977</v>
      </c>
      <c r="E373" s="175"/>
    </row>
    <row r="374" spans="1:5" ht="12.6" customHeight="1" x14ac:dyDescent="0.2">
      <c r="A374" s="173"/>
      <c r="B374" s="175"/>
      <c r="C374" s="189"/>
      <c r="D374" s="175"/>
      <c r="E374" s="175"/>
    </row>
    <row r="375" spans="1:5" ht="12.6" customHeight="1" x14ac:dyDescent="0.2">
      <c r="A375" s="173"/>
      <c r="B375" s="175"/>
      <c r="C375" s="189"/>
      <c r="D375" s="175"/>
      <c r="E375" s="175"/>
    </row>
    <row r="376" spans="1:5" ht="12.6" customHeight="1" x14ac:dyDescent="0.2">
      <c r="A376" s="173"/>
      <c r="B376" s="175"/>
      <c r="C376" s="189"/>
      <c r="D376" s="175"/>
      <c r="E376" s="175"/>
    </row>
    <row r="377" spans="1:5" ht="12.6" customHeight="1" x14ac:dyDescent="0.2">
      <c r="A377" s="252" t="s">
        <v>441</v>
      </c>
      <c r="B377" s="252"/>
      <c r="C377" s="252"/>
      <c r="D377" s="252"/>
      <c r="E377" s="252"/>
    </row>
    <row r="378" spans="1:5" ht="12.6" customHeight="1" x14ac:dyDescent="0.2">
      <c r="A378" s="173" t="s">
        <v>442</v>
      </c>
      <c r="B378" s="172" t="s">
        <v>256</v>
      </c>
      <c r="C378" s="187">
        <f>184731736.5+8908663.14</f>
        <v>193640399.63999999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7">
        <v>41619655.539999999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7">
        <v>42048900.119999997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7">
        <v>107520410.94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7">
        <v>4642352.87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7">
        <f>72871.82+136554348.66+4135415.06+5575972.2</f>
        <v>146338607.73999998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7">
        <v>46236466.659999996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7">
        <v>13217957.82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7">
        <v>5561677.0300000003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7">
        <v>14935935.68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7">
        <v>-5045428.8099999996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7">
        <f>277185.74+791061.01+479208.98+279396+231538+77697.2-1868.68+6242669.72-114850.06</f>
        <v>8262037.9100000001</v>
      </c>
      <c r="D389" s="175"/>
      <c r="E389" s="175"/>
    </row>
    <row r="390" spans="1:6" ht="12.6" customHeight="1" x14ac:dyDescent="0.2">
      <c r="A390" s="173" t="s">
        <v>452</v>
      </c>
      <c r="B390" s="175"/>
      <c r="C390" s="189"/>
      <c r="D390" s="175">
        <f>SUM(C378:C389)</f>
        <v>618978973.13999987</v>
      </c>
      <c r="E390" s="175"/>
    </row>
    <row r="391" spans="1:6" ht="12.6" customHeight="1" x14ac:dyDescent="0.2">
      <c r="A391" s="173" t="s">
        <v>453</v>
      </c>
      <c r="B391" s="175"/>
      <c r="C391" s="189"/>
      <c r="D391" s="175">
        <f>D373-D390</f>
        <v>58594421.4799999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7">
        <v>15539323.24</v>
      </c>
      <c r="D392" s="175"/>
      <c r="E392" s="175"/>
    </row>
    <row r="393" spans="1:6" ht="12.6" customHeight="1" x14ac:dyDescent="0.2">
      <c r="A393" s="173" t="s">
        <v>455</v>
      </c>
      <c r="B393" s="175"/>
      <c r="C393" s="189"/>
      <c r="D393" s="193">
        <f>D391+C392</f>
        <v>74133744.719999894</v>
      </c>
      <c r="E393" s="175"/>
      <c r="F393" s="195"/>
    </row>
    <row r="394" spans="1:6" ht="12.6" customHeight="1" x14ac:dyDescent="0.2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 x14ac:dyDescent="0.2">
      <c r="A396" s="173" t="s">
        <v>458</v>
      </c>
      <c r="B396" s="175"/>
      <c r="C396" s="189"/>
      <c r="D396" s="175">
        <f>D393+C394-C395</f>
        <v>74133744.719999894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5"/>
    </row>
    <row r="412" spans="1:5" ht="12.6" customHeight="1" x14ac:dyDescent="0.2">
      <c r="A412" s="179" t="str">
        <f>C84&amp;"   "&amp;"H-"&amp;FIXED(C83,0,TRUE)&amp;"     FYE "&amp;C82</f>
        <v>Harrison Medical Center   H-0     FYE 06/30/2019</v>
      </c>
      <c r="B412" s="179"/>
      <c r="C412" s="179"/>
      <c r="D412" s="179"/>
      <c r="E412" s="255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13385</v>
      </c>
      <c r="C414" s="192">
        <f>E138</f>
        <v>13385</v>
      </c>
      <c r="D414" s="179"/>
    </row>
    <row r="415" spans="1:5" ht="12.6" customHeight="1" x14ac:dyDescent="0.2">
      <c r="A415" s="179" t="s">
        <v>464</v>
      </c>
      <c r="B415" s="179">
        <f>D111</f>
        <v>61575</v>
      </c>
      <c r="C415" s="179">
        <f>E139</f>
        <v>61575</v>
      </c>
      <c r="D415" s="192">
        <f>SUM(C59:H59)+N59</f>
        <v>61575</v>
      </c>
    </row>
    <row r="416" spans="1:5" ht="12.6" customHeight="1" x14ac:dyDescent="0.2">
      <c r="A416" s="179"/>
      <c r="B416" s="179"/>
      <c r="C416" s="192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2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4"/>
      <c r="B422" s="204"/>
      <c r="C422" s="181"/>
      <c r="D422" s="179"/>
    </row>
    <row r="423" spans="1:7" ht="12.6" customHeight="1" x14ac:dyDescent="0.2">
      <c r="A423" s="180" t="s">
        <v>469</v>
      </c>
      <c r="B423" s="180">
        <f>C114</f>
        <v>1972</v>
      </c>
    </row>
    <row r="424" spans="1:7" ht="12.6" customHeight="1" x14ac:dyDescent="0.2">
      <c r="A424" s="179" t="s">
        <v>1244</v>
      </c>
      <c r="B424" s="179">
        <f>D114</f>
        <v>3964</v>
      </c>
      <c r="D424" s="179">
        <f>J59</f>
        <v>3964</v>
      </c>
    </row>
    <row r="425" spans="1:7" ht="12.6" customHeight="1" x14ac:dyDescent="0.2">
      <c r="A425" s="204"/>
      <c r="B425" s="204"/>
      <c r="C425" s="204"/>
      <c r="D425" s="204"/>
      <c r="F425" s="204"/>
      <c r="G425" s="204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3">C378</f>
        <v>193640399.63999999</v>
      </c>
      <c r="C427" s="179">
        <f t="shared" ref="C427:C434" si="14">CE61</f>
        <v>193640400.35999998</v>
      </c>
      <c r="D427" s="179"/>
    </row>
    <row r="428" spans="1:7" ht="12.6" customHeight="1" x14ac:dyDescent="0.2">
      <c r="A428" s="179" t="s">
        <v>3</v>
      </c>
      <c r="B428" s="179">
        <f t="shared" si="13"/>
        <v>41619655.539999999</v>
      </c>
      <c r="C428" s="179">
        <f t="shared" si="14"/>
        <v>41619656</v>
      </c>
      <c r="D428" s="179">
        <f>D173</f>
        <v>41619654.939999998</v>
      </c>
    </row>
    <row r="429" spans="1:7" ht="12.6" customHeight="1" x14ac:dyDescent="0.2">
      <c r="A429" s="179" t="s">
        <v>236</v>
      </c>
      <c r="B429" s="179">
        <f t="shared" si="13"/>
        <v>42048900.119999997</v>
      </c>
      <c r="C429" s="179">
        <f t="shared" si="14"/>
        <v>42048899.690000005</v>
      </c>
      <c r="D429" s="179"/>
    </row>
    <row r="430" spans="1:7" ht="12.6" customHeight="1" x14ac:dyDescent="0.2">
      <c r="A430" s="179" t="s">
        <v>237</v>
      </c>
      <c r="B430" s="179">
        <f t="shared" si="13"/>
        <v>107520410.94</v>
      </c>
      <c r="C430" s="179">
        <f t="shared" si="14"/>
        <v>107520410.71999995</v>
      </c>
      <c r="D430" s="179"/>
    </row>
    <row r="431" spans="1:7" ht="12.6" customHeight="1" x14ac:dyDescent="0.2">
      <c r="A431" s="179" t="s">
        <v>444</v>
      </c>
      <c r="B431" s="179">
        <f t="shared" si="13"/>
        <v>4642352.87</v>
      </c>
      <c r="C431" s="179">
        <f t="shared" si="14"/>
        <v>4642352.74</v>
      </c>
      <c r="D431" s="179"/>
    </row>
    <row r="432" spans="1:7" ht="12.6" customHeight="1" x14ac:dyDescent="0.2">
      <c r="A432" s="179" t="s">
        <v>445</v>
      </c>
      <c r="B432" s="179">
        <f t="shared" si="13"/>
        <v>146338607.73999998</v>
      </c>
      <c r="C432" s="179">
        <f t="shared" si="14"/>
        <v>146338607.73560297</v>
      </c>
      <c r="D432" s="179"/>
      <c r="E432" s="180">
        <f>B432-C432</f>
        <v>4.3970048427581787E-3</v>
      </c>
    </row>
    <row r="433" spans="1:7" ht="12.6" customHeight="1" x14ac:dyDescent="0.2">
      <c r="A433" s="179" t="s">
        <v>6</v>
      </c>
      <c r="B433" s="179">
        <f t="shared" si="13"/>
        <v>46236466.659999996</v>
      </c>
      <c r="C433" s="179">
        <f t="shared" si="14"/>
        <v>46236470</v>
      </c>
      <c r="D433" s="179">
        <f>C217</f>
        <v>46236466.920000002</v>
      </c>
    </row>
    <row r="434" spans="1:7" ht="12.6" customHeight="1" x14ac:dyDescent="0.2">
      <c r="A434" s="179" t="s">
        <v>474</v>
      </c>
      <c r="B434" s="179">
        <f t="shared" si="13"/>
        <v>13217957.82</v>
      </c>
      <c r="C434" s="179">
        <f t="shared" si="14"/>
        <v>13217957.749999996</v>
      </c>
      <c r="D434" s="179">
        <f>D177</f>
        <v>13217957.82</v>
      </c>
    </row>
    <row r="435" spans="1:7" ht="12.6" customHeight="1" x14ac:dyDescent="0.2">
      <c r="A435" s="179" t="s">
        <v>447</v>
      </c>
      <c r="B435" s="179">
        <f t="shared" si="13"/>
        <v>5561677.0300000003</v>
      </c>
      <c r="C435" s="179"/>
      <c r="D435" s="179">
        <f>D181</f>
        <v>5561677.0299999993</v>
      </c>
    </row>
    <row r="436" spans="1:7" ht="12.6" customHeight="1" x14ac:dyDescent="0.2">
      <c r="A436" s="179" t="s">
        <v>475</v>
      </c>
      <c r="B436" s="179">
        <f t="shared" si="13"/>
        <v>14935935.68</v>
      </c>
      <c r="C436" s="179"/>
      <c r="D436" s="179">
        <f>D186</f>
        <v>14935935.68</v>
      </c>
    </row>
    <row r="437" spans="1:7" ht="12.6" customHeight="1" x14ac:dyDescent="0.2">
      <c r="A437" s="192" t="s">
        <v>449</v>
      </c>
      <c r="B437" s="192">
        <f t="shared" si="13"/>
        <v>-5045428.8099999996</v>
      </c>
      <c r="C437" s="192"/>
      <c r="D437" s="192">
        <f>D190</f>
        <v>-5045428.8099999996</v>
      </c>
    </row>
    <row r="438" spans="1:7" ht="12.6" customHeight="1" x14ac:dyDescent="0.2">
      <c r="A438" s="192" t="s">
        <v>476</v>
      </c>
      <c r="B438" s="192">
        <f>C386+C387+C388</f>
        <v>15452183.900000002</v>
      </c>
      <c r="C438" s="192">
        <f>CD69</f>
        <v>15452184</v>
      </c>
      <c r="D438" s="192">
        <f>D181+D186+D190</f>
        <v>15452183.900000002</v>
      </c>
    </row>
    <row r="439" spans="1:7" ht="12.6" customHeight="1" x14ac:dyDescent="0.2">
      <c r="A439" s="179" t="s">
        <v>451</v>
      </c>
      <c r="B439" s="192">
        <f>C389</f>
        <v>8262037.9100000001</v>
      </c>
      <c r="C439" s="192">
        <f>SUM(C69:CC69)</f>
        <v>8262038.3699999982</v>
      </c>
      <c r="D439" s="179"/>
    </row>
    <row r="440" spans="1:7" ht="12.6" customHeight="1" x14ac:dyDescent="0.2">
      <c r="A440" s="179" t="s">
        <v>477</v>
      </c>
      <c r="B440" s="192">
        <f>B438+B439</f>
        <v>23714221.810000002</v>
      </c>
      <c r="C440" s="192">
        <f>CE69</f>
        <v>23714222.369999997</v>
      </c>
      <c r="D440" s="179"/>
    </row>
    <row r="441" spans="1:7" ht="12.6" customHeight="1" x14ac:dyDescent="0.2">
      <c r="A441" s="179" t="s">
        <v>478</v>
      </c>
      <c r="B441" s="179">
        <f>D390</f>
        <v>618978973.13999987</v>
      </c>
      <c r="C441" s="179">
        <f>SUM(C427:C437)+C440</f>
        <v>618978977.36560297</v>
      </c>
      <c r="D441" s="179"/>
    </row>
    <row r="442" spans="1:7" ht="12.6" customHeight="1" x14ac:dyDescent="0.2">
      <c r="A442" s="204"/>
      <c r="B442" s="204"/>
      <c r="C442" s="204"/>
      <c r="D442" s="204"/>
      <c r="F442" s="204"/>
      <c r="G442" s="204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12497585.57</v>
      </c>
      <c r="C444" s="179">
        <f>C363</f>
        <v>12497585.57</v>
      </c>
      <c r="D444" s="179"/>
    </row>
    <row r="445" spans="1:7" ht="12.6" customHeight="1" x14ac:dyDescent="0.2">
      <c r="A445" s="179" t="s">
        <v>343</v>
      </c>
      <c r="B445" s="179">
        <f>D229</f>
        <v>1965697149.4399998</v>
      </c>
      <c r="C445" s="179">
        <f>C364</f>
        <v>1965697149.4400001</v>
      </c>
      <c r="D445" s="179"/>
    </row>
    <row r="446" spans="1:7" ht="12.6" customHeight="1" x14ac:dyDescent="0.2">
      <c r="A446" s="179" t="s">
        <v>351</v>
      </c>
      <c r="B446" s="179">
        <f>D236</f>
        <v>15370855.83</v>
      </c>
      <c r="C446" s="179">
        <f>C365</f>
        <v>15370855.83</v>
      </c>
      <c r="D446" s="179"/>
    </row>
    <row r="447" spans="1:7" ht="12.6" customHeight="1" x14ac:dyDescent="0.2">
      <c r="A447" s="179" t="s">
        <v>356</v>
      </c>
      <c r="B447" s="179">
        <f>D240</f>
        <v>13182811.430000002</v>
      </c>
      <c r="C447" s="179">
        <f>C366</f>
        <v>13182811.430000002</v>
      </c>
      <c r="D447" s="179"/>
    </row>
    <row r="448" spans="1:7" ht="12.6" customHeight="1" x14ac:dyDescent="0.2">
      <c r="A448" s="179" t="s">
        <v>358</v>
      </c>
      <c r="B448" s="179">
        <f>D242</f>
        <v>2006748402.2699997</v>
      </c>
      <c r="C448" s="179">
        <f>D367</f>
        <v>2006748402.27</v>
      </c>
      <c r="D448" s="179"/>
    </row>
    <row r="449" spans="1:7" ht="12.6" customHeight="1" x14ac:dyDescent="0.2">
      <c r="A449" s="204"/>
      <c r="B449" s="204"/>
      <c r="C449" s="204"/>
      <c r="D449" s="204"/>
      <c r="F449" s="204"/>
      <c r="G449" s="204"/>
    </row>
    <row r="450" spans="1:7" ht="12.6" customHeight="1" x14ac:dyDescent="0.2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7" t="s">
        <v>484</v>
      </c>
      <c r="B453" s="180">
        <f>C231</f>
        <v>11035</v>
      </c>
    </row>
    <row r="454" spans="1:7" ht="12.6" customHeight="1" x14ac:dyDescent="0.2">
      <c r="A454" s="179" t="s">
        <v>168</v>
      </c>
      <c r="B454" s="179">
        <f>C233</f>
        <v>4758089.33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10612766.5</v>
      </c>
      <c r="C455" s="179"/>
      <c r="D455" s="179"/>
    </row>
    <row r="456" spans="1:7" ht="12.6" customHeight="1" x14ac:dyDescent="0.2">
      <c r="A456" s="204"/>
      <c r="B456" s="204"/>
      <c r="C456" s="204"/>
      <c r="D456" s="204"/>
      <c r="F456" s="204"/>
      <c r="G456" s="204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2">
        <f>C370</f>
        <v>5746464.5700000003</v>
      </c>
      <c r="C458" s="192">
        <f>CE70</f>
        <v>5746464.2699999977</v>
      </c>
      <c r="D458" s="192"/>
    </row>
    <row r="459" spans="1:7" ht="12.6" customHeight="1" x14ac:dyDescent="0.2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 x14ac:dyDescent="0.2">
      <c r="A460" s="204"/>
      <c r="B460" s="204"/>
      <c r="C460" s="204"/>
      <c r="D460" s="204"/>
      <c r="F460" s="204"/>
      <c r="G460" s="204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2">
        <f>C359</f>
        <v>1052674086.54</v>
      </c>
      <c r="C463" s="192">
        <f>CE73</f>
        <v>1052674086.1299999</v>
      </c>
      <c r="D463" s="192">
        <f>E141+E147+E153</f>
        <v>1052674086.54</v>
      </c>
    </row>
    <row r="464" spans="1:7" ht="12.6" customHeight="1" x14ac:dyDescent="0.2">
      <c r="A464" s="179" t="s">
        <v>246</v>
      </c>
      <c r="B464" s="192">
        <f>C360</f>
        <v>1625901245.78</v>
      </c>
      <c r="C464" s="192">
        <f>CE74</f>
        <v>1625901245.6000001</v>
      </c>
      <c r="D464" s="192">
        <f>E142+E148+E154</f>
        <v>1625901245.7800002</v>
      </c>
    </row>
    <row r="465" spans="1:7" ht="12.6" customHeight="1" x14ac:dyDescent="0.2">
      <c r="A465" s="179" t="s">
        <v>247</v>
      </c>
      <c r="B465" s="192">
        <f>D361</f>
        <v>2678575332.3199997</v>
      </c>
      <c r="C465" s="192">
        <f>CE75</f>
        <v>2678575331.7300005</v>
      </c>
      <c r="D465" s="192">
        <f>D463+D464</f>
        <v>2678575332.3200002</v>
      </c>
    </row>
    <row r="466" spans="1:7" ht="12.6" customHeight="1" x14ac:dyDescent="0.2">
      <c r="A466" s="204"/>
      <c r="B466" s="204"/>
      <c r="C466" s="204"/>
      <c r="D466" s="204"/>
      <c r="F466" s="204"/>
      <c r="G466" s="204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5">C267</f>
        <v>10245719.140000001</v>
      </c>
      <c r="C468" s="179">
        <f>E195</f>
        <v>10245719</v>
      </c>
      <c r="D468" s="179"/>
    </row>
    <row r="469" spans="1:7" ht="12.6" customHeight="1" x14ac:dyDescent="0.2">
      <c r="A469" s="179" t="s">
        <v>333</v>
      </c>
      <c r="B469" s="179">
        <f t="shared" si="15"/>
        <v>2319119</v>
      </c>
      <c r="C469" s="179">
        <f>E196</f>
        <v>2319119</v>
      </c>
      <c r="D469" s="179"/>
    </row>
    <row r="470" spans="1:7" ht="12.6" customHeight="1" x14ac:dyDescent="0.2">
      <c r="A470" s="179" t="s">
        <v>334</v>
      </c>
      <c r="B470" s="179">
        <f t="shared" si="15"/>
        <v>99727204.209999993</v>
      </c>
      <c r="C470" s="179">
        <f>E197</f>
        <v>99727204</v>
      </c>
      <c r="D470" s="179"/>
    </row>
    <row r="471" spans="1:7" ht="12.6" customHeight="1" x14ac:dyDescent="0.2">
      <c r="A471" s="179" t="s">
        <v>494</v>
      </c>
      <c r="B471" s="179">
        <f t="shared" si="15"/>
        <v>15429086.32</v>
      </c>
      <c r="C471" s="179">
        <f>E198</f>
        <v>15429086.369999999</v>
      </c>
      <c r="D471" s="179"/>
    </row>
    <row r="472" spans="1:7" ht="12.6" customHeight="1" x14ac:dyDescent="0.2">
      <c r="A472" s="179" t="s">
        <v>377</v>
      </c>
      <c r="B472" s="179">
        <f t="shared" si="15"/>
        <v>5283866.1899999995</v>
      </c>
      <c r="C472" s="179">
        <f>E199</f>
        <v>5283866.33</v>
      </c>
      <c r="D472" s="179"/>
    </row>
    <row r="473" spans="1:7" ht="12.6" customHeight="1" x14ac:dyDescent="0.2">
      <c r="A473" s="179" t="s">
        <v>495</v>
      </c>
      <c r="B473" s="179">
        <f t="shared" si="15"/>
        <v>157648654.50999999</v>
      </c>
      <c r="C473" s="179">
        <f>SUM(E200:E201)</f>
        <v>157648654.91999999</v>
      </c>
      <c r="D473" s="179"/>
    </row>
    <row r="474" spans="1:7" ht="12.6" customHeight="1" x14ac:dyDescent="0.2">
      <c r="A474" s="179" t="s">
        <v>339</v>
      </c>
      <c r="B474" s="179">
        <f t="shared" si="15"/>
        <v>33510769.609999999</v>
      </c>
      <c r="C474" s="179">
        <f>E202</f>
        <v>33510769.09</v>
      </c>
      <c r="D474" s="179"/>
    </row>
    <row r="475" spans="1:7" ht="12.6" customHeight="1" x14ac:dyDescent="0.2">
      <c r="A475" s="179" t="s">
        <v>340</v>
      </c>
      <c r="B475" s="179">
        <f t="shared" si="15"/>
        <v>279920957.12</v>
      </c>
      <c r="C475" s="179">
        <f>E203</f>
        <v>279920956.91999996</v>
      </c>
      <c r="D475" s="179"/>
    </row>
    <row r="476" spans="1:7" ht="12.6" customHeight="1" x14ac:dyDescent="0.2">
      <c r="A476" s="179" t="s">
        <v>203</v>
      </c>
      <c r="B476" s="179">
        <f>D275</f>
        <v>604085376.10000002</v>
      </c>
      <c r="C476" s="179">
        <f>E204</f>
        <v>604085375.62999988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194113837.59</v>
      </c>
      <c r="C478" s="179">
        <f>E217</f>
        <v>194113836.68000001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906560875.77999985</v>
      </c>
    </row>
    <row r="482" spans="1:12" ht="12.6" customHeight="1" x14ac:dyDescent="0.2">
      <c r="A482" s="180" t="s">
        <v>499</v>
      </c>
      <c r="C482" s="180">
        <f>D339</f>
        <v>906560876.31999993</v>
      </c>
    </row>
    <row r="485" spans="1:12" ht="12.6" customHeight="1" x14ac:dyDescent="0.2">
      <c r="A485" s="197" t="s">
        <v>500</v>
      </c>
    </row>
    <row r="486" spans="1:12" ht="12.6" customHeight="1" x14ac:dyDescent="0.2">
      <c r="A486" s="197" t="s">
        <v>501</v>
      </c>
    </row>
    <row r="487" spans="1:12" ht="12.6" customHeight="1" x14ac:dyDescent="0.2">
      <c r="A487" s="197" t="s">
        <v>502</v>
      </c>
    </row>
    <row r="488" spans="1:12" ht="12.6" customHeight="1" x14ac:dyDescent="0.2">
      <c r="A488" s="197"/>
    </row>
    <row r="489" spans="1:12" ht="12.6" customHeight="1" x14ac:dyDescent="0.2">
      <c r="A489" s="196" t="s">
        <v>503</v>
      </c>
    </row>
    <row r="490" spans="1:12" ht="12.6" customHeight="1" x14ac:dyDescent="0.2">
      <c r="A490" s="197" t="s">
        <v>504</v>
      </c>
    </row>
    <row r="491" spans="1:12" ht="12.6" customHeight="1" x14ac:dyDescent="0.2">
      <c r="A491" s="197"/>
    </row>
    <row r="493" spans="1:12" ht="12.6" customHeight="1" x14ac:dyDescent="0.2">
      <c r="A493" s="180" t="str">
        <f>C83</f>
        <v>142</v>
      </c>
      <c r="B493" s="256" t="s">
        <v>1267</v>
      </c>
      <c r="C493" s="256" t="str">
        <f>RIGHT(C82,4)</f>
        <v>2019</v>
      </c>
      <c r="D493" s="256" t="s">
        <v>1267</v>
      </c>
      <c r="E493" s="256" t="str">
        <f>RIGHT(C82,4)</f>
        <v>2019</v>
      </c>
      <c r="F493" s="256" t="s">
        <v>1267</v>
      </c>
      <c r="G493" s="256" t="str">
        <f>RIGHT(C82,4)</f>
        <v>2019</v>
      </c>
      <c r="H493" s="256"/>
      <c r="K493" s="256"/>
      <c r="L493" s="256"/>
    </row>
    <row r="494" spans="1:12" ht="12.6" customHeight="1" x14ac:dyDescent="0.2">
      <c r="A494" s="196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 x14ac:dyDescent="0.2">
      <c r="A496" s="180" t="s">
        <v>512</v>
      </c>
      <c r="B496" s="235">
        <v>9300283.8499999996</v>
      </c>
      <c r="C496" s="235">
        <f>C71</f>
        <v>9274431.1799999997</v>
      </c>
      <c r="D496" s="235">
        <v>4986</v>
      </c>
      <c r="E496" s="180">
        <f>C59</f>
        <v>4916</v>
      </c>
      <c r="F496" s="258">
        <f t="shared" ref="F496:G511" si="16">IF(B496=0,"",IF(D496=0,"",B496/D496))</f>
        <v>1865.2795527476935</v>
      </c>
      <c r="G496" s="259">
        <f t="shared" si="16"/>
        <v>1886.5807933279089</v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 x14ac:dyDescent="0.2">
      <c r="A497" s="180" t="s">
        <v>513</v>
      </c>
      <c r="B497" s="235">
        <v>0</v>
      </c>
      <c r="C497" s="235">
        <f>D71</f>
        <v>0</v>
      </c>
      <c r="D497" s="235">
        <v>0</v>
      </c>
      <c r="E497" s="180">
        <f>D59</f>
        <v>0</v>
      </c>
      <c r="F497" s="258" t="str">
        <f t="shared" si="16"/>
        <v/>
      </c>
      <c r="G497" s="258" t="str">
        <f t="shared" si="16"/>
        <v/>
      </c>
      <c r="H497" s="260" t="str">
        <f t="shared" ref="H497:H550" si="17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 x14ac:dyDescent="0.2">
      <c r="A498" s="180" t="s">
        <v>514</v>
      </c>
      <c r="B498" s="235">
        <v>48062418.790000007</v>
      </c>
      <c r="C498" s="235">
        <f>E71</f>
        <v>54022814.152500011</v>
      </c>
      <c r="D498" s="235">
        <v>54605</v>
      </c>
      <c r="E498" s="180">
        <f>E59</f>
        <v>56659</v>
      </c>
      <c r="F498" s="258">
        <f t="shared" si="16"/>
        <v>880.18347752037369</v>
      </c>
      <c r="G498" s="258">
        <f t="shared" si="16"/>
        <v>953.47277842002177</v>
      </c>
      <c r="H498" s="260" t="str">
        <f t="shared" si="17"/>
        <v/>
      </c>
      <c r="I498" s="262"/>
      <c r="K498" s="256"/>
      <c r="L498" s="256"/>
    </row>
    <row r="499" spans="1:12" ht="12.6" customHeight="1" x14ac:dyDescent="0.2">
      <c r="A499" s="180" t="s">
        <v>515</v>
      </c>
      <c r="B499" s="235">
        <v>0</v>
      </c>
      <c r="C499" s="235">
        <f>F71</f>
        <v>0</v>
      </c>
      <c r="D499" s="235">
        <v>0</v>
      </c>
      <c r="E499" s="180">
        <f>F59</f>
        <v>0</v>
      </c>
      <c r="F499" s="258" t="str">
        <f t="shared" si="16"/>
        <v/>
      </c>
      <c r="G499" s="258" t="str">
        <f t="shared" si="16"/>
        <v/>
      </c>
      <c r="H499" s="260" t="str">
        <f t="shared" si="17"/>
        <v/>
      </c>
      <c r="I499" s="262"/>
      <c r="K499" s="256"/>
      <c r="L499" s="256"/>
    </row>
    <row r="500" spans="1:12" ht="12.6" customHeight="1" x14ac:dyDescent="0.2">
      <c r="A500" s="180" t="s">
        <v>516</v>
      </c>
      <c r="B500" s="235">
        <v>0</v>
      </c>
      <c r="C500" s="235">
        <f>G71</f>
        <v>119784.64750000001</v>
      </c>
      <c r="D500" s="235">
        <v>0</v>
      </c>
      <c r="E500" s="180">
        <f>G59</f>
        <v>0</v>
      </c>
      <c r="F500" s="258" t="str">
        <f t="shared" si="16"/>
        <v/>
      </c>
      <c r="G500" s="258" t="str">
        <f t="shared" si="16"/>
        <v/>
      </c>
      <c r="H500" s="260" t="str">
        <f t="shared" si="17"/>
        <v/>
      </c>
      <c r="I500" s="262"/>
      <c r="K500" s="256"/>
      <c r="L500" s="256"/>
    </row>
    <row r="501" spans="1:12" ht="12.6" customHeight="1" x14ac:dyDescent="0.2">
      <c r="A501" s="180" t="s">
        <v>517</v>
      </c>
      <c r="B501" s="235">
        <v>758.92000000000007</v>
      </c>
      <c r="C501" s="235">
        <f>H71</f>
        <v>763.63</v>
      </c>
      <c r="D501" s="235">
        <v>0</v>
      </c>
      <c r="E501" s="180">
        <f>H59</f>
        <v>0</v>
      </c>
      <c r="F501" s="258" t="str">
        <f t="shared" si="16"/>
        <v/>
      </c>
      <c r="G501" s="258" t="str">
        <f t="shared" si="16"/>
        <v/>
      </c>
      <c r="H501" s="260" t="str">
        <f t="shared" si="17"/>
        <v/>
      </c>
      <c r="I501" s="262"/>
      <c r="K501" s="256"/>
      <c r="L501" s="256"/>
    </row>
    <row r="502" spans="1:12" ht="12.6" customHeight="1" x14ac:dyDescent="0.2">
      <c r="A502" s="180" t="s">
        <v>518</v>
      </c>
      <c r="B502" s="235">
        <v>0</v>
      </c>
      <c r="C502" s="235">
        <f>I71</f>
        <v>0</v>
      </c>
      <c r="D502" s="235">
        <v>0</v>
      </c>
      <c r="E502" s="180">
        <f>I59</f>
        <v>0</v>
      </c>
      <c r="F502" s="258" t="str">
        <f t="shared" si="16"/>
        <v/>
      </c>
      <c r="G502" s="258" t="str">
        <f t="shared" si="16"/>
        <v/>
      </c>
      <c r="H502" s="260" t="str">
        <f t="shared" si="17"/>
        <v/>
      </c>
      <c r="I502" s="262"/>
      <c r="K502" s="256"/>
      <c r="L502" s="256"/>
    </row>
    <row r="503" spans="1:12" ht="12.6" customHeight="1" x14ac:dyDescent="0.2">
      <c r="A503" s="180" t="s">
        <v>519</v>
      </c>
      <c r="B503" s="235">
        <v>12329251.000000002</v>
      </c>
      <c r="C503" s="235">
        <f>J71</f>
        <v>13564423.77</v>
      </c>
      <c r="D503" s="235">
        <v>3905</v>
      </c>
      <c r="E503" s="180">
        <f>J59</f>
        <v>3964</v>
      </c>
      <c r="F503" s="258">
        <f t="shared" si="16"/>
        <v>3157.2985915492964</v>
      </c>
      <c r="G503" s="258">
        <f t="shared" si="16"/>
        <v>3421.9030701311804</v>
      </c>
      <c r="H503" s="260" t="str">
        <f t="shared" si="17"/>
        <v/>
      </c>
      <c r="I503" s="262"/>
      <c r="K503" s="256"/>
      <c r="L503" s="256"/>
    </row>
    <row r="504" spans="1:12" ht="12.6" customHeight="1" x14ac:dyDescent="0.2">
      <c r="A504" s="180" t="s">
        <v>520</v>
      </c>
      <c r="B504" s="235">
        <v>0</v>
      </c>
      <c r="C504" s="235">
        <f>K71</f>
        <v>0</v>
      </c>
      <c r="D504" s="235">
        <v>0</v>
      </c>
      <c r="E504" s="180">
        <f>K59</f>
        <v>0</v>
      </c>
      <c r="F504" s="258" t="str">
        <f t="shared" si="16"/>
        <v/>
      </c>
      <c r="G504" s="258" t="str">
        <f t="shared" si="16"/>
        <v/>
      </c>
      <c r="H504" s="260" t="str">
        <f t="shared" si="17"/>
        <v/>
      </c>
      <c r="I504" s="262"/>
      <c r="K504" s="256"/>
      <c r="L504" s="256"/>
    </row>
    <row r="505" spans="1:12" ht="12.6" customHeight="1" x14ac:dyDescent="0.2">
      <c r="A505" s="180" t="s">
        <v>521</v>
      </c>
      <c r="B505" s="235">
        <v>0</v>
      </c>
      <c r="C505" s="235">
        <f>L71</f>
        <v>0</v>
      </c>
      <c r="D505" s="235">
        <v>0</v>
      </c>
      <c r="E505" s="180">
        <f>L59</f>
        <v>0</v>
      </c>
      <c r="F505" s="258" t="str">
        <f t="shared" si="16"/>
        <v/>
      </c>
      <c r="G505" s="258" t="str">
        <f t="shared" si="16"/>
        <v/>
      </c>
      <c r="H505" s="260" t="str">
        <f t="shared" si="17"/>
        <v/>
      </c>
      <c r="I505" s="262"/>
      <c r="K505" s="256"/>
      <c r="L505" s="256"/>
    </row>
    <row r="506" spans="1:12" ht="12.6" customHeight="1" x14ac:dyDescent="0.2">
      <c r="A506" s="180" t="s">
        <v>522</v>
      </c>
      <c r="B506" s="235">
        <v>0</v>
      </c>
      <c r="C506" s="235">
        <f>M71</f>
        <v>0</v>
      </c>
      <c r="D506" s="235">
        <v>0</v>
      </c>
      <c r="E506" s="180">
        <f>M59</f>
        <v>0</v>
      </c>
      <c r="F506" s="258" t="str">
        <f t="shared" si="16"/>
        <v/>
      </c>
      <c r="G506" s="258" t="str">
        <f t="shared" si="16"/>
        <v/>
      </c>
      <c r="H506" s="260" t="str">
        <f t="shared" si="17"/>
        <v/>
      </c>
      <c r="I506" s="262"/>
      <c r="K506" s="256"/>
      <c r="L506" s="256"/>
    </row>
    <row r="507" spans="1:12" ht="12.6" customHeight="1" x14ac:dyDescent="0.2">
      <c r="A507" s="180" t="s">
        <v>523</v>
      </c>
      <c r="B507" s="235">
        <v>0</v>
      </c>
      <c r="C507" s="235">
        <f>N71</f>
        <v>0</v>
      </c>
      <c r="D507" s="235">
        <v>0</v>
      </c>
      <c r="E507" s="180">
        <f>N59</f>
        <v>0</v>
      </c>
      <c r="F507" s="258" t="str">
        <f t="shared" si="16"/>
        <v/>
      </c>
      <c r="G507" s="258" t="str">
        <f t="shared" si="16"/>
        <v/>
      </c>
      <c r="H507" s="260" t="str">
        <f t="shared" si="17"/>
        <v/>
      </c>
      <c r="I507" s="262"/>
      <c r="K507" s="256"/>
      <c r="L507" s="256"/>
    </row>
    <row r="508" spans="1:12" ht="12.6" customHeight="1" x14ac:dyDescent="0.2">
      <c r="A508" s="180" t="s">
        <v>524</v>
      </c>
      <c r="B508" s="235">
        <v>0</v>
      </c>
      <c r="C508" s="235">
        <f>O71</f>
        <v>0</v>
      </c>
      <c r="D508" s="235">
        <v>0</v>
      </c>
      <c r="E508" s="180">
        <f>O59</f>
        <v>0</v>
      </c>
      <c r="F508" s="258" t="str">
        <f t="shared" si="16"/>
        <v/>
      </c>
      <c r="G508" s="258" t="str">
        <f t="shared" si="16"/>
        <v/>
      </c>
      <c r="H508" s="260" t="str">
        <f t="shared" si="17"/>
        <v/>
      </c>
      <c r="I508" s="262"/>
      <c r="K508" s="256"/>
      <c r="L508" s="256"/>
    </row>
    <row r="509" spans="1:12" ht="12.6" customHeight="1" x14ac:dyDescent="0.2">
      <c r="A509" s="180" t="s">
        <v>525</v>
      </c>
      <c r="B509" s="235">
        <v>40527366.009999998</v>
      </c>
      <c r="C509" s="235">
        <f>P71</f>
        <v>48223151.385000005</v>
      </c>
      <c r="D509" s="235">
        <v>965224</v>
      </c>
      <c r="E509" s="180">
        <f>P59</f>
        <v>1103372</v>
      </c>
      <c r="F509" s="258">
        <f t="shared" si="16"/>
        <v>41.987524149834648</v>
      </c>
      <c r="G509" s="258">
        <f t="shared" si="16"/>
        <v>43.705252068205468</v>
      </c>
      <c r="H509" s="260" t="str">
        <f t="shared" si="17"/>
        <v/>
      </c>
      <c r="I509" s="262"/>
      <c r="K509" s="256"/>
      <c r="L509" s="256"/>
    </row>
    <row r="510" spans="1:12" ht="12.6" customHeight="1" x14ac:dyDescent="0.2">
      <c r="A510" s="180" t="s">
        <v>526</v>
      </c>
      <c r="B510" s="235">
        <v>6397711.5</v>
      </c>
      <c r="C510" s="235">
        <f>Q71</f>
        <v>6604556.9600000009</v>
      </c>
      <c r="D510" s="235">
        <v>31928</v>
      </c>
      <c r="E510" s="180">
        <f>Q59</f>
        <v>34537</v>
      </c>
      <c r="F510" s="258">
        <f t="shared" si="16"/>
        <v>200.3793378852418</v>
      </c>
      <c r="G510" s="258">
        <f t="shared" si="16"/>
        <v>191.23134493441819</v>
      </c>
      <c r="H510" s="260" t="str">
        <f t="shared" si="17"/>
        <v/>
      </c>
      <c r="I510" s="262"/>
      <c r="K510" s="256"/>
      <c r="L510" s="256"/>
    </row>
    <row r="511" spans="1:12" ht="12.6" customHeight="1" x14ac:dyDescent="0.2">
      <c r="A511" s="180" t="s">
        <v>527</v>
      </c>
      <c r="B511" s="235">
        <v>1241472.2</v>
      </c>
      <c r="C511" s="235">
        <f>R71</f>
        <v>1577080.55</v>
      </c>
      <c r="D511" s="235">
        <v>572370</v>
      </c>
      <c r="E511" s="180">
        <f>R59</f>
        <v>642960</v>
      </c>
      <c r="F511" s="258">
        <f t="shared" si="16"/>
        <v>2.1690029176931005</v>
      </c>
      <c r="G511" s="258">
        <f t="shared" si="16"/>
        <v>2.4528439560781385</v>
      </c>
      <c r="H511" s="260" t="str">
        <f t="shared" si="17"/>
        <v/>
      </c>
      <c r="I511" s="262"/>
      <c r="K511" s="256"/>
      <c r="L511" s="256"/>
    </row>
    <row r="512" spans="1:12" ht="12.6" customHeight="1" x14ac:dyDescent="0.2">
      <c r="A512" s="180" t="s">
        <v>528</v>
      </c>
      <c r="B512" s="235">
        <v>2659349.2025842182</v>
      </c>
      <c r="C512" s="235">
        <f>S71</f>
        <v>3318199.9894524994</v>
      </c>
      <c r="D512" s="181" t="s">
        <v>529</v>
      </c>
      <c r="E512" s="181" t="s">
        <v>529</v>
      </c>
      <c r="F512" s="258" t="str">
        <f t="shared" ref="F512:G527" si="18">IF(B512=0,"",IF(D512=0,"",B512/D512))</f>
        <v/>
      </c>
      <c r="G512" s="258" t="str">
        <f t="shared" si="18"/>
        <v/>
      </c>
      <c r="H512" s="260" t="str">
        <f t="shared" si="17"/>
        <v/>
      </c>
      <c r="I512" s="262"/>
      <c r="K512" s="256"/>
      <c r="L512" s="256"/>
    </row>
    <row r="513" spans="1:12" ht="12.6" customHeight="1" x14ac:dyDescent="0.2">
      <c r="A513" s="180" t="s">
        <v>1246</v>
      </c>
      <c r="B513" s="235">
        <v>0</v>
      </c>
      <c r="C513" s="235">
        <f>T71</f>
        <v>0</v>
      </c>
      <c r="D513" s="181" t="s">
        <v>529</v>
      </c>
      <c r="E513" s="181" t="s">
        <v>529</v>
      </c>
      <c r="F513" s="258" t="str">
        <f t="shared" si="18"/>
        <v/>
      </c>
      <c r="G513" s="258" t="str">
        <f t="shared" si="18"/>
        <v/>
      </c>
      <c r="H513" s="260" t="str">
        <f t="shared" si="17"/>
        <v/>
      </c>
      <c r="I513" s="262"/>
      <c r="K513" s="256"/>
      <c r="L513" s="256"/>
    </row>
    <row r="514" spans="1:12" ht="12.6" customHeight="1" x14ac:dyDescent="0.2">
      <c r="A514" s="180" t="s">
        <v>530</v>
      </c>
      <c r="B514" s="235">
        <v>12635470.559999999</v>
      </c>
      <c r="C514" s="235">
        <f>U71</f>
        <v>14762912.51</v>
      </c>
      <c r="D514" s="235">
        <v>880523</v>
      </c>
      <c r="E514" s="180">
        <f>U59</f>
        <v>1127200</v>
      </c>
      <c r="F514" s="258">
        <f t="shared" si="18"/>
        <v>14.349960830097565</v>
      </c>
      <c r="G514" s="258">
        <f t="shared" si="18"/>
        <v>13.096977031582682</v>
      </c>
      <c r="H514" s="260" t="str">
        <f t="shared" si="17"/>
        <v/>
      </c>
      <c r="I514" s="262"/>
      <c r="K514" s="256"/>
      <c r="L514" s="256"/>
    </row>
    <row r="515" spans="1:12" ht="12.6" customHeight="1" x14ac:dyDescent="0.2">
      <c r="A515" s="180" t="s">
        <v>531</v>
      </c>
      <c r="B515" s="235">
        <v>748332.80999999982</v>
      </c>
      <c r="C515" s="235">
        <f>V71</f>
        <v>1091779.9500000002</v>
      </c>
      <c r="D515" s="235">
        <v>32879</v>
      </c>
      <c r="E515" s="180">
        <f>V59</f>
        <v>37304</v>
      </c>
      <c r="F515" s="258">
        <f t="shared" si="18"/>
        <v>22.760205906505668</v>
      </c>
      <c r="G515" s="258">
        <f t="shared" si="18"/>
        <v>29.267101383229686</v>
      </c>
      <c r="H515" s="260">
        <f t="shared" si="17"/>
        <v>0.28588913050492737</v>
      </c>
      <c r="I515" s="262" t="s">
        <v>1278</v>
      </c>
      <c r="K515" s="256"/>
      <c r="L515" s="256"/>
    </row>
    <row r="516" spans="1:12" ht="12.6" customHeight="1" x14ac:dyDescent="0.2">
      <c r="A516" s="180" t="s">
        <v>532</v>
      </c>
      <c r="B516" s="235">
        <v>738302.89</v>
      </c>
      <c r="C516" s="235">
        <f>W71</f>
        <v>858273.73000000021</v>
      </c>
      <c r="D516" s="235">
        <v>2668</v>
      </c>
      <c r="E516" s="180">
        <f>W59</f>
        <v>3374</v>
      </c>
      <c r="F516" s="258">
        <f t="shared" si="18"/>
        <v>276.72522113943029</v>
      </c>
      <c r="G516" s="258">
        <f t="shared" si="18"/>
        <v>254.37869887374043</v>
      </c>
      <c r="H516" s="260" t="str">
        <f t="shared" si="17"/>
        <v/>
      </c>
      <c r="I516" s="262"/>
      <c r="K516" s="256"/>
      <c r="L516" s="256"/>
    </row>
    <row r="517" spans="1:12" ht="12.6" customHeight="1" x14ac:dyDescent="0.2">
      <c r="A517" s="180" t="s">
        <v>533</v>
      </c>
      <c r="B517" s="235">
        <v>0</v>
      </c>
      <c r="C517" s="235">
        <f>X71</f>
        <v>0</v>
      </c>
      <c r="D517" s="235">
        <v>0</v>
      </c>
      <c r="E517" s="180">
        <f>X59</f>
        <v>0</v>
      </c>
      <c r="F517" s="258" t="str">
        <f t="shared" si="18"/>
        <v/>
      </c>
      <c r="G517" s="258" t="str">
        <f t="shared" si="18"/>
        <v/>
      </c>
      <c r="H517" s="260" t="str">
        <f t="shared" si="17"/>
        <v/>
      </c>
      <c r="I517" s="262"/>
      <c r="K517" s="256"/>
      <c r="L517" s="256"/>
    </row>
    <row r="518" spans="1:12" ht="12.6" customHeight="1" x14ac:dyDescent="0.2">
      <c r="A518" s="180" t="s">
        <v>534</v>
      </c>
      <c r="B518" s="235">
        <v>34979232.449999988</v>
      </c>
      <c r="C518" s="235">
        <f>Y71</f>
        <v>41452895.600000001</v>
      </c>
      <c r="D518" s="235">
        <v>131426</v>
      </c>
      <c r="E518" s="180">
        <f>Y59</f>
        <v>147723</v>
      </c>
      <c r="F518" s="258">
        <f t="shared" si="18"/>
        <v>266.15154117145761</v>
      </c>
      <c r="G518" s="258">
        <f t="shared" si="18"/>
        <v>280.61233254131042</v>
      </c>
      <c r="H518" s="260" t="str">
        <f t="shared" si="17"/>
        <v/>
      </c>
      <c r="I518" s="262"/>
      <c r="K518" s="256"/>
      <c r="L518" s="256"/>
    </row>
    <row r="519" spans="1:12" ht="12.6" customHeight="1" x14ac:dyDescent="0.2">
      <c r="A519" s="180" t="s">
        <v>535</v>
      </c>
      <c r="B519" s="235">
        <v>3399580.13</v>
      </c>
      <c r="C519" s="235">
        <f>Z71</f>
        <v>4491174.66</v>
      </c>
      <c r="D519" s="235">
        <v>13394</v>
      </c>
      <c r="E519" s="180">
        <f>Z59</f>
        <v>16308</v>
      </c>
      <c r="F519" s="258">
        <f t="shared" si="18"/>
        <v>253.81365760788412</v>
      </c>
      <c r="G519" s="258">
        <f t="shared" si="18"/>
        <v>275.39702354672556</v>
      </c>
      <c r="H519" s="260" t="str">
        <f t="shared" si="17"/>
        <v/>
      </c>
      <c r="I519" s="262"/>
      <c r="K519" s="256"/>
      <c r="L519" s="256"/>
    </row>
    <row r="520" spans="1:12" ht="12.6" customHeight="1" x14ac:dyDescent="0.2">
      <c r="A520" s="180" t="s">
        <v>536</v>
      </c>
      <c r="B520" s="235">
        <v>1579905.16</v>
      </c>
      <c r="C520" s="235">
        <f>AA71</f>
        <v>1327121.1099999999</v>
      </c>
      <c r="D520" s="235">
        <v>2790</v>
      </c>
      <c r="E520" s="180">
        <f>AA59</f>
        <v>2899</v>
      </c>
      <c r="F520" s="258">
        <f t="shared" si="18"/>
        <v>566.27425089605731</v>
      </c>
      <c r="G520" s="258">
        <f t="shared" si="18"/>
        <v>457.78582614694716</v>
      </c>
      <c r="H520" s="260" t="str">
        <f t="shared" si="17"/>
        <v/>
      </c>
      <c r="I520" s="262"/>
      <c r="K520" s="256"/>
      <c r="L520" s="256"/>
    </row>
    <row r="521" spans="1:12" ht="12.6" customHeight="1" x14ac:dyDescent="0.2">
      <c r="A521" s="180" t="s">
        <v>537</v>
      </c>
      <c r="B521" s="235">
        <v>19459686.57</v>
      </c>
      <c r="C521" s="235">
        <f>AB71</f>
        <v>19261775.280000001</v>
      </c>
      <c r="D521" s="181" t="s">
        <v>529</v>
      </c>
      <c r="E521" s="181" t="s">
        <v>529</v>
      </c>
      <c r="F521" s="258" t="str">
        <f t="shared" si="18"/>
        <v/>
      </c>
      <c r="G521" s="258" t="str">
        <f t="shared" si="18"/>
        <v/>
      </c>
      <c r="H521" s="260" t="str">
        <f t="shared" si="17"/>
        <v/>
      </c>
      <c r="I521" s="262"/>
      <c r="K521" s="256"/>
      <c r="L521" s="256"/>
    </row>
    <row r="522" spans="1:12" ht="12.6" customHeight="1" x14ac:dyDescent="0.2">
      <c r="A522" s="180" t="s">
        <v>538</v>
      </c>
      <c r="B522" s="235">
        <v>7275689.9799999995</v>
      </c>
      <c r="C522" s="235">
        <f>AC71</f>
        <v>7547227.2500000019</v>
      </c>
      <c r="D522" s="235">
        <v>86711</v>
      </c>
      <c r="E522" s="180">
        <f>AC59</f>
        <v>84461</v>
      </c>
      <c r="F522" s="258">
        <f t="shared" si="18"/>
        <v>83.907347164719582</v>
      </c>
      <c r="G522" s="258">
        <f t="shared" si="18"/>
        <v>89.357540758456594</v>
      </c>
      <c r="H522" s="260" t="str">
        <f t="shared" si="17"/>
        <v/>
      </c>
      <c r="I522" s="262"/>
      <c r="K522" s="256"/>
      <c r="L522" s="256"/>
    </row>
    <row r="523" spans="1:12" ht="12.6" customHeight="1" x14ac:dyDescent="0.2">
      <c r="A523" s="180" t="s">
        <v>539</v>
      </c>
      <c r="B523" s="235">
        <v>20653</v>
      </c>
      <c r="C523" s="235">
        <f>AD71</f>
        <v>41289</v>
      </c>
      <c r="D523" s="235">
        <v>0</v>
      </c>
      <c r="E523" s="180">
        <f>AD59</f>
        <v>0</v>
      </c>
      <c r="F523" s="258" t="str">
        <f t="shared" si="18"/>
        <v/>
      </c>
      <c r="G523" s="258" t="str">
        <f t="shared" si="18"/>
        <v/>
      </c>
      <c r="H523" s="260" t="str">
        <f t="shared" si="17"/>
        <v/>
      </c>
      <c r="I523" s="262"/>
      <c r="K523" s="256"/>
      <c r="L523" s="256"/>
    </row>
    <row r="524" spans="1:12" ht="12.6" customHeight="1" x14ac:dyDescent="0.2">
      <c r="A524" s="180" t="s">
        <v>540</v>
      </c>
      <c r="B524" s="235">
        <v>7115973.5900000017</v>
      </c>
      <c r="C524" s="235">
        <f>AE71</f>
        <v>7820847.46</v>
      </c>
      <c r="D524" s="235">
        <v>76570</v>
      </c>
      <c r="E524" s="180">
        <f>AE59</f>
        <v>94259</v>
      </c>
      <c r="F524" s="258">
        <f t="shared" si="18"/>
        <v>92.934224761656026</v>
      </c>
      <c r="G524" s="258">
        <f t="shared" si="18"/>
        <v>82.971890853923767</v>
      </c>
      <c r="H524" s="260" t="str">
        <f t="shared" si="17"/>
        <v/>
      </c>
      <c r="I524" s="262"/>
      <c r="K524" s="256"/>
      <c r="L524" s="256"/>
    </row>
    <row r="525" spans="1:12" ht="12.6" customHeight="1" x14ac:dyDescent="0.2">
      <c r="A525" s="180" t="s">
        <v>541</v>
      </c>
      <c r="B525" s="235">
        <v>0</v>
      </c>
      <c r="C525" s="235">
        <f>AF71</f>
        <v>0</v>
      </c>
      <c r="D525" s="235">
        <v>0</v>
      </c>
      <c r="E525" s="180">
        <f>AF59</f>
        <v>0</v>
      </c>
      <c r="F525" s="258" t="str">
        <f t="shared" si="18"/>
        <v/>
      </c>
      <c r="G525" s="258" t="str">
        <f t="shared" si="18"/>
        <v/>
      </c>
      <c r="H525" s="260" t="str">
        <f t="shared" si="17"/>
        <v/>
      </c>
      <c r="I525" s="262"/>
      <c r="K525" s="256"/>
      <c r="L525" s="256"/>
    </row>
    <row r="526" spans="1:12" ht="12.6" customHeight="1" x14ac:dyDescent="0.2">
      <c r="A526" s="180" t="s">
        <v>542</v>
      </c>
      <c r="B526" s="235">
        <v>22292096.050000004</v>
      </c>
      <c r="C526" s="235">
        <f>AG71</f>
        <v>23316139.699999999</v>
      </c>
      <c r="D526" s="235">
        <v>71871</v>
      </c>
      <c r="E526" s="180">
        <f>AG59</f>
        <v>78387</v>
      </c>
      <c r="F526" s="258">
        <f t="shared" si="18"/>
        <v>310.16816309777244</v>
      </c>
      <c r="G526" s="258">
        <f t="shared" si="18"/>
        <v>297.44906298238226</v>
      </c>
      <c r="H526" s="260" t="str">
        <f t="shared" si="17"/>
        <v/>
      </c>
      <c r="I526" s="262"/>
      <c r="K526" s="256"/>
      <c r="L526" s="256"/>
    </row>
    <row r="527" spans="1:12" ht="12.6" customHeight="1" x14ac:dyDescent="0.2">
      <c r="A527" s="180" t="s">
        <v>543</v>
      </c>
      <c r="B527" s="235">
        <v>0</v>
      </c>
      <c r="C527" s="235">
        <f>AH71</f>
        <v>0</v>
      </c>
      <c r="D527" s="235">
        <v>0</v>
      </c>
      <c r="E527" s="180">
        <f>AH59</f>
        <v>0</v>
      </c>
      <c r="F527" s="258" t="str">
        <f t="shared" si="18"/>
        <v/>
      </c>
      <c r="G527" s="258" t="str">
        <f t="shared" si="18"/>
        <v/>
      </c>
      <c r="H527" s="260" t="str">
        <f t="shared" si="17"/>
        <v/>
      </c>
      <c r="I527" s="262"/>
      <c r="K527" s="256"/>
      <c r="L527" s="256"/>
    </row>
    <row r="528" spans="1:12" ht="12.6" customHeight="1" x14ac:dyDescent="0.2">
      <c r="A528" s="180" t="s">
        <v>544</v>
      </c>
      <c r="B528" s="235">
        <v>0</v>
      </c>
      <c r="C528" s="235">
        <f>AI71</f>
        <v>0</v>
      </c>
      <c r="D528" s="235">
        <v>0</v>
      </c>
      <c r="E528" s="180">
        <f>AI59</f>
        <v>0</v>
      </c>
      <c r="F528" s="258" t="str">
        <f t="shared" ref="F528:G540" si="19">IF(B528=0,"",IF(D528=0,"",B528/D528))</f>
        <v/>
      </c>
      <c r="G528" s="258" t="str">
        <f t="shared" si="19"/>
        <v/>
      </c>
      <c r="H528" s="260" t="str">
        <f t="shared" si="17"/>
        <v/>
      </c>
      <c r="I528" s="262"/>
      <c r="K528" s="256"/>
      <c r="L528" s="256"/>
    </row>
    <row r="529" spans="1:12" ht="12.6" customHeight="1" x14ac:dyDescent="0.2">
      <c r="A529" s="180" t="s">
        <v>545</v>
      </c>
      <c r="B529" s="235">
        <v>0</v>
      </c>
      <c r="C529" s="235">
        <f>AJ71</f>
        <v>152944654.15999997</v>
      </c>
      <c r="D529" s="235">
        <v>0</v>
      </c>
      <c r="E529" s="180">
        <f>AJ59</f>
        <v>512461</v>
      </c>
      <c r="F529" s="258" t="str">
        <f t="shared" si="19"/>
        <v/>
      </c>
      <c r="G529" s="258">
        <f t="shared" si="19"/>
        <v>298.4513048992996</v>
      </c>
      <c r="H529" s="260" t="str">
        <f t="shared" si="17"/>
        <v/>
      </c>
      <c r="I529" s="262"/>
      <c r="K529" s="256"/>
      <c r="L529" s="256"/>
    </row>
    <row r="530" spans="1:12" ht="12.6" customHeight="1" x14ac:dyDescent="0.2">
      <c r="A530" s="180" t="s">
        <v>546</v>
      </c>
      <c r="B530" s="235">
        <v>1419635.0299999998</v>
      </c>
      <c r="C530" s="235">
        <f>AK71</f>
        <v>1686820.7300000004</v>
      </c>
      <c r="D530" s="235">
        <v>22744</v>
      </c>
      <c r="E530" s="180">
        <f>AK59</f>
        <v>25891</v>
      </c>
      <c r="F530" s="258">
        <f t="shared" si="19"/>
        <v>62.418001670770302</v>
      </c>
      <c r="G530" s="258">
        <f t="shared" si="19"/>
        <v>65.150852805994376</v>
      </c>
      <c r="H530" s="260" t="str">
        <f t="shared" si="17"/>
        <v/>
      </c>
      <c r="I530" s="262"/>
      <c r="K530" s="256"/>
      <c r="L530" s="256"/>
    </row>
    <row r="531" spans="1:12" ht="12.6" customHeight="1" x14ac:dyDescent="0.2">
      <c r="A531" s="180" t="s">
        <v>547</v>
      </c>
      <c r="B531" s="235">
        <v>644566.48</v>
      </c>
      <c r="C531" s="235">
        <f>AL71</f>
        <v>723215.99000000022</v>
      </c>
      <c r="D531" s="235">
        <v>3428</v>
      </c>
      <c r="E531" s="180">
        <f>AL59</f>
        <v>3959</v>
      </c>
      <c r="F531" s="258">
        <f t="shared" si="19"/>
        <v>188.02989498249707</v>
      </c>
      <c r="G531" s="258">
        <f t="shared" si="19"/>
        <v>182.67643091689825</v>
      </c>
      <c r="H531" s="260" t="str">
        <f t="shared" si="17"/>
        <v/>
      </c>
      <c r="I531" s="262"/>
      <c r="K531" s="256"/>
      <c r="L531" s="256"/>
    </row>
    <row r="532" spans="1:12" ht="12.6" customHeight="1" x14ac:dyDescent="0.2">
      <c r="A532" s="180" t="s">
        <v>548</v>
      </c>
      <c r="B532" s="235">
        <v>1941.5</v>
      </c>
      <c r="C532" s="235">
        <f>AM71</f>
        <v>-44.78</v>
      </c>
      <c r="D532" s="235">
        <v>0</v>
      </c>
      <c r="E532" s="180">
        <f>AM59</f>
        <v>0</v>
      </c>
      <c r="F532" s="258" t="str">
        <f t="shared" si="19"/>
        <v/>
      </c>
      <c r="G532" s="258" t="str">
        <f t="shared" si="19"/>
        <v/>
      </c>
      <c r="H532" s="260" t="str">
        <f t="shared" si="17"/>
        <v/>
      </c>
      <c r="I532" s="262"/>
      <c r="K532" s="256"/>
      <c r="L532" s="256"/>
    </row>
    <row r="533" spans="1:12" ht="12.6" customHeight="1" x14ac:dyDescent="0.2">
      <c r="A533" s="180" t="s">
        <v>1247</v>
      </c>
      <c r="B533" s="235">
        <v>0</v>
      </c>
      <c r="C533" s="235">
        <f>AN71</f>
        <v>0</v>
      </c>
      <c r="D533" s="235">
        <v>0</v>
      </c>
      <c r="E533" s="180">
        <f>AN59</f>
        <v>0</v>
      </c>
      <c r="F533" s="258" t="str">
        <f t="shared" si="19"/>
        <v/>
      </c>
      <c r="G533" s="258" t="str">
        <f t="shared" si="19"/>
        <v/>
      </c>
      <c r="H533" s="260" t="str">
        <f t="shared" si="17"/>
        <v/>
      </c>
      <c r="I533" s="262"/>
      <c r="K533" s="256"/>
      <c r="L533" s="256"/>
    </row>
    <row r="534" spans="1:12" ht="12.6" customHeight="1" x14ac:dyDescent="0.2">
      <c r="A534" s="180" t="s">
        <v>549</v>
      </c>
      <c r="B534" s="235">
        <v>0</v>
      </c>
      <c r="C534" s="235">
        <f>AO71</f>
        <v>0</v>
      </c>
      <c r="D534" s="235">
        <v>0</v>
      </c>
      <c r="E534" s="180">
        <f>AO59</f>
        <v>0</v>
      </c>
      <c r="F534" s="258" t="str">
        <f t="shared" si="19"/>
        <v/>
      </c>
      <c r="G534" s="258" t="str">
        <f t="shared" si="19"/>
        <v/>
      </c>
      <c r="H534" s="260" t="str">
        <f t="shared" si="17"/>
        <v/>
      </c>
      <c r="I534" s="262"/>
      <c r="K534" s="256"/>
      <c r="L534" s="256"/>
    </row>
    <row r="535" spans="1:12" ht="12.6" customHeight="1" x14ac:dyDescent="0.2">
      <c r="A535" s="180" t="s">
        <v>550</v>
      </c>
      <c r="B535" s="235">
        <v>50316696.040000007</v>
      </c>
      <c r="C535" s="235">
        <f>AP71</f>
        <v>54707514.900000013</v>
      </c>
      <c r="D535" s="235">
        <v>93275</v>
      </c>
      <c r="E535" s="180">
        <f>AP59</f>
        <v>473447</v>
      </c>
      <c r="F535" s="258">
        <f t="shared" si="19"/>
        <v>539.4446104529618</v>
      </c>
      <c r="G535" s="258">
        <f t="shared" si="19"/>
        <v>115.55150819415904</v>
      </c>
      <c r="H535" s="260">
        <f t="shared" si="17"/>
        <v>-0.78579541633174799</v>
      </c>
      <c r="I535" s="262" t="s">
        <v>1279</v>
      </c>
      <c r="K535" s="256"/>
      <c r="L535" s="256"/>
    </row>
    <row r="536" spans="1:12" ht="12.6" customHeight="1" x14ac:dyDescent="0.2">
      <c r="A536" s="180" t="s">
        <v>551</v>
      </c>
      <c r="B536" s="235">
        <v>0</v>
      </c>
      <c r="C536" s="235">
        <f>AQ71</f>
        <v>0</v>
      </c>
      <c r="D536" s="235">
        <v>0</v>
      </c>
      <c r="E536" s="180">
        <f>AQ59</f>
        <v>0</v>
      </c>
      <c r="F536" s="258" t="str">
        <f t="shared" si="19"/>
        <v/>
      </c>
      <c r="G536" s="258" t="str">
        <f t="shared" si="19"/>
        <v/>
      </c>
      <c r="H536" s="260" t="str">
        <f t="shared" si="17"/>
        <v/>
      </c>
      <c r="I536" s="262"/>
      <c r="K536" s="256"/>
      <c r="L536" s="256"/>
    </row>
    <row r="537" spans="1:12" ht="12.6" customHeight="1" x14ac:dyDescent="0.2">
      <c r="A537" s="180" t="s">
        <v>552</v>
      </c>
      <c r="B537" s="235">
        <v>5644.6</v>
      </c>
      <c r="C537" s="235">
        <f>AR71</f>
        <v>0</v>
      </c>
      <c r="D537" s="235">
        <v>0</v>
      </c>
      <c r="E537" s="180">
        <f>AR59</f>
        <v>0</v>
      </c>
      <c r="F537" s="258" t="str">
        <f t="shared" si="19"/>
        <v/>
      </c>
      <c r="G537" s="258" t="str">
        <f t="shared" si="19"/>
        <v/>
      </c>
      <c r="H537" s="260" t="str">
        <f t="shared" si="17"/>
        <v/>
      </c>
      <c r="I537" s="262"/>
      <c r="K537" s="256"/>
      <c r="L537" s="256"/>
    </row>
    <row r="538" spans="1:12" ht="12.6" customHeight="1" x14ac:dyDescent="0.2">
      <c r="A538" s="180" t="s">
        <v>553</v>
      </c>
      <c r="B538" s="235">
        <v>0</v>
      </c>
      <c r="C538" s="235">
        <f>AS71</f>
        <v>0</v>
      </c>
      <c r="D538" s="235">
        <v>0</v>
      </c>
      <c r="E538" s="180">
        <f>AS59</f>
        <v>0</v>
      </c>
      <c r="F538" s="258" t="str">
        <f t="shared" si="19"/>
        <v/>
      </c>
      <c r="G538" s="258" t="str">
        <f t="shared" si="19"/>
        <v/>
      </c>
      <c r="H538" s="260" t="str">
        <f t="shared" si="17"/>
        <v/>
      </c>
      <c r="I538" s="262"/>
      <c r="K538" s="256"/>
      <c r="L538" s="256"/>
    </row>
    <row r="539" spans="1:12" ht="12.6" customHeight="1" x14ac:dyDescent="0.2">
      <c r="A539" s="180" t="s">
        <v>554</v>
      </c>
      <c r="B539" s="235">
        <v>0</v>
      </c>
      <c r="C539" s="235">
        <f>AT71</f>
        <v>0</v>
      </c>
      <c r="D539" s="235">
        <v>0</v>
      </c>
      <c r="E539" s="180">
        <f>AT59</f>
        <v>0</v>
      </c>
      <c r="F539" s="258" t="str">
        <f t="shared" si="19"/>
        <v/>
      </c>
      <c r="G539" s="258" t="str">
        <f t="shared" si="19"/>
        <v/>
      </c>
      <c r="H539" s="260" t="str">
        <f t="shared" si="17"/>
        <v/>
      </c>
      <c r="I539" s="262"/>
      <c r="K539" s="256"/>
      <c r="L539" s="256"/>
    </row>
    <row r="540" spans="1:12" ht="12.6" customHeight="1" x14ac:dyDescent="0.2">
      <c r="A540" s="180" t="s">
        <v>555</v>
      </c>
      <c r="B540" s="235">
        <v>0</v>
      </c>
      <c r="C540" s="235">
        <f>AU71</f>
        <v>0</v>
      </c>
      <c r="D540" s="235">
        <v>0</v>
      </c>
      <c r="E540" s="180">
        <f>AU59</f>
        <v>0</v>
      </c>
      <c r="F540" s="258" t="str">
        <f t="shared" si="19"/>
        <v/>
      </c>
      <c r="G540" s="258" t="str">
        <f t="shared" si="19"/>
        <v/>
      </c>
      <c r="H540" s="260" t="str">
        <f t="shared" si="17"/>
        <v/>
      </c>
      <c r="I540" s="262"/>
      <c r="K540" s="256"/>
      <c r="L540" s="256"/>
    </row>
    <row r="541" spans="1:12" ht="12.6" customHeight="1" x14ac:dyDescent="0.2">
      <c r="A541" s="180" t="s">
        <v>556</v>
      </c>
      <c r="B541" s="235">
        <v>4486032.9327999996</v>
      </c>
      <c r="C541" s="235">
        <f>AV71</f>
        <v>3364723.4149999996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 x14ac:dyDescent="0.2">
      <c r="A542" s="180" t="s">
        <v>1248</v>
      </c>
      <c r="B542" s="235">
        <v>908821.87000000023</v>
      </c>
      <c r="C542" s="235">
        <f>AW71</f>
        <v>1031834.75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 x14ac:dyDescent="0.2">
      <c r="A543" s="180" t="s">
        <v>557</v>
      </c>
      <c r="B543" s="235">
        <v>1482.5688</v>
      </c>
      <c r="C543" s="235">
        <f>AX71</f>
        <v>194884.55999999997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 x14ac:dyDescent="0.2">
      <c r="A544" s="180" t="s">
        <v>558</v>
      </c>
      <c r="B544" s="235">
        <v>5769313.4400000004</v>
      </c>
      <c r="C544" s="235">
        <f>AY71</f>
        <v>6868580.4799999986</v>
      </c>
      <c r="D544" s="235">
        <v>224753</v>
      </c>
      <c r="E544" s="180">
        <f>AY59</f>
        <v>226987</v>
      </c>
      <c r="F544" s="258">
        <f t="shared" ref="F544:G550" si="20">IF(B544=0,"",IF(D544=0,"",B544/D544))</f>
        <v>25.669572552980384</v>
      </c>
      <c r="G544" s="258">
        <f t="shared" si="20"/>
        <v>30.259796728446997</v>
      </c>
      <c r="H544" s="260" t="str">
        <f t="shared" si="17"/>
        <v/>
      </c>
      <c r="I544" s="262"/>
      <c r="K544" s="256"/>
      <c r="L544" s="256"/>
    </row>
    <row r="545" spans="1:13" ht="12.6" customHeight="1" x14ac:dyDescent="0.2">
      <c r="A545" s="180" t="s">
        <v>559</v>
      </c>
      <c r="B545" s="235">
        <v>383313</v>
      </c>
      <c r="C545" s="235">
        <f>AZ71</f>
        <v>0</v>
      </c>
      <c r="D545" s="235">
        <v>870044</v>
      </c>
      <c r="E545" s="180">
        <f>AZ59</f>
        <v>583327</v>
      </c>
      <c r="F545" s="258">
        <f t="shared" si="20"/>
        <v>0.44056737360409359</v>
      </c>
      <c r="G545" s="258" t="str">
        <f t="shared" si="20"/>
        <v/>
      </c>
      <c r="H545" s="260" t="str">
        <f t="shared" si="17"/>
        <v/>
      </c>
      <c r="I545" s="262" t="s">
        <v>1280</v>
      </c>
      <c r="K545" s="256"/>
      <c r="L545" s="256"/>
    </row>
    <row r="546" spans="1:13" ht="12.6" customHeight="1" x14ac:dyDescent="0.2">
      <c r="A546" s="180" t="s">
        <v>560</v>
      </c>
      <c r="B546" s="235">
        <v>237003.48</v>
      </c>
      <c r="C546" s="235">
        <f>BA71</f>
        <v>345015.93</v>
      </c>
      <c r="D546" s="235">
        <v>0</v>
      </c>
      <c r="E546" s="180">
        <f>BA59</f>
        <v>0</v>
      </c>
      <c r="F546" s="258" t="str">
        <f t="shared" si="20"/>
        <v/>
      </c>
      <c r="G546" s="258" t="str">
        <f t="shared" si="20"/>
        <v/>
      </c>
      <c r="H546" s="260" t="str">
        <f t="shared" si="17"/>
        <v/>
      </c>
      <c r="I546" s="262"/>
      <c r="K546" s="256"/>
      <c r="L546" s="256"/>
    </row>
    <row r="547" spans="1:13" ht="12.6" customHeight="1" x14ac:dyDescent="0.2">
      <c r="A547" s="180" t="s">
        <v>561</v>
      </c>
      <c r="B547" s="235">
        <v>41793.86</v>
      </c>
      <c r="C547" s="235">
        <f>BB71</f>
        <v>72600.42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 x14ac:dyDescent="0.2">
      <c r="A548" s="180" t="s">
        <v>562</v>
      </c>
      <c r="B548" s="235">
        <v>1385217.3199999998</v>
      </c>
      <c r="C548" s="235">
        <f>BC71</f>
        <v>1211450.4000000001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 x14ac:dyDescent="0.2">
      <c r="A549" s="180" t="s">
        <v>563</v>
      </c>
      <c r="B549" s="235">
        <v>1341558</v>
      </c>
      <c r="C549" s="235">
        <f>BD71</f>
        <v>2681965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 x14ac:dyDescent="0.2">
      <c r="A550" s="180" t="s">
        <v>564</v>
      </c>
      <c r="B550" s="235">
        <v>19317679.104400001</v>
      </c>
      <c r="C550" s="235">
        <f>BE71</f>
        <v>22006860.059999999</v>
      </c>
      <c r="D550" s="235">
        <v>660133</v>
      </c>
      <c r="E550" s="180">
        <f>BE59</f>
        <v>577281</v>
      </c>
      <c r="F550" s="258">
        <f t="shared" si="20"/>
        <v>29.263313763135613</v>
      </c>
      <c r="G550" s="258">
        <f t="shared" si="20"/>
        <v>38.121573479813122</v>
      </c>
      <c r="H550" s="260">
        <f t="shared" si="17"/>
        <v>0.30270870169996544</v>
      </c>
      <c r="I550" s="262" t="s">
        <v>1281</v>
      </c>
      <c r="K550" s="256"/>
      <c r="L550" s="256"/>
    </row>
    <row r="551" spans="1:13" ht="12.6" customHeight="1" x14ac:dyDescent="0.2">
      <c r="A551" s="180" t="s">
        <v>565</v>
      </c>
      <c r="B551" s="235">
        <v>5352936.71</v>
      </c>
      <c r="C551" s="235">
        <f>BF71</f>
        <v>5080919.4400000004</v>
      </c>
      <c r="D551" s="181" t="s">
        <v>529</v>
      </c>
      <c r="E551" s="181" t="s">
        <v>529</v>
      </c>
      <c r="F551" s="258"/>
      <c r="G551" s="258"/>
      <c r="H551" s="260"/>
      <c r="I551" s="262"/>
      <c r="J551" s="197"/>
      <c r="M551" s="260"/>
    </row>
    <row r="552" spans="1:13" ht="12.6" customHeight="1" x14ac:dyDescent="0.2">
      <c r="A552" s="180" t="s">
        <v>566</v>
      </c>
      <c r="B552" s="235">
        <v>507906.43079999997</v>
      </c>
      <c r="C552" s="235">
        <f>BG71</f>
        <v>1217897.7925</v>
      </c>
      <c r="D552" s="181" t="s">
        <v>529</v>
      </c>
      <c r="E552" s="181" t="s">
        <v>529</v>
      </c>
      <c r="F552" s="258"/>
      <c r="G552" s="258"/>
      <c r="H552" s="260"/>
      <c r="J552" s="197"/>
      <c r="M552" s="260"/>
    </row>
    <row r="553" spans="1:13" ht="12.6" customHeight="1" x14ac:dyDescent="0.2">
      <c r="A553" s="180" t="s">
        <v>567</v>
      </c>
      <c r="B553" s="235">
        <v>485815.51072945457</v>
      </c>
      <c r="C553" s="235">
        <f>BH71</f>
        <v>3654921.05</v>
      </c>
      <c r="D553" s="181" t="s">
        <v>529</v>
      </c>
      <c r="E553" s="181" t="s">
        <v>529</v>
      </c>
      <c r="F553" s="258"/>
      <c r="G553" s="258"/>
      <c r="H553" s="260"/>
      <c r="J553" s="197"/>
      <c r="M553" s="260"/>
    </row>
    <row r="554" spans="1:13" ht="12.6" customHeight="1" x14ac:dyDescent="0.2">
      <c r="A554" s="180" t="s">
        <v>568</v>
      </c>
      <c r="B554" s="235">
        <v>0</v>
      </c>
      <c r="C554" s="235">
        <f>BI71</f>
        <v>0</v>
      </c>
      <c r="D554" s="181" t="s">
        <v>529</v>
      </c>
      <c r="E554" s="181" t="s">
        <v>529</v>
      </c>
      <c r="F554" s="258"/>
      <c r="G554" s="258"/>
      <c r="H554" s="260"/>
      <c r="J554" s="197"/>
      <c r="M554" s="260"/>
    </row>
    <row r="555" spans="1:13" ht="12.6" customHeight="1" x14ac:dyDescent="0.2">
      <c r="A555" s="180" t="s">
        <v>569</v>
      </c>
      <c r="B555" s="235">
        <v>1257081.4216116858</v>
      </c>
      <c r="C555" s="235">
        <f>BJ71</f>
        <v>872642.5924999998</v>
      </c>
      <c r="D555" s="181" t="s">
        <v>529</v>
      </c>
      <c r="E555" s="181" t="s">
        <v>529</v>
      </c>
      <c r="F555" s="258"/>
      <c r="G555" s="258"/>
      <c r="H555" s="260"/>
      <c r="J555" s="197"/>
      <c r="M555" s="260"/>
    </row>
    <row r="556" spans="1:13" ht="12.6" customHeight="1" x14ac:dyDescent="0.2">
      <c r="A556" s="180" t="s">
        <v>570</v>
      </c>
      <c r="B556" s="235">
        <v>7602429.3120112997</v>
      </c>
      <c r="C556" s="235">
        <f>BK71</f>
        <v>6972175.2336347504</v>
      </c>
      <c r="D556" s="181" t="s">
        <v>529</v>
      </c>
      <c r="E556" s="181" t="s">
        <v>529</v>
      </c>
      <c r="F556" s="258"/>
      <c r="G556" s="258"/>
      <c r="H556" s="260"/>
      <c r="J556" s="197"/>
      <c r="M556" s="260"/>
    </row>
    <row r="557" spans="1:13" ht="12.6" customHeight="1" x14ac:dyDescent="0.2">
      <c r="A557" s="180" t="s">
        <v>571</v>
      </c>
      <c r="B557" s="235">
        <v>2833893.3419999997</v>
      </c>
      <c r="C557" s="235">
        <f>BL71</f>
        <v>2743584.3950000005</v>
      </c>
      <c r="D557" s="181" t="s">
        <v>529</v>
      </c>
      <c r="E557" s="181" t="s">
        <v>529</v>
      </c>
      <c r="F557" s="258"/>
      <c r="G557" s="258"/>
      <c r="H557" s="260"/>
      <c r="J557" s="197"/>
      <c r="M557" s="260"/>
    </row>
    <row r="558" spans="1:13" ht="12.6" customHeight="1" x14ac:dyDescent="0.2">
      <c r="A558" s="180" t="s">
        <v>572</v>
      </c>
      <c r="B558" s="235"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7"/>
      <c r="M558" s="260"/>
    </row>
    <row r="559" spans="1:13" ht="12.6" customHeight="1" x14ac:dyDescent="0.2">
      <c r="A559" s="180" t="s">
        <v>573</v>
      </c>
      <c r="B559" s="235">
        <v>14144988.496499531</v>
      </c>
      <c r="C559" s="235">
        <f>BN71</f>
        <v>14158339.697136246</v>
      </c>
      <c r="D559" s="181" t="s">
        <v>529</v>
      </c>
      <c r="E559" s="181" t="s">
        <v>529</v>
      </c>
      <c r="F559" s="258"/>
      <c r="G559" s="258"/>
      <c r="H559" s="260"/>
      <c r="J559" s="197"/>
      <c r="M559" s="260"/>
    </row>
    <row r="560" spans="1:13" ht="12.6" customHeight="1" x14ac:dyDescent="0.2">
      <c r="A560" s="180" t="s">
        <v>574</v>
      </c>
      <c r="B560" s="235">
        <v>692286.80639999988</v>
      </c>
      <c r="C560" s="235">
        <f>BO71</f>
        <v>636076.26500000001</v>
      </c>
      <c r="D560" s="181" t="s">
        <v>529</v>
      </c>
      <c r="E560" s="181" t="s">
        <v>529</v>
      </c>
      <c r="F560" s="258"/>
      <c r="G560" s="258"/>
      <c r="H560" s="260"/>
      <c r="J560" s="197"/>
      <c r="M560" s="260"/>
    </row>
    <row r="561" spans="1:13" ht="12.6" customHeight="1" x14ac:dyDescent="0.2">
      <c r="A561" s="180" t="s">
        <v>575</v>
      </c>
      <c r="B561" s="235">
        <v>907529.93759999983</v>
      </c>
      <c r="C561" s="235">
        <f>BP71</f>
        <v>3352083.0449999999</v>
      </c>
      <c r="D561" s="181" t="s">
        <v>529</v>
      </c>
      <c r="E561" s="181" t="s">
        <v>529</v>
      </c>
      <c r="F561" s="258"/>
      <c r="G561" s="258"/>
      <c r="H561" s="260"/>
      <c r="J561" s="197"/>
      <c r="M561" s="260"/>
    </row>
    <row r="562" spans="1:13" ht="12.6" customHeight="1" x14ac:dyDescent="0.2">
      <c r="A562" s="180" t="s">
        <v>576</v>
      </c>
      <c r="B562" s="235"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7"/>
      <c r="M562" s="260"/>
    </row>
    <row r="563" spans="1:13" ht="12.6" customHeight="1" x14ac:dyDescent="0.2">
      <c r="A563" s="180" t="s">
        <v>577</v>
      </c>
      <c r="B563" s="235">
        <v>2811904.3319999995</v>
      </c>
      <c r="C563" s="235">
        <f>BR71</f>
        <v>2183792.2274999996</v>
      </c>
      <c r="D563" s="181" t="s">
        <v>529</v>
      </c>
      <c r="E563" s="181" t="s">
        <v>529</v>
      </c>
      <c r="F563" s="258"/>
      <c r="G563" s="258"/>
      <c r="H563" s="260"/>
      <c r="J563" s="197"/>
      <c r="M563" s="260"/>
    </row>
    <row r="564" spans="1:13" ht="12.6" customHeight="1" x14ac:dyDescent="0.2">
      <c r="A564" s="180" t="s">
        <v>1249</v>
      </c>
      <c r="B564" s="235">
        <v>108426.83040000001</v>
      </c>
      <c r="C564" s="235">
        <f>BS71</f>
        <v>392448.29749999999</v>
      </c>
      <c r="D564" s="181" t="s">
        <v>529</v>
      </c>
      <c r="E564" s="181" t="s">
        <v>529</v>
      </c>
      <c r="F564" s="258"/>
      <c r="G564" s="258"/>
      <c r="H564" s="260"/>
      <c r="J564" s="197"/>
      <c r="M564" s="260"/>
    </row>
    <row r="565" spans="1:13" ht="12.6" customHeight="1" x14ac:dyDescent="0.2">
      <c r="A565" s="180" t="s">
        <v>578</v>
      </c>
      <c r="B565" s="235">
        <v>50488.643199999999</v>
      </c>
      <c r="C565" s="235">
        <f>BT71</f>
        <v>301032.58249999996</v>
      </c>
      <c r="D565" s="181" t="s">
        <v>529</v>
      </c>
      <c r="E565" s="181" t="s">
        <v>529</v>
      </c>
      <c r="F565" s="258"/>
      <c r="G565" s="258"/>
      <c r="H565" s="260"/>
      <c r="J565" s="197"/>
      <c r="M565" s="260"/>
    </row>
    <row r="566" spans="1:13" ht="12.6" customHeight="1" x14ac:dyDescent="0.2">
      <c r="A566" s="180" t="s">
        <v>579</v>
      </c>
      <c r="B566" s="235">
        <v>149819.24040000001</v>
      </c>
      <c r="C566" s="235">
        <f>BU71</f>
        <v>241846.52750000003</v>
      </c>
      <c r="D566" s="181" t="s">
        <v>529</v>
      </c>
      <c r="E566" s="181" t="s">
        <v>529</v>
      </c>
      <c r="F566" s="258"/>
      <c r="G566" s="258"/>
      <c r="H566" s="260"/>
      <c r="J566" s="197"/>
      <c r="M566" s="260"/>
    </row>
    <row r="567" spans="1:13" ht="12.6" customHeight="1" x14ac:dyDescent="0.2">
      <c r="A567" s="180" t="s">
        <v>580</v>
      </c>
      <c r="B567" s="235">
        <v>4079828.8782781269</v>
      </c>
      <c r="C567" s="235">
        <f>BV71</f>
        <v>4329578.1096307505</v>
      </c>
      <c r="D567" s="181" t="s">
        <v>529</v>
      </c>
      <c r="E567" s="181" t="s">
        <v>529</v>
      </c>
      <c r="F567" s="258"/>
      <c r="G567" s="258"/>
      <c r="H567" s="260"/>
      <c r="J567" s="197"/>
      <c r="M567" s="260"/>
    </row>
    <row r="568" spans="1:13" ht="12.6" customHeight="1" x14ac:dyDescent="0.2">
      <c r="A568" s="180" t="s">
        <v>581</v>
      </c>
      <c r="B568" s="235">
        <v>843887.68584759696</v>
      </c>
      <c r="C568" s="235">
        <f>BW71</f>
        <v>1544673.70456375</v>
      </c>
      <c r="D568" s="181" t="s">
        <v>529</v>
      </c>
      <c r="E568" s="181" t="s">
        <v>529</v>
      </c>
      <c r="F568" s="258"/>
      <c r="G568" s="258"/>
      <c r="H568" s="260"/>
      <c r="J568" s="197"/>
      <c r="M568" s="260"/>
    </row>
    <row r="569" spans="1:13" ht="12.6" customHeight="1" x14ac:dyDescent="0.2">
      <c r="A569" s="180" t="s">
        <v>582</v>
      </c>
      <c r="B569" s="235">
        <v>3517552.1451690397</v>
      </c>
      <c r="C569" s="235">
        <f>BX71</f>
        <v>7600006.6391360005</v>
      </c>
      <c r="D569" s="181" t="s">
        <v>529</v>
      </c>
      <c r="E569" s="181" t="s">
        <v>529</v>
      </c>
      <c r="F569" s="258"/>
      <c r="G569" s="258"/>
      <c r="H569" s="260"/>
      <c r="J569" s="197"/>
      <c r="M569" s="260"/>
    </row>
    <row r="570" spans="1:13" ht="12.6" customHeight="1" x14ac:dyDescent="0.2">
      <c r="A570" s="180" t="s">
        <v>583</v>
      </c>
      <c r="B570" s="235">
        <v>5346781.4248000002</v>
      </c>
      <c r="C570" s="235">
        <f>BY71</f>
        <v>5361509.7275</v>
      </c>
      <c r="D570" s="181" t="s">
        <v>529</v>
      </c>
      <c r="E570" s="181" t="s">
        <v>529</v>
      </c>
      <c r="F570" s="258"/>
      <c r="G570" s="258"/>
      <c r="H570" s="260"/>
      <c r="J570" s="197"/>
      <c r="M570" s="260"/>
    </row>
    <row r="571" spans="1:13" ht="12.6" customHeight="1" x14ac:dyDescent="0.2">
      <c r="A571" s="180" t="s">
        <v>584</v>
      </c>
      <c r="B571" s="235"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7"/>
      <c r="M571" s="260"/>
    </row>
    <row r="572" spans="1:13" ht="12.6" customHeight="1" x14ac:dyDescent="0.2">
      <c r="A572" s="180" t="s">
        <v>585</v>
      </c>
      <c r="B572" s="235">
        <v>2425593.2940000002</v>
      </c>
      <c r="C572" s="235">
        <f>CA71</f>
        <v>2536753.7000000002</v>
      </c>
      <c r="D572" s="181" t="s">
        <v>529</v>
      </c>
      <c r="E572" s="181" t="s">
        <v>529</v>
      </c>
      <c r="F572" s="258"/>
      <c r="G572" s="258"/>
      <c r="H572" s="260"/>
      <c r="J572" s="197"/>
      <c r="M572" s="260"/>
    </row>
    <row r="573" spans="1:13" ht="12.6" customHeight="1" x14ac:dyDescent="0.2">
      <c r="A573" s="180" t="s">
        <v>586</v>
      </c>
      <c r="B573" s="235">
        <v>100497.62880000001</v>
      </c>
      <c r="C573" s="235">
        <f>CB71</f>
        <v>112544.0675</v>
      </c>
      <c r="D573" s="181" t="s">
        <v>529</v>
      </c>
      <c r="E573" s="181" t="s">
        <v>529</v>
      </c>
      <c r="F573" s="258"/>
      <c r="G573" s="258"/>
      <c r="H573" s="260"/>
      <c r="J573" s="197"/>
      <c r="M573" s="260"/>
    </row>
    <row r="574" spans="1:13" ht="12.6" customHeight="1" x14ac:dyDescent="0.2">
      <c r="A574" s="180" t="s">
        <v>587</v>
      </c>
      <c r="B574" s="235">
        <v>35910979.008766063</v>
      </c>
      <c r="C574" s="235">
        <f>CC71</f>
        <v>27983087.472048998</v>
      </c>
      <c r="D574" s="181" t="s">
        <v>529</v>
      </c>
      <c r="E574" s="181" t="s">
        <v>529</v>
      </c>
      <c r="F574" s="258"/>
      <c r="G574" s="258"/>
      <c r="H574" s="260"/>
      <c r="J574" s="197"/>
      <c r="M574" s="260"/>
    </row>
    <row r="575" spans="1:13" ht="12.6" customHeight="1" x14ac:dyDescent="0.2">
      <c r="A575" s="180" t="s">
        <v>588</v>
      </c>
      <c r="B575" s="235">
        <v>10084530.879999999</v>
      </c>
      <c r="C575" s="235">
        <f>CD71</f>
        <v>15439882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 x14ac:dyDescent="0.2">
      <c r="M576" s="260"/>
    </row>
    <row r="577" spans="13:13" ht="12.6" customHeight="1" x14ac:dyDescent="0.2">
      <c r="M577" s="260"/>
    </row>
    <row r="578" spans="13:13" ht="12.6" customHeight="1" x14ac:dyDescent="0.2">
      <c r="M578" s="260"/>
    </row>
    <row r="612" spans="1:14" ht="12.6" customHeight="1" x14ac:dyDescent="0.2">
      <c r="A612" s="194"/>
      <c r="C612" s="181" t="s">
        <v>589</v>
      </c>
      <c r="D612" s="180">
        <f>CE76-(BE76+CD76)</f>
        <v>495932</v>
      </c>
      <c r="E612" s="180">
        <f>SUM(C624:D647)+SUM(C668:D713)</f>
        <v>564525398.44363356</v>
      </c>
      <c r="F612" s="180">
        <f>CE64-(AX64+BD64+BE64+BG64+BJ64+BN64+BP64+BQ64+CB64+CC64+CD64)</f>
        <v>106727370.27999996</v>
      </c>
      <c r="G612" s="180">
        <f>CE77-(AX77+AY77+BD77+BE77+BG77+BJ77+BN77+BP77+BQ77+CB77+CC77+CD77)</f>
        <v>226987</v>
      </c>
      <c r="H612" s="195">
        <f>CE60-(AX60+AY60+AZ60+BD60+BE60+BG60+BJ60+BN60+BO60+BP60+BQ60+BR60+CB60+CC60+CD60)</f>
        <v>1903.2257884615381</v>
      </c>
      <c r="I612" s="180">
        <f>CE78-(AX78+AY78+AZ78+BD78+BE78+BF78+BG78+BJ78+BN78+BO78+BP78+BQ78+BR78+CB78+CC78+CD78)</f>
        <v>115002.92000000003</v>
      </c>
      <c r="J612" s="180">
        <f>CE79-(AX79+AY79+AZ79+BA79+BD79+BE79+BF79+BG79+BJ79+BN79+BO79+BP79+BQ79+BR79+CB79+CC79+CD79)</f>
        <v>1886548</v>
      </c>
      <c r="K612" s="180">
        <f>CE75-(AW75+AX75+AY75+AZ75+BA75+BB75+BC75+BD75+BE75+BF75+BG75+BH75+BI75+BJ75+BK75+BL75+BM75+BN75+BO75+BP75+BQ75+BR75+BS75+BT75+BU75+BV75+BW75+BX75+CB75+CC75+CD75)</f>
        <v>2678575331.7300005</v>
      </c>
      <c r="L612" s="195">
        <f>CE80-(AW80+AX80+AY80+AZ80+BA80+BB80+BC80+BD80+BE80+BF80+BG80+BH80+BI80+BJ80+BK80+BL80+BM80+BN80+BO80+BP80+BQ80+BR80+BS80+BT80+BU80+BV80+BW80+BX80+BY80+BZ80+CA80+CB80+CC80+CD80)</f>
        <v>522.98605288461533</v>
      </c>
    </row>
    <row r="613" spans="1:14" ht="12.6" customHeight="1" x14ac:dyDescent="0.2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 x14ac:dyDescent="0.2">
      <c r="A614" s="194">
        <v>8430</v>
      </c>
      <c r="B614" s="196" t="s">
        <v>140</v>
      </c>
      <c r="C614" s="180">
        <f>BE71</f>
        <v>22006860.059999999</v>
      </c>
      <c r="N614" s="197" t="s">
        <v>600</v>
      </c>
    </row>
    <row r="615" spans="1:14" ht="12.6" customHeight="1" x14ac:dyDescent="0.2">
      <c r="A615" s="194"/>
      <c r="B615" s="196" t="s">
        <v>601</v>
      </c>
      <c r="C615" s="267">
        <f>CD69-CD70</f>
        <v>15439882</v>
      </c>
      <c r="D615" s="261">
        <f>SUM(C614:C615)</f>
        <v>37446742.060000002</v>
      </c>
      <c r="N615" s="197" t="s">
        <v>602</v>
      </c>
    </row>
    <row r="616" spans="1:14" ht="12.6" customHeight="1" x14ac:dyDescent="0.2">
      <c r="A616" s="194">
        <v>8310</v>
      </c>
      <c r="B616" s="198" t="s">
        <v>603</v>
      </c>
      <c r="C616" s="180">
        <f>AX71</f>
        <v>194884.55999999997</v>
      </c>
      <c r="D616" s="180">
        <f>(D615/D612)*AX76</f>
        <v>0</v>
      </c>
      <c r="N616" s="197" t="s">
        <v>604</v>
      </c>
    </row>
    <row r="617" spans="1:14" ht="12.6" customHeight="1" x14ac:dyDescent="0.2">
      <c r="A617" s="194">
        <v>8510</v>
      </c>
      <c r="B617" s="198" t="s">
        <v>145</v>
      </c>
      <c r="C617" s="180">
        <f>BJ71</f>
        <v>872642.5924999998</v>
      </c>
      <c r="D617" s="180">
        <f>(D615/D612)*BJ76</f>
        <v>0</v>
      </c>
      <c r="N617" s="197" t="s">
        <v>605</v>
      </c>
    </row>
    <row r="618" spans="1:14" ht="12.6" customHeight="1" x14ac:dyDescent="0.2">
      <c r="A618" s="194">
        <v>8470</v>
      </c>
      <c r="B618" s="198" t="s">
        <v>606</v>
      </c>
      <c r="C618" s="180">
        <f>BG71</f>
        <v>1217897.7925</v>
      </c>
      <c r="D618" s="180">
        <f>(D615/D612)*BG76</f>
        <v>0</v>
      </c>
      <c r="N618" s="197" t="s">
        <v>607</v>
      </c>
    </row>
    <row r="619" spans="1:14" ht="12.6" customHeight="1" x14ac:dyDescent="0.2">
      <c r="A619" s="194">
        <v>8610</v>
      </c>
      <c r="B619" s="198" t="s">
        <v>608</v>
      </c>
      <c r="C619" s="180">
        <f>BN71</f>
        <v>14158339.697136246</v>
      </c>
      <c r="D619" s="180">
        <f>(D615/D612)*BN76</f>
        <v>815635.42528435355</v>
      </c>
      <c r="N619" s="197" t="s">
        <v>609</v>
      </c>
    </row>
    <row r="620" spans="1:14" ht="12.6" customHeight="1" x14ac:dyDescent="0.2">
      <c r="A620" s="194">
        <v>8790</v>
      </c>
      <c r="B620" s="198" t="s">
        <v>610</v>
      </c>
      <c r="C620" s="180">
        <f>CC71</f>
        <v>27983087.472048998</v>
      </c>
      <c r="D620" s="180">
        <f>(D615/D612)*CC76</f>
        <v>0</v>
      </c>
      <c r="N620" s="197" t="s">
        <v>611</v>
      </c>
    </row>
    <row r="621" spans="1:14" ht="12.6" customHeight="1" x14ac:dyDescent="0.2">
      <c r="A621" s="194">
        <v>8630</v>
      </c>
      <c r="B621" s="198" t="s">
        <v>612</v>
      </c>
      <c r="C621" s="180">
        <f>BP71</f>
        <v>3352083.0449999999</v>
      </c>
      <c r="D621" s="180">
        <f>(D615/D612)*BP76</f>
        <v>0</v>
      </c>
      <c r="N621" s="197" t="s">
        <v>613</v>
      </c>
    </row>
    <row r="622" spans="1:14" ht="12.6" customHeight="1" x14ac:dyDescent="0.2">
      <c r="A622" s="194">
        <v>8770</v>
      </c>
      <c r="B622" s="196" t="s">
        <v>614</v>
      </c>
      <c r="C622" s="180">
        <f>CB71</f>
        <v>112544.0675</v>
      </c>
      <c r="D622" s="180">
        <f>(D615/D612)*CB76</f>
        <v>0</v>
      </c>
      <c r="N622" s="197" t="s">
        <v>615</v>
      </c>
    </row>
    <row r="623" spans="1:14" ht="12.6" customHeight="1" x14ac:dyDescent="0.2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48707114.651969604</v>
      </c>
      <c r="N623" s="197" t="s">
        <v>617</v>
      </c>
    </row>
    <row r="624" spans="1:14" ht="12.6" customHeight="1" x14ac:dyDescent="0.2">
      <c r="A624" s="194">
        <v>8420</v>
      </c>
      <c r="B624" s="198" t="s">
        <v>139</v>
      </c>
      <c r="C624" s="180">
        <f>BD71</f>
        <v>2681965</v>
      </c>
      <c r="D624" s="180">
        <f>(D615/D612)*BD76</f>
        <v>3972768.2156925551</v>
      </c>
      <c r="E624" s="180">
        <f>(E623/E612)*SUM(C624:D624)</f>
        <v>574168.77010073361</v>
      </c>
      <c r="F624" s="180">
        <f>SUM(C624:E624)</f>
        <v>7228901.9857932888</v>
      </c>
      <c r="N624" s="197" t="s">
        <v>618</v>
      </c>
    </row>
    <row r="625" spans="1:14" ht="12.6" customHeight="1" x14ac:dyDescent="0.2">
      <c r="A625" s="194">
        <v>8320</v>
      </c>
      <c r="B625" s="198" t="s">
        <v>135</v>
      </c>
      <c r="C625" s="180">
        <f>AY71</f>
        <v>6868580.4799999986</v>
      </c>
      <c r="D625" s="180">
        <f>(D615/D612)*AY76</f>
        <v>1446125.6864512071</v>
      </c>
      <c r="E625" s="180">
        <f>(E623/E612)*SUM(C625:D625)</f>
        <v>717390.83425351733</v>
      </c>
      <c r="F625" s="180">
        <f>(F624/F612)*AY64</f>
        <v>118019.78145638443</v>
      </c>
      <c r="G625" s="180">
        <f>SUM(C625:F625)</f>
        <v>9150116.7821611073</v>
      </c>
      <c r="N625" s="197" t="s">
        <v>619</v>
      </c>
    </row>
    <row r="626" spans="1:14" ht="12.6" customHeight="1" x14ac:dyDescent="0.2">
      <c r="A626" s="194">
        <v>8650</v>
      </c>
      <c r="B626" s="198" t="s">
        <v>152</v>
      </c>
      <c r="C626" s="180">
        <f>BR71</f>
        <v>2183792.2274999996</v>
      </c>
      <c r="D626" s="180">
        <f>(D615/D612)*BR76</f>
        <v>0</v>
      </c>
      <c r="E626" s="180">
        <f>(E623/E612)*SUM(C626:D626)</f>
        <v>188417.06448313675</v>
      </c>
      <c r="F626" s="180">
        <f>(F624/F612)*BR64</f>
        <v>1116.3621924925569</v>
      </c>
      <c r="G626" s="180">
        <f>(G625/G612)*BR77</f>
        <v>0</v>
      </c>
      <c r="N626" s="197" t="s">
        <v>620</v>
      </c>
    </row>
    <row r="627" spans="1:14" ht="12.6" customHeight="1" x14ac:dyDescent="0.2">
      <c r="A627" s="194">
        <v>8620</v>
      </c>
      <c r="B627" s="196" t="s">
        <v>621</v>
      </c>
      <c r="C627" s="180">
        <f>BO71</f>
        <v>636076.26500000001</v>
      </c>
      <c r="D627" s="180">
        <f>(D615/D612)*BO76</f>
        <v>0</v>
      </c>
      <c r="E627" s="180">
        <f>(E623/E612)*SUM(C627:D627)</f>
        <v>54880.506089125098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 x14ac:dyDescent="0.2">
      <c r="A628" s="194">
        <v>8330</v>
      </c>
      <c r="B628" s="198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3064282.4252647543</v>
      </c>
      <c r="N628" s="197" t="s">
        <v>623</v>
      </c>
    </row>
    <row r="629" spans="1:14" ht="12.6" customHeight="1" x14ac:dyDescent="0.2">
      <c r="A629" s="194">
        <v>8460</v>
      </c>
      <c r="B629" s="198" t="s">
        <v>141</v>
      </c>
      <c r="C629" s="180">
        <f>BF71</f>
        <v>5080919.4400000004</v>
      </c>
      <c r="D629" s="180">
        <f>(D615/D612)*BF76</f>
        <v>819410.81606978388</v>
      </c>
      <c r="E629" s="180">
        <f>(E623/E612)*SUM(C629:D629)</f>
        <v>509079.06545779825</v>
      </c>
      <c r="F629" s="180">
        <f>(F624/F612)*BF64</f>
        <v>12945.835700317066</v>
      </c>
      <c r="G629" s="180">
        <f>(G625/G612)*BF77</f>
        <v>0</v>
      </c>
      <c r="H629" s="180">
        <f>(H628/H612)*BF60</f>
        <v>119973.7996690146</v>
      </c>
      <c r="I629" s="180">
        <f>SUM(C629:H629)</f>
        <v>6542328.9568969142</v>
      </c>
      <c r="N629" s="197" t="s">
        <v>624</v>
      </c>
    </row>
    <row r="630" spans="1:14" ht="12.6" customHeight="1" x14ac:dyDescent="0.2">
      <c r="A630" s="194">
        <v>8350</v>
      </c>
      <c r="B630" s="198" t="s">
        <v>625</v>
      </c>
      <c r="C630" s="180">
        <f>BA71</f>
        <v>345015.93</v>
      </c>
      <c r="D630" s="180">
        <f>(D615/D612)*BA76</f>
        <v>280738.05880459421</v>
      </c>
      <c r="E630" s="180">
        <f>(E623/E612)*SUM(C630:D630)</f>
        <v>53989.902598998633</v>
      </c>
      <c r="F630" s="180">
        <f>(F624/F612)*BA64</f>
        <v>0</v>
      </c>
      <c r="G630" s="180">
        <f>(G625/G612)*BA77</f>
        <v>0</v>
      </c>
      <c r="H630" s="180">
        <f>(H628/H612)*BA60</f>
        <v>4661.6193368624226</v>
      </c>
      <c r="I630" s="180">
        <f>(I629/I612)*BA78</f>
        <v>60431.438222320634</v>
      </c>
      <c r="J630" s="180">
        <f>SUM(C630:I630)</f>
        <v>744836.94896277587</v>
      </c>
      <c r="N630" s="197" t="s">
        <v>626</v>
      </c>
    </row>
    <row r="631" spans="1:14" ht="12.6" customHeight="1" x14ac:dyDescent="0.2">
      <c r="A631" s="194">
        <v>8200</v>
      </c>
      <c r="B631" s="198" t="s">
        <v>627</v>
      </c>
      <c r="C631" s="180">
        <f>AW71</f>
        <v>1031834.75</v>
      </c>
      <c r="D631" s="180">
        <f>(D615/D612)*AW76</f>
        <v>0</v>
      </c>
      <c r="E631" s="180">
        <f>(E623/E612)*SUM(C631:D631)</f>
        <v>89026.452323835518</v>
      </c>
      <c r="F631" s="180">
        <f>(F624/F612)*AW64</f>
        <v>672.12495869905183</v>
      </c>
      <c r="G631" s="180">
        <f>(G625/G612)*AW77</f>
        <v>0</v>
      </c>
      <c r="H631" s="180">
        <f>(H628/H612)*AW60</f>
        <v>21179.978738042093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 x14ac:dyDescent="0.2">
      <c r="A632" s="194">
        <v>8360</v>
      </c>
      <c r="B632" s="198" t="s">
        <v>629</v>
      </c>
      <c r="C632" s="180">
        <f>BB71</f>
        <v>72600.42</v>
      </c>
      <c r="D632" s="180">
        <f>(D615/D612)*BB76</f>
        <v>86380.941170644379</v>
      </c>
      <c r="E632" s="180">
        <f>(E623/E612)*SUM(C632:D632)</f>
        <v>13716.873337166488</v>
      </c>
      <c r="F632" s="180">
        <f>(F624/F612)*BB64</f>
        <v>210.54010009530356</v>
      </c>
      <c r="G632" s="180">
        <f>(G625/G612)*BB77</f>
        <v>0</v>
      </c>
      <c r="H632" s="180">
        <f>(H628/H612)*BB60</f>
        <v>0</v>
      </c>
      <c r="I632" s="180">
        <f>(I629/I612)*BB78</f>
        <v>18594.288683790968</v>
      </c>
      <c r="J632" s="180">
        <f>(J630/J612)*BB79</f>
        <v>0</v>
      </c>
      <c r="N632" s="197" t="s">
        <v>630</v>
      </c>
    </row>
    <row r="633" spans="1:14" ht="12.6" customHeight="1" x14ac:dyDescent="0.2">
      <c r="A633" s="194">
        <v>8370</v>
      </c>
      <c r="B633" s="198" t="s">
        <v>631</v>
      </c>
      <c r="C633" s="180">
        <f>BC71</f>
        <v>1211450.4000000001</v>
      </c>
      <c r="D633" s="180">
        <f>(D615/D612)*BC76</f>
        <v>0</v>
      </c>
      <c r="E633" s="180">
        <f>(E623/E612)*SUM(C633:D633)</f>
        <v>104523.6471036583</v>
      </c>
      <c r="F633" s="180">
        <f>(F624/F612)*BC64</f>
        <v>1043.9691155230255</v>
      </c>
      <c r="G633" s="180">
        <f>(G625/G612)*BC77</f>
        <v>0</v>
      </c>
      <c r="H633" s="180">
        <f>(H628/H612)*BC60</f>
        <v>25394.485006394287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 x14ac:dyDescent="0.2">
      <c r="A634" s="194">
        <v>8490</v>
      </c>
      <c r="B634" s="198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404.83386106930209</v>
      </c>
      <c r="I634" s="180">
        <f>(I629/I612)*BI78</f>
        <v>0</v>
      </c>
      <c r="J634" s="180">
        <f>(J630/J612)*BI79</f>
        <v>0</v>
      </c>
      <c r="N634" s="197" t="s">
        <v>634</v>
      </c>
    </row>
    <row r="635" spans="1:14" ht="12.6" customHeight="1" x14ac:dyDescent="0.2">
      <c r="A635" s="194">
        <v>8530</v>
      </c>
      <c r="B635" s="198" t="s">
        <v>635</v>
      </c>
      <c r="C635" s="180">
        <f>BK71</f>
        <v>6972175.2336347504</v>
      </c>
      <c r="D635" s="180">
        <f>(D615/D612)*BK76</f>
        <v>0</v>
      </c>
      <c r="E635" s="180">
        <f>(E623/E612)*SUM(C635:D635)</f>
        <v>601557.59052562527</v>
      </c>
      <c r="F635" s="180">
        <f>(F624/F612)*BK64</f>
        <v>19.783959592472431</v>
      </c>
      <c r="G635" s="180">
        <f>(G625/G612)*BK77</f>
        <v>0</v>
      </c>
      <c r="H635" s="180">
        <f>(H628/H612)*BK60</f>
        <v>1614.079570631586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 x14ac:dyDescent="0.2">
      <c r="A636" s="194">
        <v>8480</v>
      </c>
      <c r="B636" s="198" t="s">
        <v>637</v>
      </c>
      <c r="C636" s="180">
        <f>BH71</f>
        <v>3654921.05</v>
      </c>
      <c r="D636" s="180">
        <f>(D615/D612)*BH76</f>
        <v>0</v>
      </c>
      <c r="E636" s="180">
        <f>(E623/E612)*SUM(C636:D636)</f>
        <v>315345.70298704115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 x14ac:dyDescent="0.2">
      <c r="A637" s="194">
        <v>8560</v>
      </c>
      <c r="B637" s="198" t="s">
        <v>147</v>
      </c>
      <c r="C637" s="180">
        <f>BL71</f>
        <v>2743584.3950000005</v>
      </c>
      <c r="D637" s="180">
        <f>(D615/D612)*BL76</f>
        <v>0</v>
      </c>
      <c r="E637" s="180">
        <f>(E623/E612)*SUM(C637:D637)</f>
        <v>236715.79711565893</v>
      </c>
      <c r="F637" s="180">
        <f>(F624/F612)*BL64</f>
        <v>1783.9355332498303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 x14ac:dyDescent="0.2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 x14ac:dyDescent="0.2">
      <c r="A639" s="194">
        <v>8660</v>
      </c>
      <c r="B639" s="198" t="s">
        <v>642</v>
      </c>
      <c r="C639" s="180">
        <f>BS71</f>
        <v>392448.29749999999</v>
      </c>
      <c r="D639" s="180">
        <f>(D615/D612)*BS76</f>
        <v>320983.72457728081</v>
      </c>
      <c r="E639" s="180">
        <f>(E623/E612)*SUM(C639:D639)</f>
        <v>61554.742074504284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69094.686359086889</v>
      </c>
      <c r="J639" s="180">
        <f>(J630/J612)*BS79</f>
        <v>0</v>
      </c>
      <c r="N639" s="197" t="s">
        <v>643</v>
      </c>
    </row>
    <row r="640" spans="1:14" ht="12.6" customHeight="1" x14ac:dyDescent="0.2">
      <c r="A640" s="194">
        <v>8670</v>
      </c>
      <c r="B640" s="198" t="s">
        <v>644</v>
      </c>
      <c r="C640" s="180">
        <f>BT71</f>
        <v>301032.58249999996</v>
      </c>
      <c r="D640" s="180">
        <f>(D615/D612)*BT76</f>
        <v>0</v>
      </c>
      <c r="E640" s="180">
        <f>(E623/E612)*SUM(C640:D640)</f>
        <v>25973.018309237337</v>
      </c>
      <c r="F640" s="180">
        <f>(F624/F612)*BT64</f>
        <v>1.2855611389130976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 x14ac:dyDescent="0.2">
      <c r="A641" s="194">
        <v>8680</v>
      </c>
      <c r="B641" s="198" t="s">
        <v>646</v>
      </c>
      <c r="C641" s="180">
        <f>BU71</f>
        <v>241846.52750000003</v>
      </c>
      <c r="D641" s="180">
        <f>(D615/D612)*BU76</f>
        <v>202965.00862473084</v>
      </c>
      <c r="E641" s="180">
        <f>(E623/E612)*SUM(C641:D641)</f>
        <v>38378.231605303459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43690.076907368988</v>
      </c>
      <c r="J641" s="180">
        <f>(J630/J612)*BU79</f>
        <v>0</v>
      </c>
      <c r="N641" s="197" t="s">
        <v>647</v>
      </c>
    </row>
    <row r="642" spans="1:14" ht="12.6" customHeight="1" x14ac:dyDescent="0.2">
      <c r="A642" s="194">
        <v>8690</v>
      </c>
      <c r="B642" s="198" t="s">
        <v>648</v>
      </c>
      <c r="C642" s="180">
        <f>BV71</f>
        <v>4329578.1096307505</v>
      </c>
      <c r="D642" s="180">
        <f>(D615/D612)*BV76</f>
        <v>568951.39136434032</v>
      </c>
      <c r="E642" s="180">
        <f>(E623/E612)*SUM(C642:D642)</f>
        <v>422643.93894200725</v>
      </c>
      <c r="F642" s="180">
        <f>(F624/F612)*BV64</f>
        <v>357.64202512706623</v>
      </c>
      <c r="G642" s="180">
        <f>(G625/G612)*BV77</f>
        <v>0</v>
      </c>
      <c r="H642" s="180">
        <f>(H628/H612)*BV60</f>
        <v>0</v>
      </c>
      <c r="I642" s="180">
        <f>(I629/I612)*BV78</f>
        <v>122471.99758073856</v>
      </c>
      <c r="J642" s="180">
        <f>(J630/J612)*BV79</f>
        <v>0</v>
      </c>
      <c r="N642" s="197" t="s">
        <v>649</v>
      </c>
    </row>
    <row r="643" spans="1:14" ht="12.6" customHeight="1" x14ac:dyDescent="0.2">
      <c r="A643" s="194">
        <v>8700</v>
      </c>
      <c r="B643" s="198" t="s">
        <v>650</v>
      </c>
      <c r="C643" s="180">
        <f>BW71</f>
        <v>1544673.70456375</v>
      </c>
      <c r="D643" s="180">
        <f>(D615/D612)*BW76</f>
        <v>0</v>
      </c>
      <c r="E643" s="180">
        <f>(E623/E612)*SUM(C643:D643)</f>
        <v>133274.07311609449</v>
      </c>
      <c r="F643" s="180">
        <f>(F624/F612)*BW64</f>
        <v>9.9566642476409566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 x14ac:dyDescent="0.2">
      <c r="A644" s="194">
        <v>8710</v>
      </c>
      <c r="B644" s="198" t="s">
        <v>652</v>
      </c>
      <c r="C644" s="180">
        <f>BX71</f>
        <v>7600006.6391360005</v>
      </c>
      <c r="D644" s="180">
        <f>(D615/D612)*BX76</f>
        <v>0</v>
      </c>
      <c r="E644" s="180">
        <f>(E623/E612)*SUM(C644:D644)</f>
        <v>655726.73213406955</v>
      </c>
      <c r="F644" s="180">
        <f>(F624/F612)*BX64</f>
        <v>0.5418592787831813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34280414.181260519</v>
      </c>
      <c r="N644" s="197" t="s">
        <v>653</v>
      </c>
    </row>
    <row r="645" spans="1:14" ht="12.6" customHeight="1" x14ac:dyDescent="0.2">
      <c r="A645" s="194">
        <v>8720</v>
      </c>
      <c r="B645" s="198" t="s">
        <v>654</v>
      </c>
      <c r="C645" s="180">
        <f>BY71</f>
        <v>5361509.7275</v>
      </c>
      <c r="D645" s="180">
        <f>(D615/D612)*BY76</f>
        <v>199114.11002359196</v>
      </c>
      <c r="E645" s="180">
        <f>(E623/E612)*SUM(C645:D645)</f>
        <v>479769.27794114064</v>
      </c>
      <c r="F645" s="180">
        <f>(F624/F612)*BY64</f>
        <v>1394.0095322928621</v>
      </c>
      <c r="G645" s="180">
        <f>(G625/G612)*BY77</f>
        <v>0</v>
      </c>
      <c r="H645" s="180">
        <f>(H628/H612)*BY60</f>
        <v>49494.925929459292</v>
      </c>
      <c r="I645" s="180">
        <f>(I629/I612)*BY78</f>
        <v>42861.135716046134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 x14ac:dyDescent="0.2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 x14ac:dyDescent="0.2">
      <c r="A647" s="194">
        <v>8740</v>
      </c>
      <c r="B647" s="198" t="s">
        <v>658</v>
      </c>
      <c r="C647" s="180">
        <f>CA71</f>
        <v>2536753.7000000002</v>
      </c>
      <c r="D647" s="180">
        <f>(D615/D612)*CA76</f>
        <v>139915.98250804548</v>
      </c>
      <c r="E647" s="180">
        <f>(E623/E612)*SUM(C647:D647)</f>
        <v>230942.4119283233</v>
      </c>
      <c r="F647" s="180">
        <f>(F624/F612)*CA64</f>
        <v>2664.1879636054041</v>
      </c>
      <c r="G647" s="180">
        <f>(G625/G612)*CA77</f>
        <v>0</v>
      </c>
      <c r="H647" s="180">
        <f>(H628/H612)*CA60</f>
        <v>17389.626891318047</v>
      </c>
      <c r="I647" s="180">
        <f>(I629/I612)*CA78</f>
        <v>30118.19661806351</v>
      </c>
      <c r="J647" s="180">
        <f>(J630/J612)*CA79</f>
        <v>0</v>
      </c>
      <c r="K647" s="180">
        <v>0</v>
      </c>
      <c r="L647" s="180">
        <f>SUM(C645:K647)</f>
        <v>9091927.2925518863</v>
      </c>
      <c r="N647" s="197" t="s">
        <v>659</v>
      </c>
    </row>
    <row r="648" spans="1:14" ht="12.6" customHeight="1" x14ac:dyDescent="0.2">
      <c r="A648" s="194"/>
      <c r="B648" s="194"/>
      <c r="C648" s="180">
        <f>SUM(C614:C647)</f>
        <v>141128986.16615051</v>
      </c>
      <c r="L648" s="261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 x14ac:dyDescent="0.2">
      <c r="A668" s="194">
        <v>6010</v>
      </c>
      <c r="B668" s="196" t="s">
        <v>283</v>
      </c>
      <c r="C668" s="180">
        <f>C71</f>
        <v>9274431.1799999997</v>
      </c>
      <c r="D668" s="180">
        <f>(D615/D612)*C76</f>
        <v>664468.77823572594</v>
      </c>
      <c r="E668" s="180">
        <f>(E623/E612)*SUM(C668:D668)</f>
        <v>857525.88123557938</v>
      </c>
      <c r="F668" s="180">
        <f>(F624/F612)*C64</f>
        <v>47992.898972063813</v>
      </c>
      <c r="G668" s="180">
        <f>(G625/G612)*C77</f>
        <v>234046.7869843973</v>
      </c>
      <c r="H668" s="180">
        <f>(H628/H612)*C60</f>
        <v>85432.329660339965</v>
      </c>
      <c r="I668" s="180">
        <f>(I629/I612)*C78</f>
        <v>143032.98987531514</v>
      </c>
      <c r="J668" s="180">
        <f>(J630/J612)*C79</f>
        <v>25687.041483422188</v>
      </c>
      <c r="K668" s="180">
        <f>(K644/K612)*C75</f>
        <v>474703.03304455138</v>
      </c>
      <c r="L668" s="180">
        <f>(L647/L612)*C80</f>
        <v>650740.47390953731</v>
      </c>
      <c r="M668" s="180">
        <f t="shared" ref="M668:M713" si="21">ROUND(SUM(D668:L668),0)</f>
        <v>3183630</v>
      </c>
      <c r="N668" s="196" t="s">
        <v>663</v>
      </c>
    </row>
    <row r="669" spans="1:14" ht="12.6" customHeight="1" x14ac:dyDescent="0.2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6" t="s">
        <v>664</v>
      </c>
    </row>
    <row r="670" spans="1:14" ht="12.6" customHeight="1" x14ac:dyDescent="0.2">
      <c r="A670" s="194">
        <v>6070</v>
      </c>
      <c r="B670" s="196" t="s">
        <v>665</v>
      </c>
      <c r="C670" s="180">
        <f>E71</f>
        <v>54022814.152500011</v>
      </c>
      <c r="D670" s="180">
        <f>(D615/D612)*E76</f>
        <v>6817600.6803299654</v>
      </c>
      <c r="E670" s="180">
        <f>(E623/E612)*SUM(C670:D670)</f>
        <v>5249296.2564764498</v>
      </c>
      <c r="F670" s="180">
        <f>(F624/F612)*E64</f>
        <v>136661.80242108167</v>
      </c>
      <c r="G670" s="180">
        <f>(G625/G612)*E77</f>
        <v>8052039.8828405803</v>
      </c>
      <c r="H670" s="180">
        <f>(H628/H612)*E60</f>
        <v>598525.09699789761</v>
      </c>
      <c r="I670" s="180">
        <f>(I629/I612)*E78</f>
        <v>1467550.983618432</v>
      </c>
      <c r="J670" s="180">
        <f>(J630/J612)*E79</f>
        <v>253054.53041902269</v>
      </c>
      <c r="K670" s="180">
        <f>(K644/K612)*E75</f>
        <v>2720839.8010548842</v>
      </c>
      <c r="L670" s="180">
        <f>(L647/L612)*E80</f>
        <v>3465967.7247576583</v>
      </c>
      <c r="M670" s="180">
        <f t="shared" si="21"/>
        <v>28761537</v>
      </c>
      <c r="N670" s="196" t="s">
        <v>666</v>
      </c>
    </row>
    <row r="671" spans="1:14" ht="12.6" customHeight="1" x14ac:dyDescent="0.2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6" t="s">
        <v>668</v>
      </c>
    </row>
    <row r="672" spans="1:14" ht="12.6" customHeight="1" x14ac:dyDescent="0.2">
      <c r="A672" s="194">
        <v>6120</v>
      </c>
      <c r="B672" s="196" t="s">
        <v>669</v>
      </c>
      <c r="C672" s="180">
        <f>G71</f>
        <v>119784.64750000001</v>
      </c>
      <c r="D672" s="180">
        <f>(D615/D612)*G76</f>
        <v>0</v>
      </c>
      <c r="E672" s="180">
        <f>(E623/E612)*SUM(C672:D672)</f>
        <v>10334.99037494734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10335</v>
      </c>
      <c r="N672" s="196" t="s">
        <v>670</v>
      </c>
    </row>
    <row r="673" spans="1:14" ht="12.6" customHeight="1" x14ac:dyDescent="0.2">
      <c r="A673" s="194">
        <v>6140</v>
      </c>
      <c r="B673" s="196" t="s">
        <v>671</v>
      </c>
      <c r="C673" s="180">
        <f>H71</f>
        <v>763.63</v>
      </c>
      <c r="D673" s="180">
        <f>(D615/D612)*H76</f>
        <v>0</v>
      </c>
      <c r="E673" s="180">
        <f>(E623/E612)*SUM(C673:D673)</f>
        <v>65.885811451931147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66</v>
      </c>
      <c r="N673" s="196" t="s">
        <v>672</v>
      </c>
    </row>
    <row r="674" spans="1:14" ht="12.6" customHeight="1" x14ac:dyDescent="0.2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6" t="s">
        <v>674</v>
      </c>
    </row>
    <row r="675" spans="1:14" ht="12.6" customHeight="1" x14ac:dyDescent="0.2">
      <c r="A675" s="194">
        <v>6170</v>
      </c>
      <c r="B675" s="196" t="s">
        <v>99</v>
      </c>
      <c r="C675" s="180">
        <f>J71</f>
        <v>13564423.77</v>
      </c>
      <c r="D675" s="180">
        <f>(D615/D612)*J76</f>
        <v>1211220.8717817364</v>
      </c>
      <c r="E675" s="180">
        <f>(E623/E612)*SUM(C675:D675)</f>
        <v>1274839.0410921106</v>
      </c>
      <c r="F675" s="180">
        <f>(F624/F612)*J64</f>
        <v>53818.332575563909</v>
      </c>
      <c r="G675" s="180">
        <f>(G625/G612)*J77</f>
        <v>456725.81752208434</v>
      </c>
      <c r="H675" s="180">
        <f>(H628/H612)*J60</f>
        <v>116856.78793522932</v>
      </c>
      <c r="I675" s="180">
        <f>(I629/I612)*J78</f>
        <v>260726.38529431022</v>
      </c>
      <c r="J675" s="180">
        <f>(J630/J612)*J79</f>
        <v>33083.105916937624</v>
      </c>
      <c r="K675" s="180">
        <f>(K644/K612)*J75</f>
        <v>830203.91436497378</v>
      </c>
      <c r="L675" s="180">
        <f>(L647/L612)*J80</f>
        <v>929317.72179809748</v>
      </c>
      <c r="M675" s="180">
        <f t="shared" si="21"/>
        <v>5166792</v>
      </c>
      <c r="N675" s="196" t="s">
        <v>675</v>
      </c>
    </row>
    <row r="676" spans="1:14" ht="12.6" customHeight="1" x14ac:dyDescent="0.2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6" t="s">
        <v>676</v>
      </c>
    </row>
    <row r="677" spans="1:14" ht="12.6" customHeight="1" x14ac:dyDescent="0.2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6" t="s">
        <v>677</v>
      </c>
    </row>
    <row r="678" spans="1:14" ht="12.6" customHeight="1" x14ac:dyDescent="0.2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6" t="s">
        <v>679</v>
      </c>
    </row>
    <row r="679" spans="1:14" ht="12.6" customHeight="1" x14ac:dyDescent="0.2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6" t="s">
        <v>681</v>
      </c>
    </row>
    <row r="680" spans="1:14" ht="12.6" customHeight="1" x14ac:dyDescent="0.2">
      <c r="A680" s="194">
        <v>7010</v>
      </c>
      <c r="B680" s="196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6" t="s">
        <v>683</v>
      </c>
    </row>
    <row r="681" spans="1:14" ht="12.6" customHeight="1" x14ac:dyDescent="0.2">
      <c r="A681" s="194">
        <v>7020</v>
      </c>
      <c r="B681" s="196" t="s">
        <v>684</v>
      </c>
      <c r="C681" s="180">
        <f>P71</f>
        <v>48223151.385000005</v>
      </c>
      <c r="D681" s="180">
        <f>(D615/D612)*P76</f>
        <v>4438953.4698774833</v>
      </c>
      <c r="E681" s="180">
        <f>(E623/E612)*SUM(C681:D681)</f>
        <v>4543673.6523320014</v>
      </c>
      <c r="F681" s="180">
        <f>(F624/F612)*P64</f>
        <v>1478096.6348836247</v>
      </c>
      <c r="G681" s="180">
        <f>(G625/G612)*P77</f>
        <v>0</v>
      </c>
      <c r="H681" s="180">
        <f>(H628/H612)*P60</f>
        <v>159930.60761340515</v>
      </c>
      <c r="I681" s="180">
        <f>(I629/I612)*P78</f>
        <v>955525.38736250286</v>
      </c>
      <c r="J681" s="180">
        <f>(J630/J612)*P79</f>
        <v>147690.32205024755</v>
      </c>
      <c r="K681" s="180">
        <f>(K644/K612)*P75</f>
        <v>5527173.7135777082</v>
      </c>
      <c r="L681" s="180">
        <f>(L647/L612)*P80</f>
        <v>748272.76664064371</v>
      </c>
      <c r="M681" s="180">
        <f t="shared" si="21"/>
        <v>17999317</v>
      </c>
      <c r="N681" s="196" t="s">
        <v>685</v>
      </c>
    </row>
    <row r="682" spans="1:14" ht="12.6" customHeight="1" x14ac:dyDescent="0.2">
      <c r="A682" s="194">
        <v>7030</v>
      </c>
      <c r="B682" s="196" t="s">
        <v>686</v>
      </c>
      <c r="C682" s="180">
        <f>Q71</f>
        <v>6604556.9600000009</v>
      </c>
      <c r="D682" s="180">
        <f>(D615/D612)*Q76</f>
        <v>651405.9261181372</v>
      </c>
      <c r="E682" s="180">
        <f>(E623/E612)*SUM(C682:D682)</f>
        <v>626042.72044968093</v>
      </c>
      <c r="F682" s="180">
        <f>(F624/F612)*Q64</f>
        <v>32628.38903806161</v>
      </c>
      <c r="G682" s="180">
        <f>(G625/G612)*Q77</f>
        <v>0</v>
      </c>
      <c r="H682" s="180">
        <f>(H628/H612)*Q60</f>
        <v>73303.429776611694</v>
      </c>
      <c r="I682" s="180">
        <f>(I629/I612)*Q78</f>
        <v>140221.09132435723</v>
      </c>
      <c r="J682" s="180">
        <f>(J630/J612)*Q79</f>
        <v>0</v>
      </c>
      <c r="K682" s="180">
        <f>(K644/K612)*Q75</f>
        <v>663365.73724505317</v>
      </c>
      <c r="L682" s="180">
        <f>(L647/L612)*Q80</f>
        <v>542463.55068803683</v>
      </c>
      <c r="M682" s="180">
        <f t="shared" si="21"/>
        <v>2729431</v>
      </c>
      <c r="N682" s="196" t="s">
        <v>687</v>
      </c>
    </row>
    <row r="683" spans="1:14" ht="12.6" customHeight="1" x14ac:dyDescent="0.2">
      <c r="A683" s="194">
        <v>7040</v>
      </c>
      <c r="B683" s="196" t="s">
        <v>107</v>
      </c>
      <c r="C683" s="180">
        <f>R71</f>
        <v>1577080.55</v>
      </c>
      <c r="D683" s="180">
        <f>(D615/D612)*R76</f>
        <v>8758.9066221982066</v>
      </c>
      <c r="E683" s="180">
        <f>(E623/E612)*SUM(C683:D683)</f>
        <v>136825.8442335203</v>
      </c>
      <c r="F683" s="180">
        <f>(F624/F612)*R64</f>
        <v>27175.104387229811</v>
      </c>
      <c r="G683" s="180">
        <f>(G625/G612)*R77</f>
        <v>0</v>
      </c>
      <c r="H683" s="180">
        <f>(H628/H612)*R60</f>
        <v>6635.853972270922</v>
      </c>
      <c r="I683" s="180">
        <f>(I629/I612)*R78</f>
        <v>1885.4348665382445</v>
      </c>
      <c r="J683" s="180">
        <f>(J630/J612)*R79</f>
        <v>0</v>
      </c>
      <c r="K683" s="180">
        <f>(K644/K612)*R75</f>
        <v>286613.50121436419</v>
      </c>
      <c r="L683" s="180">
        <f>(L647/L612)*R80</f>
        <v>64336.14439837823</v>
      </c>
      <c r="M683" s="180">
        <f t="shared" si="21"/>
        <v>532231</v>
      </c>
      <c r="N683" s="196" t="s">
        <v>688</v>
      </c>
    </row>
    <row r="684" spans="1:14" ht="12.6" customHeight="1" x14ac:dyDescent="0.2">
      <c r="A684" s="194">
        <v>7050</v>
      </c>
      <c r="B684" s="196" t="s">
        <v>689</v>
      </c>
      <c r="C684" s="180">
        <f>S71</f>
        <v>3318199.9894524994</v>
      </c>
      <c r="D684" s="180">
        <f>(D615/D612)*S76</f>
        <v>635700.30045074737</v>
      </c>
      <c r="E684" s="180">
        <f>(E623/E612)*SUM(C684:D684)</f>
        <v>341141.55939434184</v>
      </c>
      <c r="F684" s="180">
        <f>(F624/F612)*S64</f>
        <v>-58084.007989308295</v>
      </c>
      <c r="G684" s="180">
        <f>(G625/G612)*S77</f>
        <v>0</v>
      </c>
      <c r="H684" s="180">
        <f>(H628/H612)*S60</f>
        <v>59446.299558405008</v>
      </c>
      <c r="I684" s="180">
        <f>(I629/I612)*S78</f>
        <v>136840.31156366796</v>
      </c>
      <c r="J684" s="180">
        <f>(J630/J612)*S79</f>
        <v>0</v>
      </c>
      <c r="K684" s="180">
        <f>(K644/K612)*S75</f>
        <v>0</v>
      </c>
      <c r="L684" s="180">
        <f>(L647/L612)*S80</f>
        <v>41.790013964429093</v>
      </c>
      <c r="M684" s="180">
        <f t="shared" si="21"/>
        <v>1115086</v>
      </c>
      <c r="N684" s="196" t="s">
        <v>690</v>
      </c>
    </row>
    <row r="685" spans="1:14" ht="12.6" customHeight="1" x14ac:dyDescent="0.2">
      <c r="A685" s="194">
        <v>7060</v>
      </c>
      <c r="B685" s="196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6" t="s">
        <v>692</v>
      </c>
    </row>
    <row r="686" spans="1:14" ht="12.6" customHeight="1" x14ac:dyDescent="0.2">
      <c r="A686" s="194">
        <v>7070</v>
      </c>
      <c r="B686" s="196" t="s">
        <v>109</v>
      </c>
      <c r="C686" s="180">
        <f>U71</f>
        <v>14762912.51</v>
      </c>
      <c r="D686" s="180">
        <f>(D615/D612)*U76</f>
        <v>1009841.5272868862</v>
      </c>
      <c r="E686" s="180">
        <f>(E623/E612)*SUM(C686:D686)</f>
        <v>1360869.3982404694</v>
      </c>
      <c r="F686" s="180">
        <f>(F624/F612)*U64</f>
        <v>287728.79017590528</v>
      </c>
      <c r="G686" s="180">
        <f>(G625/G612)*U77</f>
        <v>0</v>
      </c>
      <c r="H686" s="180">
        <f>(H628/H612)*U60</f>
        <v>94240.539160449</v>
      </c>
      <c r="I686" s="180">
        <f>(I629/I612)*U78</f>
        <v>217377.63711278007</v>
      </c>
      <c r="J686" s="180">
        <f>(J630/J612)*U79</f>
        <v>0</v>
      </c>
      <c r="K686" s="180">
        <f>(K644/K612)*U75</f>
        <v>1298829.3757300677</v>
      </c>
      <c r="L686" s="180">
        <f>(L647/L612)*U80</f>
        <v>0</v>
      </c>
      <c r="M686" s="180">
        <f t="shared" si="21"/>
        <v>4268887</v>
      </c>
      <c r="N686" s="196" t="s">
        <v>693</v>
      </c>
    </row>
    <row r="687" spans="1:14" ht="12.6" customHeight="1" x14ac:dyDescent="0.2">
      <c r="A687" s="194">
        <v>7110</v>
      </c>
      <c r="B687" s="196" t="s">
        <v>694</v>
      </c>
      <c r="C687" s="180">
        <f>V71</f>
        <v>1091779.9500000002</v>
      </c>
      <c r="D687" s="180">
        <f>(D615/D612)*V76</f>
        <v>0</v>
      </c>
      <c r="E687" s="180">
        <f>(E623/E612)*SUM(C687:D687)</f>
        <v>94198.5096613528</v>
      </c>
      <c r="F687" s="180">
        <f>(F624/F612)*V64</f>
        <v>760.96752872424406</v>
      </c>
      <c r="G687" s="180">
        <f>(G625/G612)*V77</f>
        <v>0</v>
      </c>
      <c r="H687" s="180">
        <f>(H628/H612)*V60</f>
        <v>8085.5849284049264</v>
      </c>
      <c r="I687" s="180">
        <f>(I629/I612)*V78</f>
        <v>0</v>
      </c>
      <c r="J687" s="180">
        <f>(J630/J612)*V79</f>
        <v>0</v>
      </c>
      <c r="K687" s="180">
        <f>(K644/K612)*V75</f>
        <v>429077.80947557307</v>
      </c>
      <c r="L687" s="180">
        <f>(L647/L612)*V80</f>
        <v>0</v>
      </c>
      <c r="M687" s="180">
        <f t="shared" si="21"/>
        <v>532123</v>
      </c>
      <c r="N687" s="196" t="s">
        <v>695</v>
      </c>
    </row>
    <row r="688" spans="1:14" ht="12.6" customHeight="1" x14ac:dyDescent="0.2">
      <c r="A688" s="194">
        <v>7120</v>
      </c>
      <c r="B688" s="196" t="s">
        <v>696</v>
      </c>
      <c r="C688" s="180">
        <f>W71</f>
        <v>858273.73000000021</v>
      </c>
      <c r="D688" s="180">
        <f>(D615/D612)*W76</f>
        <v>165513.13203326263</v>
      </c>
      <c r="E688" s="180">
        <f>(E623/E612)*SUM(C688:D688)</f>
        <v>88332.082499231052</v>
      </c>
      <c r="F688" s="180">
        <f>(F624/F612)*W64</f>
        <v>5961.3441024526919</v>
      </c>
      <c r="G688" s="180">
        <f>(G625/G612)*W77</f>
        <v>0</v>
      </c>
      <c r="H688" s="180">
        <f>(H628/H612)*W60</f>
        <v>0</v>
      </c>
      <c r="I688" s="180">
        <f>(I629/I612)*W78</f>
        <v>35628.217478033039</v>
      </c>
      <c r="J688" s="180">
        <f>(J630/J612)*W79</f>
        <v>0</v>
      </c>
      <c r="K688" s="180">
        <f>(K644/K612)*W75</f>
        <v>282673.72837359109</v>
      </c>
      <c r="L688" s="180">
        <f>(L647/L612)*W80</f>
        <v>0</v>
      </c>
      <c r="M688" s="180">
        <f t="shared" si="21"/>
        <v>578109</v>
      </c>
      <c r="N688" s="196" t="s">
        <v>697</v>
      </c>
    </row>
    <row r="689" spans="1:14" ht="12.6" customHeight="1" x14ac:dyDescent="0.2">
      <c r="A689" s="194">
        <v>7130</v>
      </c>
      <c r="B689" s="196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1"/>
        <v>0</v>
      </c>
      <c r="N689" s="196" t="s">
        <v>699</v>
      </c>
    </row>
    <row r="690" spans="1:14" ht="12.6" customHeight="1" x14ac:dyDescent="0.2">
      <c r="A690" s="194">
        <v>7140</v>
      </c>
      <c r="B690" s="196" t="s">
        <v>1250</v>
      </c>
      <c r="C690" s="180">
        <f>Y71</f>
        <v>41452895.600000001</v>
      </c>
      <c r="D690" s="180">
        <f>(D615/D612)*Y76</f>
        <v>1742191.8318446483</v>
      </c>
      <c r="E690" s="180">
        <f>(E623/E612)*SUM(C690:D690)</f>
        <v>3726861.6819457039</v>
      </c>
      <c r="F690" s="180">
        <f>(F624/F612)*Y64</f>
        <v>1181793.4343553183</v>
      </c>
      <c r="G690" s="180">
        <f>(G625/G612)*Y77</f>
        <v>0</v>
      </c>
      <c r="H690" s="180">
        <f>(H628/H612)*Y60</f>
        <v>242959.8883699711</v>
      </c>
      <c r="I690" s="180">
        <f>(I629/I612)*Y78</f>
        <v>375022.74720376654</v>
      </c>
      <c r="J690" s="180">
        <f>(J630/J612)*Y79</f>
        <v>40496.937013534698</v>
      </c>
      <c r="K690" s="180">
        <f>(K644/K612)*Y75</f>
        <v>5421280.8672291003</v>
      </c>
      <c r="L690" s="180">
        <f>(L647/L612)*Y80</f>
        <v>335616.27078855346</v>
      </c>
      <c r="M690" s="180">
        <f t="shared" si="21"/>
        <v>13066224</v>
      </c>
      <c r="N690" s="196" t="s">
        <v>700</v>
      </c>
    </row>
    <row r="691" spans="1:14" ht="12.6" customHeight="1" x14ac:dyDescent="0.2">
      <c r="A691" s="194">
        <v>7150</v>
      </c>
      <c r="B691" s="196" t="s">
        <v>701</v>
      </c>
      <c r="C691" s="180">
        <f>Z71</f>
        <v>4491174.66</v>
      </c>
      <c r="D691" s="180">
        <f>(D615/D612)*Z76</f>
        <v>888953.51433740929</v>
      </c>
      <c r="E691" s="180">
        <f>(E623/E612)*SUM(C691:D691)</f>
        <v>464196.15583674965</v>
      </c>
      <c r="F691" s="180">
        <f>(F624/F612)*Z64</f>
        <v>3194.5103810191927</v>
      </c>
      <c r="G691" s="180">
        <f>(G625/G612)*Z77</f>
        <v>0</v>
      </c>
      <c r="H691" s="180">
        <f>(H628/H612)*Z60</f>
        <v>31287.225014413289</v>
      </c>
      <c r="I691" s="180">
        <f>(I629/I612)*Z78</f>
        <v>191355.38520478239</v>
      </c>
      <c r="J691" s="180">
        <f>(J630/J612)*Z79</f>
        <v>10129.761659675736</v>
      </c>
      <c r="K691" s="180">
        <f>(K644/K612)*Z75</f>
        <v>536573.9614399852</v>
      </c>
      <c r="L691" s="180">
        <f>(L647/L612)*Z80</f>
        <v>41730.170664432029</v>
      </c>
      <c r="M691" s="180">
        <f t="shared" si="21"/>
        <v>2167421</v>
      </c>
      <c r="N691" s="196" t="s">
        <v>702</v>
      </c>
    </row>
    <row r="692" spans="1:14" ht="12.6" customHeight="1" x14ac:dyDescent="0.2">
      <c r="A692" s="194">
        <v>7160</v>
      </c>
      <c r="B692" s="196" t="s">
        <v>703</v>
      </c>
      <c r="C692" s="180">
        <f>AA71</f>
        <v>1327121.1099999999</v>
      </c>
      <c r="D692" s="180">
        <f>(D615/D612)*AA76</f>
        <v>0</v>
      </c>
      <c r="E692" s="180">
        <f>(E623/E612)*SUM(C692:D692)</f>
        <v>114503.68794748449</v>
      </c>
      <c r="F692" s="180">
        <f>(F624/F612)*AA64</f>
        <v>51027.49855202491</v>
      </c>
      <c r="G692" s="180">
        <f>(G625/G612)*AA77</f>
        <v>0</v>
      </c>
      <c r="H692" s="180">
        <f>(H628/H612)*AA60</f>
        <v>4612.4974308902283</v>
      </c>
      <c r="I692" s="180">
        <f>(I629/I612)*AA78</f>
        <v>0</v>
      </c>
      <c r="J692" s="180">
        <f>(J630/J612)*AA79</f>
        <v>0</v>
      </c>
      <c r="K692" s="180">
        <f>(K644/K612)*AA75</f>
        <v>189980.31040475189</v>
      </c>
      <c r="L692" s="180">
        <f>(L647/L612)*AA80</f>
        <v>66.864022343086546</v>
      </c>
      <c r="M692" s="180">
        <f t="shared" si="21"/>
        <v>360191</v>
      </c>
      <c r="N692" s="196" t="s">
        <v>704</v>
      </c>
    </row>
    <row r="693" spans="1:14" ht="12.6" customHeight="1" x14ac:dyDescent="0.2">
      <c r="A693" s="194">
        <v>7170</v>
      </c>
      <c r="B693" s="196" t="s">
        <v>115</v>
      </c>
      <c r="C693" s="180">
        <f>AB71</f>
        <v>19261775.280000001</v>
      </c>
      <c r="D693" s="180">
        <f>(D615/D612)*AB76</f>
        <v>419219.39281417622</v>
      </c>
      <c r="E693" s="180">
        <f>(E623/E612)*SUM(C693:D693)</f>
        <v>1698071.4537138359</v>
      </c>
      <c r="F693" s="180">
        <f>(F624/F612)*AB64</f>
        <v>811195.37167236349</v>
      </c>
      <c r="G693" s="180">
        <f>(G625/G612)*AB77</f>
        <v>0</v>
      </c>
      <c r="H693" s="180">
        <f>(H628/H612)*AB60</f>
        <v>74452.933464381771</v>
      </c>
      <c r="I693" s="180">
        <f>(I629/I612)*AB78</f>
        <v>90240.813612244267</v>
      </c>
      <c r="J693" s="180">
        <f>(J630/J612)*AB79</f>
        <v>0</v>
      </c>
      <c r="K693" s="180">
        <f>(K644/K612)*AB75</f>
        <v>3094083.2943189344</v>
      </c>
      <c r="L693" s="180">
        <f>(L647/L612)*AB80</f>
        <v>0</v>
      </c>
      <c r="M693" s="180">
        <f t="shared" si="21"/>
        <v>6187263</v>
      </c>
      <c r="N693" s="196" t="s">
        <v>705</v>
      </c>
    </row>
    <row r="694" spans="1:14" ht="12.6" customHeight="1" x14ac:dyDescent="0.2">
      <c r="A694" s="194">
        <v>7180</v>
      </c>
      <c r="B694" s="196" t="s">
        <v>706</v>
      </c>
      <c r="C694" s="180">
        <f>AC71</f>
        <v>7547227.2500000019</v>
      </c>
      <c r="D694" s="180">
        <f>(D615/D612)*AC76</f>
        <v>574538.96972677717</v>
      </c>
      <c r="E694" s="180">
        <f>(E623/E612)*SUM(C694:D694)</f>
        <v>700744.02237940126</v>
      </c>
      <c r="F694" s="180">
        <f>(F624/F612)*AC64</f>
        <v>35400.945470803155</v>
      </c>
      <c r="G694" s="180">
        <f>(G625/G612)*AC77</f>
        <v>0</v>
      </c>
      <c r="H694" s="180">
        <f>(H628/H612)*AC60</f>
        <v>94272.538838874636</v>
      </c>
      <c r="I694" s="180">
        <f>(I629/I612)*AC78</f>
        <v>123674.77499559916</v>
      </c>
      <c r="J694" s="180">
        <f>(J630/J612)*AC79</f>
        <v>7187.2074386224858</v>
      </c>
      <c r="K694" s="180">
        <f>(K644/K612)*AC75</f>
        <v>803492.72196693602</v>
      </c>
      <c r="L694" s="180">
        <f>(L647/L612)*AC80</f>
        <v>34141.104128491708</v>
      </c>
      <c r="M694" s="180">
        <f t="shared" si="21"/>
        <v>2373452</v>
      </c>
      <c r="N694" s="196" t="s">
        <v>707</v>
      </c>
    </row>
    <row r="695" spans="1:14" ht="12.6" customHeight="1" x14ac:dyDescent="0.2">
      <c r="A695" s="194">
        <v>7190</v>
      </c>
      <c r="B695" s="196" t="s">
        <v>117</v>
      </c>
      <c r="C695" s="180">
        <f>AD71</f>
        <v>41289</v>
      </c>
      <c r="D695" s="180">
        <f>(D615/D612)*AD76</f>
        <v>61161.330723970226</v>
      </c>
      <c r="E695" s="180">
        <f>(E623/E612)*SUM(C695:D695)</f>
        <v>8839.3897218122547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13165.536568068779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83166</v>
      </c>
      <c r="N695" s="196" t="s">
        <v>708</v>
      </c>
    </row>
    <row r="696" spans="1:14" ht="12.6" customHeight="1" x14ac:dyDescent="0.2">
      <c r="A696" s="194">
        <v>7200</v>
      </c>
      <c r="B696" s="196" t="s">
        <v>709</v>
      </c>
      <c r="C696" s="180">
        <f>AE71</f>
        <v>7820847.46</v>
      </c>
      <c r="D696" s="180">
        <f>(D615/D612)*AE76</f>
        <v>1649845.7732330242</v>
      </c>
      <c r="E696" s="180">
        <f>(E623/E612)*SUM(C696:D696)</f>
        <v>817129.11840010376</v>
      </c>
      <c r="F696" s="180">
        <f>(F624/F612)*AE64</f>
        <v>39742.288823533185</v>
      </c>
      <c r="G696" s="180">
        <f>(G625/G612)*AE77</f>
        <v>0</v>
      </c>
      <c r="H696" s="180">
        <f>(H628/H612)*AE60</f>
        <v>58756.781572241882</v>
      </c>
      <c r="I696" s="180">
        <f>(I629/I612)*AE78</f>
        <v>355144.41236086772</v>
      </c>
      <c r="J696" s="180">
        <f>(J630/J612)*AE79</f>
        <v>15937.881228428505</v>
      </c>
      <c r="K696" s="180">
        <f>(K644/K612)*AE75</f>
        <v>343480.61112016632</v>
      </c>
      <c r="L696" s="180">
        <f>(L647/L612)*AE80</f>
        <v>111277.86412428628</v>
      </c>
      <c r="M696" s="180">
        <f t="shared" si="21"/>
        <v>3391315</v>
      </c>
      <c r="N696" s="196" t="s">
        <v>710</v>
      </c>
    </row>
    <row r="697" spans="1:14" ht="12.6" customHeight="1" x14ac:dyDescent="0.2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6" t="s">
        <v>712</v>
      </c>
    </row>
    <row r="698" spans="1:14" ht="12.6" customHeight="1" x14ac:dyDescent="0.2">
      <c r="A698" s="194">
        <v>7230</v>
      </c>
      <c r="B698" s="196" t="s">
        <v>713</v>
      </c>
      <c r="C698" s="180">
        <f>AG71</f>
        <v>23316139.699999999</v>
      </c>
      <c r="D698" s="180">
        <f>(D615/D612)*AG76</f>
        <v>2152727.825852335</v>
      </c>
      <c r="E698" s="180">
        <f>(E623/E612)*SUM(C698:D698)</f>
        <v>2197447.7216747892</v>
      </c>
      <c r="F698" s="180">
        <f>(F624/F612)*AG64</f>
        <v>113605.9793262473</v>
      </c>
      <c r="G698" s="180">
        <f>(G625/G612)*AG77</f>
        <v>407304.29481404589</v>
      </c>
      <c r="H698" s="180">
        <f>(H628/H612)*AG60</f>
        <v>186474.47245782235</v>
      </c>
      <c r="I698" s="180">
        <f>(I629/I612)*AG78</f>
        <v>463394.37969832204</v>
      </c>
      <c r="J698" s="180">
        <f>(J630/J612)*AG79</f>
        <v>206711.96643689624</v>
      </c>
      <c r="K698" s="180">
        <f>(K644/K612)*AG75</f>
        <v>3345416.8911543032</v>
      </c>
      <c r="L698" s="180">
        <f>(L647/L612)*AG80</f>
        <v>1089204.8943655284</v>
      </c>
      <c r="M698" s="180">
        <f t="shared" si="21"/>
        <v>10162288</v>
      </c>
      <c r="N698" s="196" t="s">
        <v>714</v>
      </c>
    </row>
    <row r="699" spans="1:14" ht="12.6" customHeight="1" x14ac:dyDescent="0.2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6" t="s">
        <v>715</v>
      </c>
    </row>
    <row r="700" spans="1:14" ht="12.6" customHeight="1" x14ac:dyDescent="0.2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6" t="s">
        <v>717</v>
      </c>
    </row>
    <row r="701" spans="1:14" ht="12.6" customHeight="1" x14ac:dyDescent="0.2">
      <c r="A701" s="194">
        <v>7260</v>
      </c>
      <c r="B701" s="196" t="s">
        <v>121</v>
      </c>
      <c r="C701" s="180">
        <f>AJ71</f>
        <v>152944654.15999997</v>
      </c>
      <c r="D701" s="180">
        <f>(D615/D612)*AJ76</f>
        <v>0</v>
      </c>
      <c r="E701" s="180">
        <f>(E623/E612)*SUM(C701:D701)</f>
        <v>13196027.718353882</v>
      </c>
      <c r="F701" s="180">
        <f>(F624/F612)*AJ64</f>
        <v>191935.93545179453</v>
      </c>
      <c r="G701" s="180">
        <f>(G625/G612)*AJ77</f>
        <v>0</v>
      </c>
      <c r="H701" s="180">
        <f>(H628/H612)*AJ60</f>
        <v>750507.17490936234</v>
      </c>
      <c r="I701" s="180">
        <f>(I629/I612)*AJ78</f>
        <v>0</v>
      </c>
      <c r="J701" s="180">
        <f>(J630/J612)*AJ79</f>
        <v>0</v>
      </c>
      <c r="K701" s="180">
        <f>(K644/K612)*AJ75</f>
        <v>3180184.6987840612</v>
      </c>
      <c r="L701" s="180">
        <f>(L647/L612)*AJ80</f>
        <v>508674.73637726525</v>
      </c>
      <c r="M701" s="180">
        <f t="shared" si="21"/>
        <v>17827330</v>
      </c>
      <c r="N701" s="196" t="s">
        <v>718</v>
      </c>
    </row>
    <row r="702" spans="1:14" ht="12.6" customHeight="1" x14ac:dyDescent="0.2">
      <c r="A702" s="194">
        <v>7310</v>
      </c>
      <c r="B702" s="196" t="s">
        <v>719</v>
      </c>
      <c r="C702" s="180">
        <f>AK71</f>
        <v>1686820.7300000004</v>
      </c>
      <c r="D702" s="180">
        <f>(D615/D612)*AK76</f>
        <v>353452.08533198107</v>
      </c>
      <c r="E702" s="180">
        <f>(E623/E612)*SUM(C702:D702)</f>
        <v>176034.24436109592</v>
      </c>
      <c r="F702" s="180">
        <f>(F624/F612)*AK64</f>
        <v>688.70449798162042</v>
      </c>
      <c r="G702" s="180">
        <f>(G625/G612)*AK77</f>
        <v>0</v>
      </c>
      <c r="H702" s="180">
        <f>(H628/H612)*AK60</f>
        <v>14776.211451362775</v>
      </c>
      <c r="I702" s="180">
        <f>(I629/I612)*AK78</f>
        <v>76083.798364357965</v>
      </c>
      <c r="J702" s="180">
        <f>(J630/J612)*AK79</f>
        <v>0</v>
      </c>
      <c r="K702" s="180">
        <f>(K644/K612)*AK75</f>
        <v>88066.752521804927</v>
      </c>
      <c r="L702" s="180">
        <f>(L647/L612)*AK80</f>
        <v>0</v>
      </c>
      <c r="M702" s="180">
        <f t="shared" si="21"/>
        <v>709102</v>
      </c>
      <c r="N702" s="196" t="s">
        <v>720</v>
      </c>
    </row>
    <row r="703" spans="1:14" ht="12.6" customHeight="1" x14ac:dyDescent="0.2">
      <c r="A703" s="194">
        <v>7320</v>
      </c>
      <c r="B703" s="196" t="s">
        <v>721</v>
      </c>
      <c r="C703" s="180">
        <f>AL71</f>
        <v>723215.99000000022</v>
      </c>
      <c r="D703" s="180">
        <f>(D615/D612)*AL76</f>
        <v>116282.03619125205</v>
      </c>
      <c r="E703" s="180">
        <f>(E623/E612)*SUM(C703:D703)</f>
        <v>72431.686376786151</v>
      </c>
      <c r="F703" s="180">
        <f>(F624/F612)*AL64</f>
        <v>340.586327003267</v>
      </c>
      <c r="G703" s="180">
        <f>(G625/G612)*AL77</f>
        <v>0</v>
      </c>
      <c r="H703" s="180">
        <f>(H628/H612)*AL60</f>
        <v>7518.461454884784</v>
      </c>
      <c r="I703" s="180">
        <f>(I629/I612)*AL78</f>
        <v>25030.773228180151</v>
      </c>
      <c r="J703" s="180">
        <f>(J630/J612)*AL79</f>
        <v>0</v>
      </c>
      <c r="K703" s="180">
        <f>(K644/K612)*AL75</f>
        <v>43350.219775553647</v>
      </c>
      <c r="L703" s="180">
        <f>(L647/L612)*AL80</f>
        <v>0</v>
      </c>
      <c r="M703" s="180">
        <f t="shared" si="21"/>
        <v>264954</v>
      </c>
      <c r="N703" s="196" t="s">
        <v>722</v>
      </c>
    </row>
    <row r="704" spans="1:14" ht="12.6" customHeight="1" x14ac:dyDescent="0.2">
      <c r="A704" s="194">
        <v>7330</v>
      </c>
      <c r="B704" s="196" t="s">
        <v>723</v>
      </c>
      <c r="C704" s="180">
        <f>AM71</f>
        <v>-44.78</v>
      </c>
      <c r="D704" s="180">
        <f>(D615/D612)*AM76</f>
        <v>0</v>
      </c>
      <c r="E704" s="180">
        <f>(E623/E612)*SUM(C704:D704)</f>
        <v>-3.8636075544667929</v>
      </c>
      <c r="F704" s="180">
        <f>(F624/F612)*AM64</f>
        <v>-3.0330573129888574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-7</v>
      </c>
      <c r="N704" s="196" t="s">
        <v>724</v>
      </c>
    </row>
    <row r="705" spans="1:83" ht="12.6" customHeight="1" x14ac:dyDescent="0.2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6" t="s">
        <v>726</v>
      </c>
    </row>
    <row r="706" spans="1:83" ht="12.6" customHeight="1" x14ac:dyDescent="0.2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6" t="s">
        <v>728</v>
      </c>
    </row>
    <row r="707" spans="1:83" ht="12.6" customHeight="1" x14ac:dyDescent="0.2">
      <c r="A707" s="194">
        <v>7380</v>
      </c>
      <c r="B707" s="196" t="s">
        <v>729</v>
      </c>
      <c r="C707" s="180">
        <f>AP71</f>
        <v>54707514.900000013</v>
      </c>
      <c r="D707" s="180">
        <f>(D615/D612)*AP76</f>
        <v>4792632.0786565905</v>
      </c>
      <c r="E707" s="180">
        <f>(E623/E612)*SUM(C707:D707)</f>
        <v>5133658.2706257747</v>
      </c>
      <c r="F707" s="180">
        <f>(F624/F612)*AP64</f>
        <v>2646867.3403203464</v>
      </c>
      <c r="G707" s="180">
        <f>(G625/G612)*AP77</f>
        <v>0</v>
      </c>
      <c r="H707" s="180">
        <f>(H628/H612)*AP60</f>
        <v>154101.58055969709</v>
      </c>
      <c r="I707" s="180">
        <f>(I629/I612)*AP78</f>
        <v>1031657.9469734094</v>
      </c>
      <c r="J707" s="180">
        <f>(J630/J612)*AP79</f>
        <v>0</v>
      </c>
      <c r="K707" s="180">
        <f>(K644/K612)*AP75</f>
        <v>4682621.4438393433</v>
      </c>
      <c r="L707" s="180">
        <f>(L647/L612)*AP80</f>
        <v>560200.65347501531</v>
      </c>
      <c r="M707" s="180">
        <f t="shared" si="21"/>
        <v>19001739</v>
      </c>
      <c r="N707" s="196" t="s">
        <v>730</v>
      </c>
    </row>
    <row r="708" spans="1:83" ht="12.6" customHeight="1" x14ac:dyDescent="0.2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6" t="s">
        <v>732</v>
      </c>
    </row>
    <row r="709" spans="1:83" ht="12.6" customHeight="1" x14ac:dyDescent="0.2">
      <c r="A709" s="194">
        <v>7400</v>
      </c>
      <c r="B709" s="196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6" t="s">
        <v>734</v>
      </c>
    </row>
    <row r="710" spans="1:83" ht="12.6" customHeight="1" x14ac:dyDescent="0.2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6" t="s">
        <v>735</v>
      </c>
    </row>
    <row r="711" spans="1:83" ht="12.6" customHeight="1" x14ac:dyDescent="0.2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6" t="s">
        <v>737</v>
      </c>
    </row>
    <row r="712" spans="1:83" ht="12.6" customHeight="1" x14ac:dyDescent="0.2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6" t="s">
        <v>739</v>
      </c>
    </row>
    <row r="713" spans="1:83" ht="12.6" customHeight="1" x14ac:dyDescent="0.2">
      <c r="A713" s="194">
        <v>7490</v>
      </c>
      <c r="B713" s="196" t="s">
        <v>740</v>
      </c>
      <c r="C713" s="180">
        <f>AV71</f>
        <v>3364723.4149999996</v>
      </c>
      <c r="D713" s="180">
        <f>(D615/D612)*AV76</f>
        <v>239284.26798056994</v>
      </c>
      <c r="E713" s="180">
        <f>(E623/E612)*SUM(C713:D713)</f>
        <v>310952.91001161438</v>
      </c>
      <c r="F713" s="180">
        <f>(F624/F612)*AV64</f>
        <v>132.21095472670231</v>
      </c>
      <c r="G713" s="180">
        <f>(G625/G612)*AV77</f>
        <v>0</v>
      </c>
      <c r="H713" s="180">
        <f>(H628/H612)*AV60</f>
        <v>1992.7811350475429</v>
      </c>
      <c r="I713" s="180">
        <f>(I629/I612)*AV78</f>
        <v>51508.130103962911</v>
      </c>
      <c r="J713" s="180">
        <f>(J630/J612)*AV79</f>
        <v>4858.1953159882269</v>
      </c>
      <c r="K713" s="180">
        <f>(K644/K612)*AV75</f>
        <v>38401.794624811519</v>
      </c>
      <c r="L713" s="180">
        <f>(L647/L612)*AV80</f>
        <v>9874.5623996549493</v>
      </c>
      <c r="M713" s="180">
        <f t="shared" si="21"/>
        <v>657005</v>
      </c>
      <c r="N713" s="197" t="s">
        <v>741</v>
      </c>
    </row>
    <row r="715" spans="1:83" ht="12.6" customHeight="1" x14ac:dyDescent="0.2">
      <c r="C715" s="180">
        <f>SUM(C614:C647)+SUM(C668:C713)</f>
        <v>613232513.09560299</v>
      </c>
      <c r="D715" s="180">
        <f>SUM(D616:D647)+SUM(D668:D713)</f>
        <v>37446742.060000002</v>
      </c>
      <c r="E715" s="180">
        <f>SUM(E624:E647)+SUM(E668:E713)</f>
        <v>48707114.651969589</v>
      </c>
      <c r="F715" s="180">
        <f>SUM(F625:F648)+SUM(F668:F713)</f>
        <v>7228901.9857932925</v>
      </c>
      <c r="G715" s="180">
        <f>SUM(G626:G647)+SUM(G668:G713)</f>
        <v>9150116.7821611091</v>
      </c>
      <c r="H715" s="180">
        <f>SUM(H629:H647)+SUM(H668:H713)</f>
        <v>3064282.4252647548</v>
      </c>
      <c r="I715" s="180">
        <f>SUM(I630:I647)+SUM(I668:I713)</f>
        <v>6542328.9568969142</v>
      </c>
      <c r="J715" s="180">
        <f>SUM(J631:J647)+SUM(J668:J713)</f>
        <v>744836.94896277599</v>
      </c>
      <c r="K715" s="180">
        <f>SUM(K668:K713)</f>
        <v>34280414.181260526</v>
      </c>
      <c r="L715" s="180">
        <f>SUM(L668:L713)</f>
        <v>9091927.2925518863</v>
      </c>
      <c r="M715" s="180">
        <f>SUM(M668:M713)</f>
        <v>141128987</v>
      </c>
      <c r="N715" s="196" t="s">
        <v>742</v>
      </c>
    </row>
    <row r="716" spans="1:83" ht="12.6" customHeight="1" x14ac:dyDescent="0.2">
      <c r="C716" s="180">
        <f>CE71</f>
        <v>613232513.09560299</v>
      </c>
      <c r="D716" s="180">
        <f>D615</f>
        <v>37446742.060000002</v>
      </c>
      <c r="E716" s="180">
        <f>E623</f>
        <v>48707114.651969604</v>
      </c>
      <c r="F716" s="180">
        <f>F624</f>
        <v>7228901.9857932888</v>
      </c>
      <c r="G716" s="180">
        <f>G625</f>
        <v>9150116.7821611073</v>
      </c>
      <c r="H716" s="180">
        <f>H628</f>
        <v>3064282.4252647543</v>
      </c>
      <c r="I716" s="180">
        <f>I629</f>
        <v>6542328.9568969142</v>
      </c>
      <c r="J716" s="180">
        <f>J630</f>
        <v>744836.94896277587</v>
      </c>
      <c r="K716" s="180">
        <f>K644</f>
        <v>34280414.181260519</v>
      </c>
      <c r="L716" s="180">
        <f>L647</f>
        <v>9091927.2925518863</v>
      </c>
      <c r="M716" s="180">
        <f>C648</f>
        <v>141128986.16615051</v>
      </c>
      <c r="N716" s="196" t="s">
        <v>743</v>
      </c>
    </row>
    <row r="717" spans="1:83" ht="12.6" customHeight="1" x14ac:dyDescent="0.2">
      <c r="O717" s="196"/>
    </row>
    <row r="718" spans="1:83" ht="12.6" customHeight="1" x14ac:dyDescent="0.2">
      <c r="O718" s="196"/>
    </row>
    <row r="719" spans="1:83" ht="12.6" customHeight="1" x14ac:dyDescent="0.2">
      <c r="O719" s="196"/>
    </row>
    <row r="720" spans="1:83" s="199" customFormat="1" ht="12.6" customHeight="1" x14ac:dyDescent="0.2">
      <c r="A720" s="199" t="s">
        <v>744</v>
      </c>
      <c r="B720" s="270"/>
      <c r="C720" s="270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  <c r="CA720" s="270"/>
      <c r="CB720" s="270"/>
      <c r="CC720" s="270"/>
      <c r="CD720" s="270"/>
      <c r="CE720" s="270"/>
    </row>
    <row r="721" spans="1:84" s="201" customFormat="1" ht="12.6" customHeight="1" x14ac:dyDescent="0.2">
      <c r="A721" s="201" t="s">
        <v>745</v>
      </c>
      <c r="B721" s="201" t="s">
        <v>746</v>
      </c>
      <c r="C721" s="201" t="s">
        <v>747</v>
      </c>
      <c r="D721" s="201" t="s">
        <v>748</v>
      </c>
      <c r="E721" s="201" t="s">
        <v>749</v>
      </c>
      <c r="F721" s="201" t="s">
        <v>750</v>
      </c>
      <c r="G721" s="201" t="s">
        <v>751</v>
      </c>
      <c r="H721" s="201" t="s">
        <v>752</v>
      </c>
      <c r="I721" s="201" t="s">
        <v>753</v>
      </c>
      <c r="J721" s="201" t="s">
        <v>754</v>
      </c>
      <c r="K721" s="201" t="s">
        <v>755</v>
      </c>
      <c r="L721" s="201" t="s">
        <v>756</v>
      </c>
      <c r="M721" s="201" t="s">
        <v>757</v>
      </c>
      <c r="N721" s="201" t="s">
        <v>758</v>
      </c>
      <c r="O721" s="201" t="s">
        <v>759</v>
      </c>
      <c r="P721" s="201" t="s">
        <v>760</v>
      </c>
      <c r="Q721" s="201" t="s">
        <v>761</v>
      </c>
      <c r="R721" s="201" t="s">
        <v>762</v>
      </c>
      <c r="S721" s="201" t="s">
        <v>763</v>
      </c>
      <c r="T721" s="201" t="s">
        <v>764</v>
      </c>
      <c r="U721" s="201" t="s">
        <v>765</v>
      </c>
      <c r="V721" s="201" t="s">
        <v>766</v>
      </c>
      <c r="W721" s="201" t="s">
        <v>767</v>
      </c>
      <c r="X721" s="201" t="s">
        <v>768</v>
      </c>
      <c r="Y721" s="201" t="s">
        <v>769</v>
      </c>
      <c r="Z721" s="201" t="s">
        <v>770</v>
      </c>
      <c r="AA721" s="201" t="s">
        <v>771</v>
      </c>
      <c r="AB721" s="201" t="s">
        <v>772</v>
      </c>
      <c r="AC721" s="201" t="s">
        <v>773</v>
      </c>
      <c r="AD721" s="201" t="s">
        <v>774</v>
      </c>
      <c r="AE721" s="201" t="s">
        <v>775</v>
      </c>
      <c r="AF721" s="201" t="s">
        <v>776</v>
      </c>
      <c r="AG721" s="201" t="s">
        <v>777</v>
      </c>
      <c r="AH721" s="201" t="s">
        <v>778</v>
      </c>
      <c r="AI721" s="201" t="s">
        <v>779</v>
      </c>
      <c r="AJ721" s="201" t="s">
        <v>780</v>
      </c>
      <c r="AK721" s="201" t="s">
        <v>781</v>
      </c>
      <c r="AL721" s="201" t="s">
        <v>782</v>
      </c>
      <c r="AM721" s="201" t="s">
        <v>783</v>
      </c>
      <c r="AN721" s="201" t="s">
        <v>784</v>
      </c>
      <c r="AO721" s="201" t="s">
        <v>785</v>
      </c>
      <c r="AP721" s="201" t="s">
        <v>786</v>
      </c>
      <c r="AQ721" s="201" t="s">
        <v>787</v>
      </c>
      <c r="AR721" s="201" t="s">
        <v>788</v>
      </c>
      <c r="AS721" s="201" t="s">
        <v>789</v>
      </c>
      <c r="AT721" s="201" t="s">
        <v>790</v>
      </c>
      <c r="AU721" s="201" t="s">
        <v>791</v>
      </c>
      <c r="AV721" s="201" t="s">
        <v>792</v>
      </c>
      <c r="AW721" s="201" t="s">
        <v>793</v>
      </c>
      <c r="AX721" s="201" t="s">
        <v>794</v>
      </c>
      <c r="AY721" s="201" t="s">
        <v>795</v>
      </c>
      <c r="AZ721" s="201" t="s">
        <v>796</v>
      </c>
      <c r="BA721" s="201" t="s">
        <v>797</v>
      </c>
      <c r="BB721" s="201" t="s">
        <v>798</v>
      </c>
      <c r="BC721" s="201" t="s">
        <v>799</v>
      </c>
      <c r="BD721" s="201" t="s">
        <v>800</v>
      </c>
      <c r="BE721" s="201" t="s">
        <v>801</v>
      </c>
      <c r="BF721" s="201" t="s">
        <v>802</v>
      </c>
      <c r="BG721" s="201" t="s">
        <v>803</v>
      </c>
      <c r="BH721" s="201" t="s">
        <v>804</v>
      </c>
      <c r="BI721" s="201" t="s">
        <v>805</v>
      </c>
      <c r="BJ721" s="201" t="s">
        <v>806</v>
      </c>
      <c r="BK721" s="201" t="s">
        <v>807</v>
      </c>
      <c r="BL721" s="201" t="s">
        <v>808</v>
      </c>
      <c r="BM721" s="201" t="s">
        <v>809</v>
      </c>
      <c r="BN721" s="201" t="s">
        <v>810</v>
      </c>
      <c r="BO721" s="201" t="s">
        <v>811</v>
      </c>
      <c r="BP721" s="201" t="s">
        <v>812</v>
      </c>
      <c r="BQ721" s="201" t="s">
        <v>813</v>
      </c>
      <c r="BR721" s="201" t="s">
        <v>814</v>
      </c>
      <c r="BS721" s="201" t="s">
        <v>815</v>
      </c>
      <c r="BT721" s="201" t="s">
        <v>816</v>
      </c>
      <c r="BU721" s="201" t="s">
        <v>817</v>
      </c>
      <c r="BV721" s="201" t="s">
        <v>818</v>
      </c>
      <c r="BW721" s="201" t="s">
        <v>819</v>
      </c>
      <c r="BX721" s="201" t="s">
        <v>820</v>
      </c>
      <c r="BY721" s="201" t="s">
        <v>821</v>
      </c>
      <c r="BZ721" s="201" t="s">
        <v>822</v>
      </c>
      <c r="CA721" s="201" t="s">
        <v>823</v>
      </c>
      <c r="CB721" s="201" t="s">
        <v>824</v>
      </c>
      <c r="CC721" s="201" t="s">
        <v>825</v>
      </c>
      <c r="CD721" s="201" t="s">
        <v>1256</v>
      </c>
    </row>
    <row r="722" spans="1:84" s="199" customFormat="1" ht="12.6" customHeight="1" x14ac:dyDescent="0.2">
      <c r="A722" s="200" t="str">
        <f>RIGHT(C83,3)&amp;"*"&amp;RIGHT(C82,4)&amp;"*"&amp;"A"</f>
        <v>142*2019*A</v>
      </c>
      <c r="B722" s="270">
        <f>ROUND(C165,0)</f>
        <v>12278046</v>
      </c>
      <c r="C722" s="270">
        <f>ROUND(C166,0)</f>
        <v>172096</v>
      </c>
      <c r="D722" s="270">
        <f>ROUND(C167,0)</f>
        <v>1475452</v>
      </c>
      <c r="E722" s="270">
        <f>ROUND(C168,0)</f>
        <v>20712624</v>
      </c>
      <c r="F722" s="270">
        <f>ROUND(C169,0)</f>
        <v>119198</v>
      </c>
      <c r="G722" s="270">
        <f>ROUND(C170,0)</f>
        <v>6002515</v>
      </c>
      <c r="H722" s="270">
        <f>ROUND(C171+C172,0)</f>
        <v>859723</v>
      </c>
      <c r="I722" s="270">
        <f>ROUND(C175,0)</f>
        <v>10524116</v>
      </c>
      <c r="J722" s="270">
        <f>ROUND(C176,0)</f>
        <v>2693842</v>
      </c>
      <c r="K722" s="270">
        <f>ROUND(C179,0)</f>
        <v>4718554</v>
      </c>
      <c r="L722" s="270">
        <f>ROUND(C180,0)</f>
        <v>843123</v>
      </c>
      <c r="M722" s="270">
        <f>ROUND(C183,0)</f>
        <v>0</v>
      </c>
      <c r="N722" s="270">
        <f>ROUND(C184,0)</f>
        <v>14935936</v>
      </c>
      <c r="O722" s="270">
        <f>ROUND(C185,0)</f>
        <v>0</v>
      </c>
      <c r="P722" s="270">
        <f>ROUND(C188,0)</f>
        <v>0</v>
      </c>
      <c r="Q722" s="270">
        <f>ROUND(C189,0)</f>
        <v>-5045429</v>
      </c>
      <c r="R722" s="270">
        <f>ROUND(B195,0)</f>
        <v>10245719</v>
      </c>
      <c r="S722" s="270">
        <f>ROUND(C195,0)</f>
        <v>0</v>
      </c>
      <c r="T722" s="270">
        <f>ROUND(D195,0)</f>
        <v>0</v>
      </c>
      <c r="U722" s="270">
        <f>ROUND(B196,0)</f>
        <v>2319119</v>
      </c>
      <c r="V722" s="270">
        <f>ROUND(C196,0)</f>
        <v>0</v>
      </c>
      <c r="W722" s="270">
        <f>ROUND(D196,0)</f>
        <v>0</v>
      </c>
      <c r="X722" s="270">
        <f>ROUND(B197,0)</f>
        <v>99727204</v>
      </c>
      <c r="Y722" s="270">
        <f>ROUND(C197,0)</f>
        <v>0</v>
      </c>
      <c r="Z722" s="270">
        <f>ROUND(D197,0)</f>
        <v>0</v>
      </c>
      <c r="AA722" s="270">
        <f>ROUND(B198,0)</f>
        <v>14481862</v>
      </c>
      <c r="AB722" s="270">
        <f>ROUND(C198,0)</f>
        <v>947225</v>
      </c>
      <c r="AC722" s="270">
        <f>ROUND(D198,0)</f>
        <v>0</v>
      </c>
      <c r="AD722" s="270">
        <f>ROUND(B199,0)</f>
        <v>5219863</v>
      </c>
      <c r="AE722" s="270">
        <f>ROUND(C199,0)</f>
        <v>64004</v>
      </c>
      <c r="AF722" s="270">
        <f>ROUND(D199,0)</f>
        <v>0</v>
      </c>
      <c r="AG722" s="270">
        <f>ROUND(B200,0)</f>
        <v>150454585</v>
      </c>
      <c r="AH722" s="270">
        <f>ROUND(C200,0)</f>
        <v>7517365</v>
      </c>
      <c r="AI722" s="270">
        <f>ROUND(D200,0)</f>
        <v>323295</v>
      </c>
      <c r="AJ722" s="270">
        <f>ROUND(B201,0)</f>
        <v>0</v>
      </c>
      <c r="AK722" s="270">
        <f>ROUND(C201,0)</f>
        <v>0</v>
      </c>
      <c r="AL722" s="270">
        <f>ROUND(D201,0)</f>
        <v>0</v>
      </c>
      <c r="AM722" s="270">
        <f>ROUND(B202,0)</f>
        <v>31151861</v>
      </c>
      <c r="AN722" s="270">
        <f>ROUND(C202,0)</f>
        <v>2382011</v>
      </c>
      <c r="AO722" s="270">
        <f>ROUND(D202,0)</f>
        <v>23103</v>
      </c>
      <c r="AP722" s="270">
        <f>ROUND(B203,0)</f>
        <v>139559185</v>
      </c>
      <c r="AQ722" s="270">
        <f>ROUND(C203,0)</f>
        <v>140361772</v>
      </c>
      <c r="AR722" s="270">
        <f>ROUND(D203,0)</f>
        <v>0</v>
      </c>
      <c r="AS722" s="270"/>
      <c r="AT722" s="270"/>
      <c r="AU722" s="270"/>
      <c r="AV722" s="270">
        <f>ROUND(B209,0)</f>
        <v>424527</v>
      </c>
      <c r="AW722" s="270">
        <f>ROUND(C209,0)</f>
        <v>154439</v>
      </c>
      <c r="AX722" s="270">
        <f>ROUND(D209,0)</f>
        <v>0</v>
      </c>
      <c r="AY722" s="270">
        <f>ROUND(B210,0)</f>
        <v>31193841</v>
      </c>
      <c r="AZ722" s="270">
        <f>ROUND(C210,0)</f>
        <v>20522680</v>
      </c>
      <c r="BA722" s="270">
        <f>ROUND(D210,0)</f>
        <v>0</v>
      </c>
      <c r="BB722" s="270">
        <f>ROUND(B211,0)</f>
        <v>3721920</v>
      </c>
      <c r="BC722" s="270">
        <f>ROUND(C211,0)</f>
        <v>986302</v>
      </c>
      <c r="BD722" s="270">
        <f>ROUND(D211,0)</f>
        <v>0</v>
      </c>
      <c r="BE722" s="270">
        <f>ROUND(B212,0)</f>
        <v>2612447</v>
      </c>
      <c r="BF722" s="270">
        <f>ROUND(C212,0)</f>
        <v>897705</v>
      </c>
      <c r="BG722" s="270">
        <f>ROUND(D212,0)</f>
        <v>0</v>
      </c>
      <c r="BH722" s="270">
        <f>ROUND(B213,0)</f>
        <v>94424837</v>
      </c>
      <c r="BI722" s="270">
        <f>ROUND(C213,0)</f>
        <v>20584129</v>
      </c>
      <c r="BJ722" s="270">
        <f>ROUND(D213,0)</f>
        <v>1450662</v>
      </c>
      <c r="BK722" s="270">
        <f>ROUND(B214,0)</f>
        <v>0</v>
      </c>
      <c r="BL722" s="270">
        <f>ROUND(C214,0)</f>
        <v>0</v>
      </c>
      <c r="BM722" s="270">
        <f>ROUND(D214,0)</f>
        <v>0</v>
      </c>
      <c r="BN722" s="270">
        <f>ROUND(B215,0)</f>
        <v>16950459</v>
      </c>
      <c r="BO722" s="270">
        <f>ROUND(C215,0)</f>
        <v>3091212</v>
      </c>
      <c r="BP722" s="270">
        <f>ROUND(D215,0)</f>
        <v>0</v>
      </c>
      <c r="BQ722" s="270">
        <f>ROUND(B216,0)</f>
        <v>0</v>
      </c>
      <c r="BR722" s="270">
        <f>ROUND(C216,0)</f>
        <v>0</v>
      </c>
      <c r="BS722" s="270">
        <f>ROUND(D216,0)</f>
        <v>0</v>
      </c>
      <c r="BT722" s="270">
        <f>ROUND(C223,0)</f>
        <v>1144398495</v>
      </c>
      <c r="BU722" s="270">
        <f>ROUND(C224,0)</f>
        <v>364484632</v>
      </c>
      <c r="BV722" s="270">
        <f>ROUND(C225,0)</f>
        <v>0</v>
      </c>
      <c r="BW722" s="270">
        <f>ROUND(C226,0)</f>
        <v>0</v>
      </c>
      <c r="BX722" s="270">
        <f>ROUND(C227,0)</f>
        <v>0</v>
      </c>
      <c r="BY722" s="270">
        <f>ROUND(C228,0)</f>
        <v>456814023</v>
      </c>
      <c r="BZ722" s="270">
        <f>ROUND(C231,0)</f>
        <v>11035</v>
      </c>
      <c r="CA722" s="270">
        <f>ROUND(C233,0)</f>
        <v>4758089</v>
      </c>
      <c r="CB722" s="270">
        <f>ROUND(C234,0)</f>
        <v>10612767</v>
      </c>
      <c r="CC722" s="270">
        <f>ROUND(C238+C239,0)</f>
        <v>13182811</v>
      </c>
      <c r="CD722" s="270">
        <f>D221</f>
        <v>12497585.57</v>
      </c>
      <c r="CE722" s="270"/>
    </row>
    <row r="723" spans="1:84" ht="12.6" customHeight="1" x14ac:dyDescent="0.2">
      <c r="B723" s="271"/>
      <c r="C723" s="271"/>
      <c r="D723" s="271"/>
      <c r="E723" s="271"/>
      <c r="F723" s="271"/>
      <c r="G723" s="27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  <c r="CA723" s="271"/>
      <c r="CB723" s="271"/>
      <c r="CC723" s="271"/>
      <c r="CD723" s="271"/>
      <c r="CE723" s="271"/>
    </row>
    <row r="724" spans="1:84" s="199" customFormat="1" ht="12.6" customHeight="1" x14ac:dyDescent="0.2">
      <c r="A724" s="199" t="s">
        <v>148</v>
      </c>
      <c r="B724" s="270"/>
      <c r="C724" s="270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  <c r="CA724" s="270"/>
      <c r="CB724" s="270"/>
      <c r="CC724" s="270"/>
      <c r="CD724" s="270"/>
      <c r="CE724" s="270"/>
    </row>
    <row r="725" spans="1:84" s="201" customFormat="1" ht="12.6" customHeight="1" x14ac:dyDescent="0.2">
      <c r="A725" s="201" t="s">
        <v>745</v>
      </c>
      <c r="B725" s="201" t="s">
        <v>826</v>
      </c>
      <c r="C725" s="201" t="s">
        <v>827</v>
      </c>
      <c r="D725" s="201" t="s">
        <v>828</v>
      </c>
      <c r="E725" s="201" t="s">
        <v>829</v>
      </c>
      <c r="F725" s="201" t="s">
        <v>830</v>
      </c>
      <c r="G725" s="201" t="s">
        <v>831</v>
      </c>
      <c r="H725" s="201" t="s">
        <v>832</v>
      </c>
      <c r="I725" s="201" t="s">
        <v>833</v>
      </c>
      <c r="J725" s="201" t="s">
        <v>834</v>
      </c>
      <c r="K725" s="201" t="s">
        <v>835</v>
      </c>
      <c r="L725" s="201" t="s">
        <v>836</v>
      </c>
      <c r="M725" s="201" t="s">
        <v>837</v>
      </c>
      <c r="N725" s="201" t="s">
        <v>838</v>
      </c>
      <c r="O725" s="201" t="s">
        <v>839</v>
      </c>
      <c r="P725" s="201" t="s">
        <v>840</v>
      </c>
      <c r="Q725" s="201" t="s">
        <v>841</v>
      </c>
      <c r="R725" s="201" t="s">
        <v>842</v>
      </c>
      <c r="S725" s="201" t="s">
        <v>843</v>
      </c>
      <c r="T725" s="201" t="s">
        <v>844</v>
      </c>
      <c r="U725" s="201" t="s">
        <v>845</v>
      </c>
      <c r="V725" s="201" t="s">
        <v>846</v>
      </c>
      <c r="W725" s="201" t="s">
        <v>847</v>
      </c>
      <c r="X725" s="201" t="s">
        <v>848</v>
      </c>
      <c r="Y725" s="201" t="s">
        <v>849</v>
      </c>
      <c r="Z725" s="201" t="s">
        <v>850</v>
      </c>
      <c r="AA725" s="201" t="s">
        <v>851</v>
      </c>
      <c r="AB725" s="201" t="s">
        <v>852</v>
      </c>
      <c r="AC725" s="201" t="s">
        <v>853</v>
      </c>
      <c r="AD725" s="201" t="s">
        <v>854</v>
      </c>
      <c r="AE725" s="201" t="s">
        <v>855</v>
      </c>
      <c r="AF725" s="201" t="s">
        <v>856</v>
      </c>
      <c r="AG725" s="201" t="s">
        <v>857</v>
      </c>
      <c r="AH725" s="201" t="s">
        <v>858</v>
      </c>
      <c r="AI725" s="201" t="s">
        <v>859</v>
      </c>
      <c r="AJ725" s="201" t="s">
        <v>860</v>
      </c>
      <c r="AK725" s="201" t="s">
        <v>861</v>
      </c>
      <c r="AL725" s="201" t="s">
        <v>862</v>
      </c>
      <c r="AM725" s="201" t="s">
        <v>863</v>
      </c>
      <c r="AN725" s="201" t="s">
        <v>864</v>
      </c>
      <c r="AO725" s="201" t="s">
        <v>865</v>
      </c>
      <c r="AP725" s="201" t="s">
        <v>866</v>
      </c>
      <c r="AQ725" s="201" t="s">
        <v>867</v>
      </c>
      <c r="AR725" s="201" t="s">
        <v>868</v>
      </c>
      <c r="AS725" s="201" t="s">
        <v>869</v>
      </c>
      <c r="AT725" s="201" t="s">
        <v>870</v>
      </c>
      <c r="AU725" s="201" t="s">
        <v>871</v>
      </c>
      <c r="AV725" s="201" t="s">
        <v>872</v>
      </c>
      <c r="AW725" s="201" t="s">
        <v>873</v>
      </c>
      <c r="AX725" s="201" t="s">
        <v>874</v>
      </c>
      <c r="AY725" s="201" t="s">
        <v>875</v>
      </c>
      <c r="AZ725" s="201" t="s">
        <v>876</v>
      </c>
      <c r="BA725" s="201" t="s">
        <v>877</v>
      </c>
      <c r="BB725" s="201" t="s">
        <v>878</v>
      </c>
      <c r="BC725" s="201" t="s">
        <v>879</v>
      </c>
      <c r="BD725" s="201" t="s">
        <v>880</v>
      </c>
      <c r="BE725" s="201" t="s">
        <v>881</v>
      </c>
      <c r="BF725" s="201" t="s">
        <v>882</v>
      </c>
      <c r="BG725" s="201" t="s">
        <v>883</v>
      </c>
      <c r="BH725" s="201" t="s">
        <v>884</v>
      </c>
      <c r="BI725" s="201" t="s">
        <v>885</v>
      </c>
      <c r="BJ725" s="201" t="s">
        <v>886</v>
      </c>
      <c r="BK725" s="201" t="s">
        <v>887</v>
      </c>
      <c r="BL725" s="201" t="s">
        <v>888</v>
      </c>
      <c r="BM725" s="201" t="s">
        <v>889</v>
      </c>
      <c r="BN725" s="201" t="s">
        <v>890</v>
      </c>
      <c r="BO725" s="201" t="s">
        <v>891</v>
      </c>
      <c r="BP725" s="201" t="s">
        <v>892</v>
      </c>
      <c r="BQ725" s="201" t="s">
        <v>893</v>
      </c>
      <c r="BR725" s="201" t="s">
        <v>894</v>
      </c>
    </row>
    <row r="726" spans="1:84" s="199" customFormat="1" ht="12.6" customHeight="1" x14ac:dyDescent="0.2">
      <c r="A726" s="200" t="str">
        <f>RIGHT(C83,3)&amp;"*"&amp;RIGHT(C82,4)&amp;"*"&amp;"A"</f>
        <v>142*2019*A</v>
      </c>
      <c r="B726" s="270">
        <f>ROUND(C111,0)</f>
        <v>13385</v>
      </c>
      <c r="C726" s="270">
        <f>ROUND(C112,0)</f>
        <v>0</v>
      </c>
      <c r="D726" s="270">
        <f>ROUND(C113,0)</f>
        <v>0</v>
      </c>
      <c r="E726" s="270">
        <f>ROUND(C114,0)</f>
        <v>1972</v>
      </c>
      <c r="F726" s="270">
        <f>ROUND(D111,0)</f>
        <v>61575</v>
      </c>
      <c r="G726" s="270">
        <f>ROUND(D112,0)</f>
        <v>0</v>
      </c>
      <c r="H726" s="270">
        <f>ROUND(D113,0)</f>
        <v>0</v>
      </c>
      <c r="I726" s="270">
        <f>ROUND(D114,0)</f>
        <v>3964</v>
      </c>
      <c r="J726" s="270">
        <f>ROUND(C116,0)</f>
        <v>20</v>
      </c>
      <c r="K726" s="270">
        <f>ROUND(C117,0)</f>
        <v>56</v>
      </c>
      <c r="L726" s="270">
        <f>ROUND(C118,0)</f>
        <v>192</v>
      </c>
      <c r="M726" s="270">
        <f>ROUND(C119,0)</f>
        <v>0</v>
      </c>
      <c r="N726" s="270">
        <f>ROUND(C120,0)</f>
        <v>20</v>
      </c>
      <c r="O726" s="270">
        <f>ROUND(C121,0)</f>
        <v>0</v>
      </c>
      <c r="P726" s="270">
        <f>ROUND(C122,0)</f>
        <v>0</v>
      </c>
      <c r="Q726" s="270">
        <f>ROUND(C123,0)</f>
        <v>0</v>
      </c>
      <c r="R726" s="270">
        <f>ROUND(C124,0)</f>
        <v>0</v>
      </c>
      <c r="S726" s="270">
        <f>ROUND(C125,0)</f>
        <v>0</v>
      </c>
      <c r="T726" s="270"/>
      <c r="U726" s="270">
        <f>ROUND(C126,0)</f>
        <v>10</v>
      </c>
      <c r="V726" s="270">
        <f>ROUND(C128,0)</f>
        <v>336</v>
      </c>
      <c r="W726" s="270">
        <f>ROUND(C129,0)</f>
        <v>22</v>
      </c>
      <c r="X726" s="270">
        <f>ROUND(B138,0)</f>
        <v>7272</v>
      </c>
      <c r="Y726" s="270">
        <f>ROUND(B139,0)</f>
        <v>37931</v>
      </c>
      <c r="Z726" s="270">
        <f>ROUND(B140,0)</f>
        <v>0</v>
      </c>
      <c r="AA726" s="270">
        <f>ROUND(B141,0)</f>
        <v>650822579</v>
      </c>
      <c r="AB726" s="270">
        <f>ROUND(B142,0)</f>
        <v>732255389</v>
      </c>
      <c r="AC726" s="270">
        <f>ROUND(C138,0)</f>
        <v>2340</v>
      </c>
      <c r="AD726" s="270">
        <f>ROUND(C139,0)</f>
        <v>10468</v>
      </c>
      <c r="AE726" s="270">
        <f>ROUND(C140,0)</f>
        <v>0</v>
      </c>
      <c r="AF726" s="270">
        <f>ROUND(C141,0)</f>
        <v>160319186</v>
      </c>
      <c r="AG726" s="270">
        <f>ROUND(C142,0)</f>
        <v>266538240</v>
      </c>
      <c r="AH726" s="270">
        <f>ROUND(D138,0)</f>
        <v>3773</v>
      </c>
      <c r="AI726" s="270">
        <f>ROUND(D139,0)</f>
        <v>13176</v>
      </c>
      <c r="AJ726" s="270">
        <f>ROUND(D140,0)</f>
        <v>0</v>
      </c>
      <c r="AK726" s="270">
        <f>ROUND(D141,0)</f>
        <v>241532322</v>
      </c>
      <c r="AL726" s="270">
        <f>ROUND(D142,0)</f>
        <v>627107617</v>
      </c>
      <c r="AM726" s="270">
        <f>ROUND(B144,0)</f>
        <v>0</v>
      </c>
      <c r="AN726" s="270">
        <f>ROUND(B145,0)</f>
        <v>0</v>
      </c>
      <c r="AO726" s="270">
        <f>ROUND(B146,0)</f>
        <v>0</v>
      </c>
      <c r="AP726" s="270">
        <f>ROUND(B147,0)</f>
        <v>0</v>
      </c>
      <c r="AQ726" s="270">
        <f>ROUND(B148,0)</f>
        <v>0</v>
      </c>
      <c r="AR726" s="270">
        <f>ROUND(C144,0)</f>
        <v>0</v>
      </c>
      <c r="AS726" s="270">
        <f>ROUND(C145,0)</f>
        <v>0</v>
      </c>
      <c r="AT726" s="270">
        <f>ROUND(C146,0)</f>
        <v>0</v>
      </c>
      <c r="AU726" s="270">
        <f>ROUND(C147,0)</f>
        <v>0</v>
      </c>
      <c r="AV726" s="270">
        <f>ROUND(C148,0)</f>
        <v>0</v>
      </c>
      <c r="AW726" s="270">
        <f>ROUND(D144,0)</f>
        <v>0</v>
      </c>
      <c r="AX726" s="270">
        <f>ROUND(D145,0)</f>
        <v>0</v>
      </c>
      <c r="AY726" s="270">
        <f>ROUND(D146,0)</f>
        <v>0</v>
      </c>
      <c r="AZ726" s="270">
        <f>ROUND(D147,0)</f>
        <v>0</v>
      </c>
      <c r="BA726" s="270">
        <f>ROUND(D148,0)</f>
        <v>0</v>
      </c>
      <c r="BB726" s="270">
        <f>ROUND(B150,0)</f>
        <v>0</v>
      </c>
      <c r="BC726" s="270">
        <f>ROUND(B151,0)</f>
        <v>0</v>
      </c>
      <c r="BD726" s="270">
        <f>ROUND(B152,0)</f>
        <v>0</v>
      </c>
      <c r="BE726" s="270">
        <f>ROUND(B153,0)</f>
        <v>0</v>
      </c>
      <c r="BF726" s="270">
        <f>ROUND(B154,0)</f>
        <v>0</v>
      </c>
      <c r="BG726" s="270">
        <f>ROUND(C150,0)</f>
        <v>0</v>
      </c>
      <c r="BH726" s="270">
        <f>ROUND(C151,0)</f>
        <v>0</v>
      </c>
      <c r="BI726" s="270">
        <f>ROUND(C152,0)</f>
        <v>0</v>
      </c>
      <c r="BJ726" s="270">
        <f>ROUND(C153,0)</f>
        <v>0</v>
      </c>
      <c r="BK726" s="270">
        <f>ROUND(C154,0)</f>
        <v>0</v>
      </c>
      <c r="BL726" s="270">
        <f>ROUND(D150,0)</f>
        <v>0</v>
      </c>
      <c r="BM726" s="270">
        <f>ROUND(D151,0)</f>
        <v>0</v>
      </c>
      <c r="BN726" s="270">
        <f>ROUND(D152,0)</f>
        <v>0</v>
      </c>
      <c r="BO726" s="270">
        <f>ROUND(D153,0)</f>
        <v>0</v>
      </c>
      <c r="BP726" s="270">
        <f>ROUND(D154,0)</f>
        <v>0</v>
      </c>
      <c r="BQ726" s="270">
        <f>ROUND(B157,0)</f>
        <v>4022206</v>
      </c>
      <c r="BR726" s="270">
        <f>ROUND(C157,0)</f>
        <v>2416330</v>
      </c>
      <c r="BS726" s="270"/>
      <c r="BT726" s="270"/>
      <c r="BU726" s="270"/>
      <c r="BV726" s="270"/>
      <c r="BW726" s="270"/>
      <c r="BX726" s="270"/>
      <c r="BY726" s="270"/>
      <c r="BZ726" s="270"/>
      <c r="CA726" s="270"/>
      <c r="CB726" s="270"/>
      <c r="CC726" s="270"/>
      <c r="CD726" s="270"/>
      <c r="CE726" s="270"/>
    </row>
    <row r="727" spans="1:84" ht="12.6" customHeight="1" x14ac:dyDescent="0.2">
      <c r="B727" s="271"/>
      <c r="C727" s="271"/>
      <c r="D727" s="271"/>
      <c r="E727" s="271"/>
      <c r="F727" s="271"/>
      <c r="G727" s="27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</row>
    <row r="728" spans="1:84" s="199" customFormat="1" ht="12.6" customHeight="1" x14ac:dyDescent="0.2">
      <c r="A728" s="199" t="s">
        <v>895</v>
      </c>
      <c r="B728" s="270"/>
      <c r="C728" s="270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  <c r="CA728" s="270"/>
      <c r="CB728" s="270"/>
      <c r="CC728" s="270"/>
      <c r="CD728" s="270"/>
      <c r="CE728" s="270"/>
    </row>
    <row r="729" spans="1:84" s="201" customFormat="1" ht="12.6" customHeight="1" x14ac:dyDescent="0.2">
      <c r="A729" s="201" t="s">
        <v>745</v>
      </c>
      <c r="B729" s="201" t="s">
        <v>896</v>
      </c>
      <c r="C729" s="201" t="s">
        <v>897</v>
      </c>
      <c r="D729" s="201" t="s">
        <v>898</v>
      </c>
      <c r="E729" s="201" t="s">
        <v>899</v>
      </c>
      <c r="F729" s="201" t="s">
        <v>900</v>
      </c>
      <c r="G729" s="201" t="s">
        <v>901</v>
      </c>
      <c r="H729" s="201" t="s">
        <v>902</v>
      </c>
      <c r="I729" s="201" t="s">
        <v>903</v>
      </c>
      <c r="J729" s="201" t="s">
        <v>904</v>
      </c>
      <c r="K729" s="201" t="s">
        <v>905</v>
      </c>
      <c r="L729" s="201" t="s">
        <v>906</v>
      </c>
      <c r="M729" s="201" t="s">
        <v>907</v>
      </c>
      <c r="N729" s="201" t="s">
        <v>908</v>
      </c>
      <c r="O729" s="201" t="s">
        <v>909</v>
      </c>
      <c r="P729" s="201" t="s">
        <v>910</v>
      </c>
      <c r="Q729" s="201" t="s">
        <v>911</v>
      </c>
      <c r="R729" s="201" t="s">
        <v>912</v>
      </c>
      <c r="S729" s="201" t="s">
        <v>913</v>
      </c>
      <c r="T729" s="201" t="s">
        <v>914</v>
      </c>
      <c r="U729" s="201" t="s">
        <v>915</v>
      </c>
      <c r="V729" s="201" t="s">
        <v>916</v>
      </c>
      <c r="W729" s="201" t="s">
        <v>917</v>
      </c>
      <c r="X729" s="201" t="s">
        <v>918</v>
      </c>
      <c r="Y729" s="201" t="s">
        <v>919</v>
      </c>
      <c r="Z729" s="201" t="s">
        <v>920</v>
      </c>
      <c r="AA729" s="201" t="s">
        <v>921</v>
      </c>
      <c r="AB729" s="201" t="s">
        <v>922</v>
      </c>
      <c r="AC729" s="201" t="s">
        <v>923</v>
      </c>
      <c r="AD729" s="201" t="s">
        <v>924</v>
      </c>
      <c r="AE729" s="201" t="s">
        <v>925</v>
      </c>
      <c r="AF729" s="201" t="s">
        <v>926</v>
      </c>
      <c r="AG729" s="201" t="s">
        <v>927</v>
      </c>
      <c r="AH729" s="201" t="s">
        <v>928</v>
      </c>
      <c r="AI729" s="201" t="s">
        <v>929</v>
      </c>
      <c r="AJ729" s="201" t="s">
        <v>930</v>
      </c>
      <c r="AK729" s="201" t="s">
        <v>931</v>
      </c>
      <c r="AL729" s="201" t="s">
        <v>932</v>
      </c>
      <c r="AM729" s="201" t="s">
        <v>933</v>
      </c>
      <c r="AN729" s="201" t="s">
        <v>934</v>
      </c>
      <c r="AO729" s="201" t="s">
        <v>935</v>
      </c>
      <c r="AP729" s="201" t="s">
        <v>936</v>
      </c>
      <c r="AQ729" s="201" t="s">
        <v>937</v>
      </c>
      <c r="AR729" s="201" t="s">
        <v>938</v>
      </c>
      <c r="AS729" s="201" t="s">
        <v>939</v>
      </c>
      <c r="AT729" s="201" t="s">
        <v>940</v>
      </c>
      <c r="AU729" s="201" t="s">
        <v>941</v>
      </c>
      <c r="AV729" s="201" t="s">
        <v>942</v>
      </c>
      <c r="AW729" s="201" t="s">
        <v>943</v>
      </c>
      <c r="AX729" s="201" t="s">
        <v>944</v>
      </c>
      <c r="AY729" s="201" t="s">
        <v>945</v>
      </c>
      <c r="AZ729" s="201" t="s">
        <v>946</v>
      </c>
      <c r="BA729" s="201" t="s">
        <v>947</v>
      </c>
      <c r="BB729" s="201" t="s">
        <v>948</v>
      </c>
      <c r="BC729" s="201" t="s">
        <v>949</v>
      </c>
      <c r="BD729" s="201" t="s">
        <v>950</v>
      </c>
      <c r="BE729" s="201" t="s">
        <v>951</v>
      </c>
      <c r="BF729" s="201" t="s">
        <v>952</v>
      </c>
      <c r="BG729" s="201" t="s">
        <v>953</v>
      </c>
      <c r="BH729" s="201" t="s">
        <v>954</v>
      </c>
      <c r="BI729" s="201" t="s">
        <v>955</v>
      </c>
      <c r="BJ729" s="201" t="s">
        <v>956</v>
      </c>
      <c r="BK729" s="201" t="s">
        <v>957</v>
      </c>
      <c r="BL729" s="201" t="s">
        <v>958</v>
      </c>
      <c r="BM729" s="201" t="s">
        <v>959</v>
      </c>
      <c r="BN729" s="201" t="s">
        <v>960</v>
      </c>
      <c r="BO729" s="201" t="s">
        <v>961</v>
      </c>
      <c r="BP729" s="201" t="s">
        <v>962</v>
      </c>
      <c r="BQ729" s="201" t="s">
        <v>963</v>
      </c>
      <c r="BR729" s="201" t="s">
        <v>964</v>
      </c>
      <c r="BS729" s="201" t="s">
        <v>965</v>
      </c>
      <c r="BT729" s="201" t="s">
        <v>966</v>
      </c>
      <c r="BU729" s="201" t="s">
        <v>967</v>
      </c>
      <c r="BV729" s="201" t="s">
        <v>968</v>
      </c>
      <c r="BW729" s="201" t="s">
        <v>969</v>
      </c>
      <c r="BX729" s="201" t="s">
        <v>970</v>
      </c>
      <c r="BY729" s="201" t="s">
        <v>971</v>
      </c>
      <c r="BZ729" s="201" t="s">
        <v>972</v>
      </c>
      <c r="CA729" s="201" t="s">
        <v>973</v>
      </c>
      <c r="CB729" s="201" t="s">
        <v>974</v>
      </c>
      <c r="CC729" s="201" t="s">
        <v>975</v>
      </c>
      <c r="CD729" s="201" t="s">
        <v>976</v>
      </c>
      <c r="CE729" s="201" t="s">
        <v>977</v>
      </c>
      <c r="CF729" s="201" t="s">
        <v>978</v>
      </c>
    </row>
    <row r="730" spans="1:84" s="199" customFormat="1" ht="12.6" customHeight="1" x14ac:dyDescent="0.2">
      <c r="A730" s="200" t="str">
        <f>RIGHT(C83,3)&amp;"*"&amp;RIGHT(C82,4)&amp;"*"&amp;"A"</f>
        <v>142*2019*A</v>
      </c>
      <c r="B730" s="270">
        <f>ROUND(C250,0)</f>
        <v>38483282</v>
      </c>
      <c r="C730" s="270">
        <f>ROUND(C251,0)</f>
        <v>0</v>
      </c>
      <c r="D730" s="270">
        <f>ROUND(C252,0)</f>
        <v>324627763</v>
      </c>
      <c r="E730" s="270">
        <f>ROUND(C253,0)</f>
        <v>238065926</v>
      </c>
      <c r="F730" s="270">
        <f>ROUND(C254,0)</f>
        <v>0</v>
      </c>
      <c r="G730" s="270">
        <f>ROUND(C255,0)</f>
        <v>3067312</v>
      </c>
      <c r="H730" s="270">
        <f>ROUND(C256,0)</f>
        <v>0</v>
      </c>
      <c r="I730" s="270">
        <f>ROUND(C257,0)</f>
        <v>10059923</v>
      </c>
      <c r="J730" s="270">
        <f>ROUND(C258,0)</f>
        <v>1241475</v>
      </c>
      <c r="K730" s="270">
        <f>ROUND(C259,0)</f>
        <v>0</v>
      </c>
      <c r="L730" s="270">
        <f>ROUND(C262,0)</f>
        <v>0</v>
      </c>
      <c r="M730" s="270">
        <f>ROUND(C263,0)</f>
        <v>0</v>
      </c>
      <c r="N730" s="270">
        <f>ROUND(C264,0)</f>
        <v>0</v>
      </c>
      <c r="O730" s="270">
        <f>ROUND(C267,0)</f>
        <v>10245719</v>
      </c>
      <c r="P730" s="270">
        <f>ROUND(C268,0)</f>
        <v>2319119</v>
      </c>
      <c r="Q730" s="270">
        <f>ROUND(C269,0)</f>
        <v>99727204</v>
      </c>
      <c r="R730" s="270">
        <f>ROUND(C270,0)</f>
        <v>15429086</v>
      </c>
      <c r="S730" s="270">
        <f>ROUND(C271,0)</f>
        <v>5283866</v>
      </c>
      <c r="T730" s="270">
        <f>ROUND(C272,0)</f>
        <v>157648655</v>
      </c>
      <c r="U730" s="270">
        <f>ROUND(C273,0)</f>
        <v>33510770</v>
      </c>
      <c r="V730" s="270">
        <f>ROUND(C274,0)</f>
        <v>279920957</v>
      </c>
      <c r="W730" s="270">
        <f>ROUND(C275,0)</f>
        <v>0</v>
      </c>
      <c r="X730" s="270">
        <f>ROUND(C276,0)</f>
        <v>194113838</v>
      </c>
      <c r="Y730" s="270">
        <f>ROUND(C279,0)</f>
        <v>0</v>
      </c>
      <c r="Z730" s="270">
        <f>ROUND(C280,0)</f>
        <v>0</v>
      </c>
      <c r="AA730" s="270">
        <f>ROUND(C281,0)</f>
        <v>325677991</v>
      </c>
      <c r="AB730" s="270">
        <f>ROUND(C282,0)</f>
        <v>287861</v>
      </c>
      <c r="AC730" s="270">
        <f>ROUND(C286,0)</f>
        <v>8342249</v>
      </c>
      <c r="AD730" s="270">
        <f>ROUND(C287,0)</f>
        <v>0</v>
      </c>
      <c r="AE730" s="270">
        <f>ROUND(C288,0)</f>
        <v>0</v>
      </c>
      <c r="AF730" s="270">
        <f>ROUND(C289,0)</f>
        <v>22867407</v>
      </c>
      <c r="AG730" s="270">
        <f>ROUND(C304,0)</f>
        <v>0</v>
      </c>
      <c r="AH730" s="270">
        <f>ROUND(C305,0)</f>
        <v>6331476</v>
      </c>
      <c r="AI730" s="270">
        <f>ROUND(C306,0)</f>
        <v>21004569</v>
      </c>
      <c r="AJ730" s="270">
        <f>ROUND(C307,0)</f>
        <v>47529483</v>
      </c>
      <c r="AK730" s="270">
        <f>ROUND(C308,0)</f>
        <v>0</v>
      </c>
      <c r="AL730" s="270">
        <f>ROUND(C309,0)</f>
        <v>5108174</v>
      </c>
      <c r="AM730" s="270">
        <f>ROUND(C310,0)</f>
        <v>0</v>
      </c>
      <c r="AN730" s="270">
        <f>ROUND(C311,0)</f>
        <v>0</v>
      </c>
      <c r="AO730" s="270">
        <f>ROUND(C312,0)</f>
        <v>0</v>
      </c>
      <c r="AP730" s="270">
        <f>ROUND(C313,0)</f>
        <v>5523323</v>
      </c>
      <c r="AQ730" s="270">
        <f>ROUND(C316,0)</f>
        <v>0</v>
      </c>
      <c r="AR730" s="270">
        <f>ROUND(C317,0)</f>
        <v>0</v>
      </c>
      <c r="AS730" s="270">
        <f>ROUND(C318,0)</f>
        <v>6352816</v>
      </c>
      <c r="AT730" s="270">
        <f>ROUND(C321,0)</f>
        <v>0</v>
      </c>
      <c r="AU730" s="270">
        <f>ROUND(C322,0)</f>
        <v>0</v>
      </c>
      <c r="AV730" s="270">
        <f>ROUND(C323,0)</f>
        <v>1529761</v>
      </c>
      <c r="AW730" s="270">
        <f>ROUND(C324,0)</f>
        <v>990073</v>
      </c>
      <c r="AX730" s="270">
        <f>ROUND(C325,0)</f>
        <v>0</v>
      </c>
      <c r="AY730" s="270">
        <f>ROUND(C326,0)</f>
        <v>82650788</v>
      </c>
      <c r="AZ730" s="270">
        <f>ROUND(C327,0)</f>
        <v>2511059</v>
      </c>
      <c r="BA730" s="270">
        <f>ROUND(C328,0)</f>
        <v>0</v>
      </c>
      <c r="BB730" s="270">
        <f>ROUND(C332,0)</f>
        <v>732552678</v>
      </c>
      <c r="BC730" s="270"/>
      <c r="BD730" s="270"/>
      <c r="BE730" s="270">
        <f>ROUND(C337,0)</f>
        <v>0</v>
      </c>
      <c r="BF730" s="270">
        <f>ROUND(C336,0)</f>
        <v>0</v>
      </c>
      <c r="BG730" s="270"/>
      <c r="BH730" s="270"/>
      <c r="BI730" s="270">
        <f>ROUND(CE60,2)</f>
        <v>2050.17</v>
      </c>
      <c r="BJ730" s="270">
        <f>ROUND(C359,0)</f>
        <v>1052674087</v>
      </c>
      <c r="BK730" s="270">
        <f>ROUND(C360,0)</f>
        <v>1625901246</v>
      </c>
      <c r="BL730" s="270">
        <f>ROUND(C364,0)</f>
        <v>1965697149</v>
      </c>
      <c r="BM730" s="270">
        <f>ROUND(C365,0)</f>
        <v>15370856</v>
      </c>
      <c r="BN730" s="270">
        <f>ROUND(C366,0)</f>
        <v>13182811</v>
      </c>
      <c r="BO730" s="270">
        <f>ROUND(C370,0)</f>
        <v>5746465</v>
      </c>
      <c r="BP730" s="270">
        <f>ROUND(C371,0)</f>
        <v>0</v>
      </c>
      <c r="BQ730" s="270">
        <f>ROUND(C378,0)</f>
        <v>193640400</v>
      </c>
      <c r="BR730" s="270">
        <f>ROUND(C379,0)</f>
        <v>41619656</v>
      </c>
      <c r="BS730" s="270">
        <f>ROUND(C380,0)</f>
        <v>42048900</v>
      </c>
      <c r="BT730" s="270">
        <f>ROUND(C381,0)</f>
        <v>107520411</v>
      </c>
      <c r="BU730" s="270">
        <f>ROUND(C382,0)</f>
        <v>4642353</v>
      </c>
      <c r="BV730" s="270">
        <f>ROUND(C383,0)</f>
        <v>146338608</v>
      </c>
      <c r="BW730" s="270">
        <f>ROUND(C384,0)</f>
        <v>46236467</v>
      </c>
      <c r="BX730" s="270">
        <f>ROUND(C385,0)</f>
        <v>13217958</v>
      </c>
      <c r="BY730" s="270">
        <f>ROUND(C386,0)</f>
        <v>5561677</v>
      </c>
      <c r="BZ730" s="270">
        <f>ROUND(C387,0)</f>
        <v>14935936</v>
      </c>
      <c r="CA730" s="270">
        <f>ROUND(C388,0)</f>
        <v>-5045429</v>
      </c>
      <c r="CB730" s="270">
        <f>C363</f>
        <v>12497585.57</v>
      </c>
      <c r="CC730" s="270">
        <f>ROUND(C389,0)</f>
        <v>8262038</v>
      </c>
      <c r="CD730" s="270">
        <f>ROUND(C392,0)</f>
        <v>15539323</v>
      </c>
      <c r="CE730" s="270">
        <f>ROUND(C394,0)</f>
        <v>0</v>
      </c>
      <c r="CF730" s="199">
        <f>ROUND(C395,0)</f>
        <v>0</v>
      </c>
    </row>
    <row r="731" spans="1:84" ht="12.6" customHeight="1" x14ac:dyDescent="0.2">
      <c r="B731" s="271"/>
      <c r="C731" s="271"/>
      <c r="D731" s="271"/>
      <c r="E731" s="271"/>
      <c r="F731" s="271"/>
      <c r="G731" s="27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  <c r="CA731" s="271"/>
      <c r="CB731" s="271"/>
      <c r="CC731" s="271"/>
      <c r="CD731" s="271"/>
      <c r="CE731" s="271"/>
    </row>
    <row r="732" spans="1:84" s="199" customFormat="1" ht="12.6" customHeight="1" x14ac:dyDescent="0.2">
      <c r="A732" s="199" t="s">
        <v>979</v>
      </c>
      <c r="B732" s="270"/>
      <c r="C732" s="270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  <c r="CA732" s="270"/>
      <c r="CB732" s="270"/>
      <c r="CC732" s="270"/>
      <c r="CD732" s="270"/>
      <c r="CE732" s="270"/>
    </row>
    <row r="733" spans="1:84" s="201" customFormat="1" ht="12.6" customHeight="1" x14ac:dyDescent="0.2">
      <c r="A733" s="201" t="s">
        <v>745</v>
      </c>
      <c r="B733" s="201" t="s">
        <v>980</v>
      </c>
      <c r="C733" s="201" t="s">
        <v>981</v>
      </c>
      <c r="D733" s="201" t="s">
        <v>982</v>
      </c>
      <c r="E733" s="201" t="s">
        <v>983</v>
      </c>
      <c r="F733" s="201" t="s">
        <v>984</v>
      </c>
      <c r="G733" s="201" t="s">
        <v>985</v>
      </c>
      <c r="H733" s="201" t="s">
        <v>986</v>
      </c>
      <c r="I733" s="201" t="s">
        <v>987</v>
      </c>
      <c r="J733" s="201" t="s">
        <v>988</v>
      </c>
      <c r="K733" s="201" t="s">
        <v>989</v>
      </c>
      <c r="L733" s="201" t="s">
        <v>990</v>
      </c>
      <c r="M733" s="201" t="s">
        <v>991</v>
      </c>
      <c r="N733" s="201" t="s">
        <v>992</v>
      </c>
      <c r="O733" s="201" t="s">
        <v>993</v>
      </c>
      <c r="P733" s="201" t="s">
        <v>994</v>
      </c>
      <c r="Q733" s="201" t="s">
        <v>995</v>
      </c>
      <c r="R733" s="201" t="s">
        <v>996</v>
      </c>
      <c r="S733" s="201" t="s">
        <v>997</v>
      </c>
      <c r="T733" s="201" t="s">
        <v>998</v>
      </c>
      <c r="U733" s="201" t="s">
        <v>999</v>
      </c>
      <c r="V733" s="201" t="s">
        <v>1000</v>
      </c>
      <c r="W733" s="201" t="s">
        <v>1001</v>
      </c>
      <c r="X733" s="201" t="s">
        <v>1002</v>
      </c>
      <c r="Y733" s="201" t="s">
        <v>1003</v>
      </c>
    </row>
    <row r="734" spans="1:84" s="199" customFormat="1" ht="12.6" customHeight="1" x14ac:dyDescent="0.2">
      <c r="A734" s="200" t="str">
        <f>RIGHT($C$83,3)&amp;"*"&amp;RIGHT($C$82,4)&amp;"*"&amp;C$55&amp;"*"&amp;"A"</f>
        <v>142*2019*6010*A</v>
      </c>
      <c r="B734" s="270">
        <f>ROUND(C59,0)</f>
        <v>4916</v>
      </c>
      <c r="C734" s="270">
        <f>ROUND(C60,2)</f>
        <v>53.06</v>
      </c>
      <c r="D734" s="270">
        <f>ROUND(C61,0)</f>
        <v>5808923</v>
      </c>
      <c r="E734" s="270">
        <f>ROUND(C62,0)</f>
        <v>1174186</v>
      </c>
      <c r="F734" s="270">
        <f>ROUND(C63,0)</f>
        <v>894450</v>
      </c>
      <c r="G734" s="270">
        <f>ROUND(C64,0)</f>
        <v>708566</v>
      </c>
      <c r="H734" s="270">
        <f>ROUND(C65,0)</f>
        <v>1049</v>
      </c>
      <c r="I734" s="270">
        <f>ROUND(C66,0)</f>
        <v>69646</v>
      </c>
      <c r="J734" s="270">
        <f>ROUND(C67,0)</f>
        <v>598989</v>
      </c>
      <c r="K734" s="270">
        <f>ROUND(C68,0)</f>
        <v>15219</v>
      </c>
      <c r="L734" s="270">
        <f>ROUND(C69,0)</f>
        <v>3404</v>
      </c>
      <c r="M734" s="270">
        <f>ROUND(C70,0)</f>
        <v>0</v>
      </c>
      <c r="N734" s="270">
        <f>ROUND(C75,0)</f>
        <v>37091962</v>
      </c>
      <c r="O734" s="270">
        <f>ROUND(C73,0)</f>
        <v>36995872</v>
      </c>
      <c r="P734" s="270">
        <f>IF(C76&gt;0,ROUND(C76,0),0)</f>
        <v>8800</v>
      </c>
      <c r="Q734" s="270">
        <f>IF(C77&gt;0,ROUND(C77,0),0)</f>
        <v>5806</v>
      </c>
      <c r="R734" s="270">
        <f>IF(C78&gt;0,ROUND(C78,0),0)</f>
        <v>2514</v>
      </c>
      <c r="S734" s="270">
        <f>IF(C79&gt;0,ROUND(C79,0),0)</f>
        <v>65061</v>
      </c>
      <c r="T734" s="270">
        <f>IF(C80&gt;0,ROUND(C80,2),0)</f>
        <v>37.43</v>
      </c>
      <c r="U734" s="270"/>
      <c r="V734" s="270"/>
      <c r="W734" s="270"/>
      <c r="X734" s="270"/>
      <c r="Y734" s="270">
        <f>IF(M668&lt;&gt;0,ROUND(M668,0),0)</f>
        <v>3183630</v>
      </c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  <c r="CA734" s="270"/>
      <c r="CB734" s="270"/>
      <c r="CC734" s="270"/>
      <c r="CD734" s="270"/>
      <c r="CE734" s="270"/>
    </row>
    <row r="735" spans="1:84" ht="12.6" customHeight="1" x14ac:dyDescent="0.2">
      <c r="A735" s="207" t="str">
        <f>RIGHT($C$83,3)&amp;"*"&amp;RIGHT($C$82,4)&amp;"*"&amp;D$55&amp;"*"&amp;"A"</f>
        <v>142*2019*6030*A</v>
      </c>
      <c r="B735" s="270">
        <f>ROUND(D59,0)</f>
        <v>0</v>
      </c>
      <c r="C735" s="272">
        <f>ROUND(D60,2)</f>
        <v>0</v>
      </c>
      <c r="D735" s="270">
        <f>ROUND(D61,0)</f>
        <v>0</v>
      </c>
      <c r="E735" s="270">
        <f>ROUND(D62,0)</f>
        <v>0</v>
      </c>
      <c r="F735" s="270">
        <f>ROUND(D63,0)</f>
        <v>0</v>
      </c>
      <c r="G735" s="270">
        <f>ROUND(D64,0)</f>
        <v>0</v>
      </c>
      <c r="H735" s="270">
        <f>ROUND(D65,0)</f>
        <v>0</v>
      </c>
      <c r="I735" s="270">
        <f>ROUND(D66,0)</f>
        <v>0</v>
      </c>
      <c r="J735" s="270">
        <f>ROUND(D67,0)</f>
        <v>0</v>
      </c>
      <c r="K735" s="270">
        <f>ROUND(D68,0)</f>
        <v>0</v>
      </c>
      <c r="L735" s="270">
        <f>ROUND(D69,0)</f>
        <v>0</v>
      </c>
      <c r="M735" s="270">
        <f>ROUND(D70,0)</f>
        <v>0</v>
      </c>
      <c r="N735" s="270">
        <f>ROUND(D75,0)</f>
        <v>0</v>
      </c>
      <c r="O735" s="270">
        <f>ROUND(D73,0)</f>
        <v>0</v>
      </c>
      <c r="P735" s="270">
        <f>IF(D76&gt;0,ROUND(D76,0),0)</f>
        <v>0</v>
      </c>
      <c r="Q735" s="270">
        <f>IF(D77&gt;0,ROUND(D77,0),0)</f>
        <v>0</v>
      </c>
      <c r="R735" s="270">
        <f>IF(D78&gt;0,ROUND(D78,0),0)</f>
        <v>0</v>
      </c>
      <c r="S735" s="270">
        <f>IF(D79&gt;0,ROUND(D79,0),0)</f>
        <v>0</v>
      </c>
      <c r="T735" s="272">
        <f>IF(D80&gt;0,ROUND(D80,2),0)</f>
        <v>0</v>
      </c>
      <c r="U735" s="270"/>
      <c r="V735" s="271"/>
      <c r="W735" s="270"/>
      <c r="X735" s="270"/>
      <c r="Y735" s="270">
        <f t="shared" ref="Y735:Y779" si="22">IF(M669&lt;&gt;0,ROUND(M669,0),0)</f>
        <v>0</v>
      </c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  <c r="CA735" s="271"/>
      <c r="CB735" s="271"/>
      <c r="CC735" s="271"/>
      <c r="CD735" s="271"/>
      <c r="CE735" s="271"/>
    </row>
    <row r="736" spans="1:84" ht="12.6" customHeight="1" x14ac:dyDescent="0.2">
      <c r="A736" s="207" t="str">
        <f>RIGHT($C$83,3)&amp;"*"&amp;RIGHT($C$82,4)&amp;"*"&amp;E$55&amp;"*"&amp;"A"</f>
        <v>142*2019*6070*A</v>
      </c>
      <c r="B736" s="270">
        <f>ROUND(E59,0)</f>
        <v>56659</v>
      </c>
      <c r="C736" s="272">
        <f>ROUND(E60,2)</f>
        <v>371.74</v>
      </c>
      <c r="D736" s="270">
        <f>ROUND(E61,0)</f>
        <v>32941979</v>
      </c>
      <c r="E736" s="270">
        <f>ROUND(E62,0)</f>
        <v>7381637</v>
      </c>
      <c r="F736" s="270">
        <f>ROUND(E63,0)</f>
        <v>5293359</v>
      </c>
      <c r="G736" s="270">
        <f>ROUND(E64,0)</f>
        <v>2017672</v>
      </c>
      <c r="H736" s="270">
        <f>ROUND(E65,0)</f>
        <v>7674</v>
      </c>
      <c r="I736" s="270">
        <f>ROUND(E66,0)</f>
        <v>1492456</v>
      </c>
      <c r="J736" s="270">
        <f>ROUND(E67,0)</f>
        <v>4834321</v>
      </c>
      <c r="K736" s="270">
        <f>ROUND(E68,0)</f>
        <v>16552</v>
      </c>
      <c r="L736" s="270">
        <f>ROUND(E69,0)</f>
        <v>40481</v>
      </c>
      <c r="M736" s="270">
        <f>ROUND(E70,0)</f>
        <v>3317</v>
      </c>
      <c r="N736" s="270">
        <f>ROUND(E75,0)</f>
        <v>212598784</v>
      </c>
      <c r="O736" s="270">
        <f>ROUND(E73,0)</f>
        <v>195219317</v>
      </c>
      <c r="P736" s="270">
        <f>IF(E76&gt;0,ROUND(E76,0),0)</f>
        <v>90290</v>
      </c>
      <c r="Q736" s="270">
        <f>IF(E77&gt;0,ROUND(E77,0),0)</f>
        <v>199747</v>
      </c>
      <c r="R736" s="270">
        <f>IF(E78&gt;0,ROUND(E78,0),0)</f>
        <v>25797</v>
      </c>
      <c r="S736" s="270">
        <f>IF(E79&gt;0,ROUND(E79,0),0)</f>
        <v>640945</v>
      </c>
      <c r="T736" s="272">
        <f>IF(E80&gt;0,ROUND(E80,2),0)</f>
        <v>199.37</v>
      </c>
      <c r="U736" s="270"/>
      <c r="V736" s="271"/>
      <c r="W736" s="270"/>
      <c r="X736" s="270"/>
      <c r="Y736" s="270">
        <f t="shared" si="22"/>
        <v>28761537</v>
      </c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  <c r="CA736" s="271"/>
      <c r="CB736" s="271"/>
      <c r="CC736" s="271"/>
      <c r="CD736" s="271"/>
      <c r="CE736" s="271"/>
    </row>
    <row r="737" spans="1:83" ht="12.6" customHeight="1" x14ac:dyDescent="0.2">
      <c r="A737" s="207" t="str">
        <f>RIGHT($C$83,3)&amp;"*"&amp;RIGHT($C$82,4)&amp;"*"&amp;F$55&amp;"*"&amp;"A"</f>
        <v>142*2019*6100*A</v>
      </c>
      <c r="B737" s="270">
        <f>ROUND(F59,0)</f>
        <v>0</v>
      </c>
      <c r="C737" s="272">
        <f>ROUND(F60,2)</f>
        <v>0</v>
      </c>
      <c r="D737" s="270">
        <f>ROUND(F61,0)</f>
        <v>0</v>
      </c>
      <c r="E737" s="270">
        <f>ROUND(F62,0)</f>
        <v>0</v>
      </c>
      <c r="F737" s="270">
        <f>ROUND(F63,0)</f>
        <v>0</v>
      </c>
      <c r="G737" s="270">
        <f>ROUND(F64,0)</f>
        <v>0</v>
      </c>
      <c r="H737" s="270">
        <f>ROUND(F65,0)</f>
        <v>0</v>
      </c>
      <c r="I737" s="270">
        <f>ROUND(F66,0)</f>
        <v>0</v>
      </c>
      <c r="J737" s="270">
        <f>ROUND(F67,0)</f>
        <v>0</v>
      </c>
      <c r="K737" s="270">
        <f>ROUND(F68,0)</f>
        <v>0</v>
      </c>
      <c r="L737" s="270">
        <f>ROUND(F69,0)</f>
        <v>0</v>
      </c>
      <c r="M737" s="270">
        <f>ROUND(F70,0)</f>
        <v>0</v>
      </c>
      <c r="N737" s="270">
        <f>ROUND(F75,0)</f>
        <v>0</v>
      </c>
      <c r="O737" s="270">
        <f>ROUND(F73,0)</f>
        <v>0</v>
      </c>
      <c r="P737" s="270">
        <f>IF(F76&gt;0,ROUND(F76,0),0)</f>
        <v>0</v>
      </c>
      <c r="Q737" s="270">
        <f>IF(F77&gt;0,ROUND(F77,0),0)</f>
        <v>0</v>
      </c>
      <c r="R737" s="270">
        <f>IF(F78&gt;0,ROUND(F78,0),0)</f>
        <v>0</v>
      </c>
      <c r="S737" s="270">
        <f>IF(F79&gt;0,ROUND(F79,0),0)</f>
        <v>0</v>
      </c>
      <c r="T737" s="272">
        <f>IF(F80&gt;0,ROUND(F80,2),0)</f>
        <v>0</v>
      </c>
      <c r="U737" s="270"/>
      <c r="V737" s="271"/>
      <c r="W737" s="270"/>
      <c r="X737" s="270"/>
      <c r="Y737" s="270">
        <f t="shared" si="22"/>
        <v>0</v>
      </c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  <c r="CA737" s="271"/>
      <c r="CB737" s="271"/>
      <c r="CC737" s="271"/>
      <c r="CD737" s="271"/>
      <c r="CE737" s="271"/>
    </row>
    <row r="738" spans="1:83" ht="12.6" customHeight="1" x14ac:dyDescent="0.2">
      <c r="A738" s="207" t="str">
        <f>RIGHT($C$83,3)&amp;"*"&amp;RIGHT($C$82,4)&amp;"*"&amp;G$55&amp;"*"&amp;"A"</f>
        <v>142*2019*6120*A</v>
      </c>
      <c r="B738" s="270">
        <f>ROUND(G59,0)</f>
        <v>0</v>
      </c>
      <c r="C738" s="272">
        <f>ROUND(G60,2)</f>
        <v>0</v>
      </c>
      <c r="D738" s="270">
        <f>ROUND(G61,0)</f>
        <v>0</v>
      </c>
      <c r="E738" s="270">
        <f>ROUND(G62,0)</f>
        <v>0</v>
      </c>
      <c r="F738" s="270">
        <f>ROUND(G63,0)</f>
        <v>0</v>
      </c>
      <c r="G738" s="270">
        <f>ROUND(G64,0)</f>
        <v>0</v>
      </c>
      <c r="H738" s="270">
        <f>ROUND(G65,0)</f>
        <v>0</v>
      </c>
      <c r="I738" s="270">
        <f>ROUND(G66,0)</f>
        <v>119785</v>
      </c>
      <c r="J738" s="270">
        <f>ROUND(G67,0)</f>
        <v>0</v>
      </c>
      <c r="K738" s="270">
        <f>ROUND(G68,0)</f>
        <v>0</v>
      </c>
      <c r="L738" s="270">
        <f>ROUND(G69,0)</f>
        <v>0</v>
      </c>
      <c r="M738" s="270">
        <f>ROUND(G70,0)</f>
        <v>0</v>
      </c>
      <c r="N738" s="270">
        <f>ROUND(G75,0)</f>
        <v>0</v>
      </c>
      <c r="O738" s="270">
        <f>ROUND(G73,0)</f>
        <v>0</v>
      </c>
      <c r="P738" s="270">
        <f>IF(G76&gt;0,ROUND(G76,0),0)</f>
        <v>0</v>
      </c>
      <c r="Q738" s="270">
        <f>IF(G77&gt;0,ROUND(G77,0),0)</f>
        <v>0</v>
      </c>
      <c r="R738" s="270">
        <f>IF(G78&gt;0,ROUND(G78,0),0)</f>
        <v>0</v>
      </c>
      <c r="S738" s="270">
        <f>IF(G79&gt;0,ROUND(G79,0),0)</f>
        <v>0</v>
      </c>
      <c r="T738" s="272">
        <f>IF(G80&gt;0,ROUND(G80,2),0)</f>
        <v>0</v>
      </c>
      <c r="U738" s="270"/>
      <c r="V738" s="271"/>
      <c r="W738" s="270"/>
      <c r="X738" s="270"/>
      <c r="Y738" s="270">
        <f t="shared" si="22"/>
        <v>10335</v>
      </c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  <c r="CA738" s="271"/>
      <c r="CB738" s="271"/>
      <c r="CC738" s="271"/>
      <c r="CD738" s="271"/>
      <c r="CE738" s="271"/>
    </row>
    <row r="739" spans="1:83" ht="12.6" customHeight="1" x14ac:dyDescent="0.2">
      <c r="A739" s="207" t="str">
        <f>RIGHT($C$83,3)&amp;"*"&amp;RIGHT($C$82,4)&amp;"*"&amp;H$55&amp;"*"&amp;"A"</f>
        <v>142*2019*6140*A</v>
      </c>
      <c r="B739" s="270">
        <f>ROUND(H59,0)</f>
        <v>0</v>
      </c>
      <c r="C739" s="272">
        <f>ROUND(H60,2)</f>
        <v>0</v>
      </c>
      <c r="D739" s="270">
        <f>ROUND(H61,0)</f>
        <v>0</v>
      </c>
      <c r="E739" s="270">
        <f>ROUND(H62,0)</f>
        <v>0</v>
      </c>
      <c r="F739" s="270">
        <f>ROUND(H63,0)</f>
        <v>0</v>
      </c>
      <c r="G739" s="270">
        <f>ROUND(H64,0)</f>
        <v>0</v>
      </c>
      <c r="H739" s="270">
        <f>ROUND(H65,0)</f>
        <v>341</v>
      </c>
      <c r="I739" s="270">
        <f>ROUND(H66,0)</f>
        <v>0</v>
      </c>
      <c r="J739" s="270">
        <f>ROUND(H67,0)</f>
        <v>0</v>
      </c>
      <c r="K739" s="270">
        <f>ROUND(H68,0)</f>
        <v>423</v>
      </c>
      <c r="L739" s="270">
        <f>ROUND(H69,0)</f>
        <v>0</v>
      </c>
      <c r="M739" s="270">
        <f>ROUND(H70,0)</f>
        <v>0</v>
      </c>
      <c r="N739" s="270">
        <f>ROUND(H75,0)</f>
        <v>0</v>
      </c>
      <c r="O739" s="270">
        <f>ROUND(H73,0)</f>
        <v>0</v>
      </c>
      <c r="P739" s="270">
        <f>IF(H76&gt;0,ROUND(H76,0),0)</f>
        <v>0</v>
      </c>
      <c r="Q739" s="270">
        <f>IF(H77&gt;0,ROUND(H77,0),0)</f>
        <v>0</v>
      </c>
      <c r="R739" s="270">
        <f>IF(H78&gt;0,ROUND(H78,0),0)</f>
        <v>0</v>
      </c>
      <c r="S739" s="270">
        <f>IF(H79&gt;0,ROUND(H79,0),0)</f>
        <v>0</v>
      </c>
      <c r="T739" s="272">
        <f>IF(H80&gt;0,ROUND(H80,2),0)</f>
        <v>0</v>
      </c>
      <c r="U739" s="270"/>
      <c r="V739" s="271"/>
      <c r="W739" s="270"/>
      <c r="X739" s="270"/>
      <c r="Y739" s="270">
        <f t="shared" si="22"/>
        <v>66</v>
      </c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  <c r="CA739" s="271"/>
      <c r="CB739" s="271"/>
      <c r="CC739" s="271"/>
      <c r="CD739" s="271"/>
      <c r="CE739" s="271"/>
    </row>
    <row r="740" spans="1:83" ht="12.6" customHeight="1" x14ac:dyDescent="0.2">
      <c r="A740" s="207" t="str">
        <f>RIGHT($C$83,3)&amp;"*"&amp;RIGHT($C$82,4)&amp;"*"&amp;I$55&amp;"*"&amp;"A"</f>
        <v>142*2019*6150*A</v>
      </c>
      <c r="B740" s="270">
        <f>ROUND(I59,0)</f>
        <v>0</v>
      </c>
      <c r="C740" s="272">
        <f>ROUND(I60,2)</f>
        <v>0</v>
      </c>
      <c r="D740" s="270">
        <f>ROUND(I61,0)</f>
        <v>0</v>
      </c>
      <c r="E740" s="270">
        <f>ROUND(I62,0)</f>
        <v>0</v>
      </c>
      <c r="F740" s="270">
        <f>ROUND(I63,0)</f>
        <v>0</v>
      </c>
      <c r="G740" s="270">
        <f>ROUND(I64,0)</f>
        <v>0</v>
      </c>
      <c r="H740" s="270">
        <f>ROUND(I65,0)</f>
        <v>0</v>
      </c>
      <c r="I740" s="270">
        <f>ROUND(I66,0)</f>
        <v>0</v>
      </c>
      <c r="J740" s="270">
        <f>ROUND(I67,0)</f>
        <v>0</v>
      </c>
      <c r="K740" s="270">
        <f>ROUND(I68,0)</f>
        <v>0</v>
      </c>
      <c r="L740" s="270">
        <f>ROUND(I69,0)</f>
        <v>0</v>
      </c>
      <c r="M740" s="270">
        <f>ROUND(I70,0)</f>
        <v>0</v>
      </c>
      <c r="N740" s="270">
        <f>ROUND(I75,0)</f>
        <v>0</v>
      </c>
      <c r="O740" s="270">
        <f>ROUND(I73,0)</f>
        <v>0</v>
      </c>
      <c r="P740" s="270">
        <f>IF(I76&gt;0,ROUND(I76,0),0)</f>
        <v>0</v>
      </c>
      <c r="Q740" s="270">
        <f>IF(I77&gt;0,ROUND(I77,0),0)</f>
        <v>0</v>
      </c>
      <c r="R740" s="270">
        <f>IF(I78&gt;0,ROUND(I78,0),0)</f>
        <v>0</v>
      </c>
      <c r="S740" s="270">
        <f>IF(I79&gt;0,ROUND(I79,0),0)</f>
        <v>0</v>
      </c>
      <c r="T740" s="272">
        <f>IF(I80&gt;0,ROUND(I80,2),0)</f>
        <v>0</v>
      </c>
      <c r="U740" s="270"/>
      <c r="V740" s="271"/>
      <c r="W740" s="270"/>
      <c r="X740" s="270"/>
      <c r="Y740" s="270">
        <f t="shared" si="22"/>
        <v>0</v>
      </c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  <c r="CA740" s="271"/>
      <c r="CB740" s="271"/>
      <c r="CC740" s="271"/>
      <c r="CD740" s="271"/>
      <c r="CE740" s="271"/>
    </row>
    <row r="741" spans="1:83" ht="12.6" customHeight="1" x14ac:dyDescent="0.2">
      <c r="A741" s="207" t="str">
        <f>RIGHT($C$83,3)&amp;"*"&amp;RIGHT($C$82,4)&amp;"*"&amp;J$55&amp;"*"&amp;"A"</f>
        <v>142*2019*6170*A</v>
      </c>
      <c r="B741" s="270">
        <f>ROUND(J59,0)</f>
        <v>3964</v>
      </c>
      <c r="C741" s="272">
        <f>ROUND(J60,2)</f>
        <v>72.58</v>
      </c>
      <c r="D741" s="270">
        <f>ROUND(J61,0)</f>
        <v>7498847</v>
      </c>
      <c r="E741" s="270">
        <f>ROUND(J62,0)</f>
        <v>1563232</v>
      </c>
      <c r="F741" s="270">
        <f>ROUND(J63,0)</f>
        <v>1519079</v>
      </c>
      <c r="G741" s="270">
        <f>ROUND(J64,0)</f>
        <v>794573</v>
      </c>
      <c r="H741" s="270">
        <f>ROUND(J65,0)</f>
        <v>2094</v>
      </c>
      <c r="I741" s="270">
        <f>ROUND(J66,0)</f>
        <v>1105060</v>
      </c>
      <c r="J741" s="270">
        <f>ROUND(J67,0)</f>
        <v>1047516</v>
      </c>
      <c r="K741" s="270">
        <f>ROUND(J68,0)</f>
        <v>11076</v>
      </c>
      <c r="L741" s="270">
        <f>ROUND(J69,0)</f>
        <v>30531</v>
      </c>
      <c r="M741" s="270">
        <f>ROUND(J70,0)</f>
        <v>7584</v>
      </c>
      <c r="N741" s="270">
        <f>ROUND(J75,0)</f>
        <v>64869803</v>
      </c>
      <c r="O741" s="270">
        <f>ROUND(J73,0)</f>
        <v>60571495</v>
      </c>
      <c r="P741" s="270">
        <f>IF(J76&gt;0,ROUND(J76,0),0)</f>
        <v>16041</v>
      </c>
      <c r="Q741" s="270">
        <f>IF(J77&gt;0,ROUND(J77,0),0)</f>
        <v>11330</v>
      </c>
      <c r="R741" s="270">
        <f>IF(J78&gt;0,ROUND(J78,0),0)</f>
        <v>4583</v>
      </c>
      <c r="S741" s="270">
        <f>IF(J79&gt;0,ROUND(J79,0),0)</f>
        <v>83794</v>
      </c>
      <c r="T741" s="272">
        <f>IF(J80&gt;0,ROUND(J80,2),0)</f>
        <v>53.46</v>
      </c>
      <c r="U741" s="270"/>
      <c r="V741" s="271"/>
      <c r="W741" s="270"/>
      <c r="X741" s="270"/>
      <c r="Y741" s="270">
        <f t="shared" si="22"/>
        <v>5166792</v>
      </c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  <c r="CA741" s="271"/>
      <c r="CB741" s="271"/>
      <c r="CC741" s="271"/>
      <c r="CD741" s="271"/>
      <c r="CE741" s="271"/>
    </row>
    <row r="742" spans="1:83" ht="12.6" customHeight="1" x14ac:dyDescent="0.2">
      <c r="A742" s="207" t="str">
        <f>RIGHT($C$83,3)&amp;"*"&amp;RIGHT($C$82,4)&amp;"*"&amp;K$55&amp;"*"&amp;"A"</f>
        <v>142*2019*6200*A</v>
      </c>
      <c r="B742" s="270">
        <f>ROUND(K59,0)</f>
        <v>0</v>
      </c>
      <c r="C742" s="272">
        <f>ROUND(K60,2)</f>
        <v>0</v>
      </c>
      <c r="D742" s="270">
        <f>ROUND(K61,0)</f>
        <v>0</v>
      </c>
      <c r="E742" s="270">
        <f>ROUND(K62,0)</f>
        <v>0</v>
      </c>
      <c r="F742" s="270">
        <f>ROUND(K63,0)</f>
        <v>0</v>
      </c>
      <c r="G742" s="270">
        <f>ROUND(K64,0)</f>
        <v>0</v>
      </c>
      <c r="H742" s="270">
        <f>ROUND(K65,0)</f>
        <v>0</v>
      </c>
      <c r="I742" s="270">
        <f>ROUND(K66,0)</f>
        <v>0</v>
      </c>
      <c r="J742" s="270">
        <f>ROUND(K67,0)</f>
        <v>0</v>
      </c>
      <c r="K742" s="270">
        <f>ROUND(K68,0)</f>
        <v>0</v>
      </c>
      <c r="L742" s="270">
        <f>ROUND(K69,0)</f>
        <v>0</v>
      </c>
      <c r="M742" s="270">
        <f>ROUND(K70,0)</f>
        <v>0</v>
      </c>
      <c r="N742" s="270">
        <f>ROUND(K75,0)</f>
        <v>0</v>
      </c>
      <c r="O742" s="270">
        <f>ROUND(K73,0)</f>
        <v>0</v>
      </c>
      <c r="P742" s="270">
        <f>IF(K76&gt;0,ROUND(K76,0),0)</f>
        <v>0</v>
      </c>
      <c r="Q742" s="270">
        <f>IF(K77&gt;0,ROUND(K77,0),0)</f>
        <v>0</v>
      </c>
      <c r="R742" s="270">
        <f>IF(K78&gt;0,ROUND(K78,0),0)</f>
        <v>0</v>
      </c>
      <c r="S742" s="270">
        <f>IF(K79&gt;0,ROUND(K79,0),0)</f>
        <v>0</v>
      </c>
      <c r="T742" s="272">
        <f>IF(K80&gt;0,ROUND(K80,2),0)</f>
        <v>0</v>
      </c>
      <c r="U742" s="270"/>
      <c r="V742" s="271"/>
      <c r="W742" s="270"/>
      <c r="X742" s="270"/>
      <c r="Y742" s="270">
        <f t="shared" si="22"/>
        <v>0</v>
      </c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  <c r="CA742" s="271"/>
      <c r="CB742" s="271"/>
      <c r="CC742" s="271"/>
      <c r="CD742" s="271"/>
      <c r="CE742" s="271"/>
    </row>
    <row r="743" spans="1:83" ht="12.6" customHeight="1" x14ac:dyDescent="0.2">
      <c r="A743" s="207" t="str">
        <f>RIGHT($C$83,3)&amp;"*"&amp;RIGHT($C$82,4)&amp;"*"&amp;L$55&amp;"*"&amp;"A"</f>
        <v>142*2019*6210*A</v>
      </c>
      <c r="B743" s="270">
        <f>ROUND(L59,0)</f>
        <v>0</v>
      </c>
      <c r="C743" s="272">
        <f>ROUND(L60,2)</f>
        <v>0</v>
      </c>
      <c r="D743" s="270">
        <f>ROUND(L61,0)</f>
        <v>0</v>
      </c>
      <c r="E743" s="270">
        <f>ROUND(L62,0)</f>
        <v>0</v>
      </c>
      <c r="F743" s="270">
        <f>ROUND(L63,0)</f>
        <v>0</v>
      </c>
      <c r="G743" s="270">
        <f>ROUND(L64,0)</f>
        <v>0</v>
      </c>
      <c r="H743" s="270">
        <f>ROUND(L65,0)</f>
        <v>0</v>
      </c>
      <c r="I743" s="270">
        <f>ROUND(L66,0)</f>
        <v>0</v>
      </c>
      <c r="J743" s="270">
        <f>ROUND(L67,0)</f>
        <v>0</v>
      </c>
      <c r="K743" s="270">
        <f>ROUND(L68,0)</f>
        <v>0</v>
      </c>
      <c r="L743" s="270">
        <f>ROUND(L69,0)</f>
        <v>0</v>
      </c>
      <c r="M743" s="270">
        <f>ROUND(L70,0)</f>
        <v>0</v>
      </c>
      <c r="N743" s="270">
        <f>ROUND(L75,0)</f>
        <v>0</v>
      </c>
      <c r="O743" s="270">
        <f>ROUND(L73,0)</f>
        <v>0</v>
      </c>
      <c r="P743" s="270">
        <f>IF(L76&gt;0,ROUND(L76,0),0)</f>
        <v>0</v>
      </c>
      <c r="Q743" s="270">
        <f>IF(L77&gt;0,ROUND(L77,0),0)</f>
        <v>0</v>
      </c>
      <c r="R743" s="270">
        <f>IF(L78&gt;0,ROUND(L78,0),0)</f>
        <v>0</v>
      </c>
      <c r="S743" s="270">
        <f>IF(L79&gt;0,ROUND(L79,0),0)</f>
        <v>0</v>
      </c>
      <c r="T743" s="272">
        <f>IF(L80&gt;0,ROUND(L80,2),0)</f>
        <v>0</v>
      </c>
      <c r="U743" s="270"/>
      <c r="V743" s="271"/>
      <c r="W743" s="270"/>
      <c r="X743" s="270"/>
      <c r="Y743" s="270">
        <f t="shared" si="22"/>
        <v>0</v>
      </c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  <c r="CA743" s="271"/>
      <c r="CB743" s="271"/>
      <c r="CC743" s="271"/>
      <c r="CD743" s="271"/>
      <c r="CE743" s="271"/>
    </row>
    <row r="744" spans="1:83" ht="12.6" customHeight="1" x14ac:dyDescent="0.2">
      <c r="A744" s="207" t="str">
        <f>RIGHT($C$83,3)&amp;"*"&amp;RIGHT($C$82,4)&amp;"*"&amp;M$55&amp;"*"&amp;"A"</f>
        <v>142*2019*6330*A</v>
      </c>
      <c r="B744" s="270">
        <f>ROUND(M59,0)</f>
        <v>0</v>
      </c>
      <c r="C744" s="272">
        <f>ROUND(M60,2)</f>
        <v>0</v>
      </c>
      <c r="D744" s="270">
        <f>ROUND(M61,0)</f>
        <v>0</v>
      </c>
      <c r="E744" s="270">
        <f>ROUND(M62,0)</f>
        <v>0</v>
      </c>
      <c r="F744" s="270">
        <f>ROUND(M63,0)</f>
        <v>0</v>
      </c>
      <c r="G744" s="270">
        <f>ROUND(M64,0)</f>
        <v>0</v>
      </c>
      <c r="H744" s="270">
        <f>ROUND(M65,0)</f>
        <v>0</v>
      </c>
      <c r="I744" s="270">
        <f>ROUND(M66,0)</f>
        <v>0</v>
      </c>
      <c r="J744" s="270">
        <f>ROUND(M67,0)</f>
        <v>0</v>
      </c>
      <c r="K744" s="270">
        <f>ROUND(M68,0)</f>
        <v>0</v>
      </c>
      <c r="L744" s="270">
        <f>ROUND(M69,0)</f>
        <v>0</v>
      </c>
      <c r="M744" s="270">
        <f>ROUND(M70,0)</f>
        <v>0</v>
      </c>
      <c r="N744" s="270">
        <f>ROUND(M75,0)</f>
        <v>0</v>
      </c>
      <c r="O744" s="270">
        <f>ROUND(M73,0)</f>
        <v>0</v>
      </c>
      <c r="P744" s="270">
        <f>IF(M76&gt;0,ROUND(M76,0),0)</f>
        <v>0</v>
      </c>
      <c r="Q744" s="270">
        <f>IF(M77&gt;0,ROUND(M77,0),0)</f>
        <v>0</v>
      </c>
      <c r="R744" s="270">
        <f>IF(M78&gt;0,ROUND(M78,0),0)</f>
        <v>0</v>
      </c>
      <c r="S744" s="270">
        <f>IF(M79&gt;0,ROUND(M79,0),0)</f>
        <v>0</v>
      </c>
      <c r="T744" s="272">
        <f>IF(M80&gt;0,ROUND(M80,2),0)</f>
        <v>0</v>
      </c>
      <c r="U744" s="270"/>
      <c r="V744" s="271"/>
      <c r="W744" s="270"/>
      <c r="X744" s="270"/>
      <c r="Y744" s="270">
        <f t="shared" si="22"/>
        <v>0</v>
      </c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  <c r="CA744" s="271"/>
      <c r="CB744" s="271"/>
      <c r="CC744" s="271"/>
      <c r="CD744" s="271"/>
      <c r="CE744" s="271"/>
    </row>
    <row r="745" spans="1:83" ht="12.6" customHeight="1" x14ac:dyDescent="0.2">
      <c r="A745" s="207" t="str">
        <f>RIGHT($C$83,3)&amp;"*"&amp;RIGHT($C$82,4)&amp;"*"&amp;N$55&amp;"*"&amp;"A"</f>
        <v>142*2019*6400*A</v>
      </c>
      <c r="B745" s="270">
        <f>ROUND(N59,0)</f>
        <v>0</v>
      </c>
      <c r="C745" s="272">
        <f>ROUND(N60,2)</f>
        <v>0</v>
      </c>
      <c r="D745" s="270">
        <f>ROUND(N61,0)</f>
        <v>0</v>
      </c>
      <c r="E745" s="270">
        <f>ROUND(N62,0)</f>
        <v>0</v>
      </c>
      <c r="F745" s="270">
        <f>ROUND(N63,0)</f>
        <v>0</v>
      </c>
      <c r="G745" s="270">
        <f>ROUND(N64,0)</f>
        <v>0</v>
      </c>
      <c r="H745" s="270">
        <f>ROUND(N65,0)</f>
        <v>0</v>
      </c>
      <c r="I745" s="270">
        <f>ROUND(N66,0)</f>
        <v>0</v>
      </c>
      <c r="J745" s="270">
        <f>ROUND(N67,0)</f>
        <v>0</v>
      </c>
      <c r="K745" s="270">
        <f>ROUND(N68,0)</f>
        <v>0</v>
      </c>
      <c r="L745" s="270">
        <f>ROUND(N69,0)</f>
        <v>0</v>
      </c>
      <c r="M745" s="270">
        <f>ROUND(N70,0)</f>
        <v>0</v>
      </c>
      <c r="N745" s="270">
        <f>ROUND(N75,0)</f>
        <v>0</v>
      </c>
      <c r="O745" s="270">
        <f>ROUND(N73,0)</f>
        <v>0</v>
      </c>
      <c r="P745" s="270">
        <f>IF(N76&gt;0,ROUND(N76,0),0)</f>
        <v>0</v>
      </c>
      <c r="Q745" s="270">
        <f>IF(N77&gt;0,ROUND(N77,0),0)</f>
        <v>0</v>
      </c>
      <c r="R745" s="270">
        <f>IF(N78&gt;0,ROUND(N78,0),0)</f>
        <v>0</v>
      </c>
      <c r="S745" s="270">
        <f>IF(N79&gt;0,ROUND(N79,0),0)</f>
        <v>0</v>
      </c>
      <c r="T745" s="272">
        <f>IF(N80&gt;0,ROUND(N80,2),0)</f>
        <v>0</v>
      </c>
      <c r="U745" s="270"/>
      <c r="V745" s="271"/>
      <c r="W745" s="270"/>
      <c r="X745" s="270"/>
      <c r="Y745" s="270">
        <f t="shared" si="22"/>
        <v>0</v>
      </c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  <c r="CA745" s="271"/>
      <c r="CB745" s="271"/>
      <c r="CC745" s="271"/>
      <c r="CD745" s="271"/>
      <c r="CE745" s="271"/>
    </row>
    <row r="746" spans="1:83" ht="12.6" customHeight="1" x14ac:dyDescent="0.2">
      <c r="A746" s="207" t="str">
        <f>RIGHT($C$83,3)&amp;"*"&amp;RIGHT($C$82,4)&amp;"*"&amp;O$55&amp;"*"&amp;"A"</f>
        <v>142*2019*7010*A</v>
      </c>
      <c r="B746" s="270">
        <f>ROUND(O59,0)</f>
        <v>0</v>
      </c>
      <c r="C746" s="272">
        <f>ROUND(O60,2)</f>
        <v>0</v>
      </c>
      <c r="D746" s="270">
        <f>ROUND(O61,0)</f>
        <v>0</v>
      </c>
      <c r="E746" s="270">
        <f>ROUND(O62,0)</f>
        <v>0</v>
      </c>
      <c r="F746" s="270">
        <f>ROUND(O63,0)</f>
        <v>0</v>
      </c>
      <c r="G746" s="270">
        <f>ROUND(O64,0)</f>
        <v>0</v>
      </c>
      <c r="H746" s="270">
        <f>ROUND(O65,0)</f>
        <v>0</v>
      </c>
      <c r="I746" s="270">
        <f>ROUND(O66,0)</f>
        <v>0</v>
      </c>
      <c r="J746" s="270">
        <f>ROUND(O67,0)</f>
        <v>0</v>
      </c>
      <c r="K746" s="270">
        <f>ROUND(O68,0)</f>
        <v>0</v>
      </c>
      <c r="L746" s="270">
        <f>ROUND(O69,0)</f>
        <v>0</v>
      </c>
      <c r="M746" s="270">
        <f>ROUND(O70,0)</f>
        <v>0</v>
      </c>
      <c r="N746" s="270">
        <f>ROUND(O75,0)</f>
        <v>0</v>
      </c>
      <c r="O746" s="270">
        <f>ROUND(O73,0)</f>
        <v>0</v>
      </c>
      <c r="P746" s="270">
        <f>IF(O76&gt;0,ROUND(O76,0),0)</f>
        <v>0</v>
      </c>
      <c r="Q746" s="270">
        <f>IF(O77&gt;0,ROUND(O77,0),0)</f>
        <v>0</v>
      </c>
      <c r="R746" s="270">
        <f>IF(O78&gt;0,ROUND(O78,0),0)</f>
        <v>0</v>
      </c>
      <c r="S746" s="270">
        <f>IF(O79&gt;0,ROUND(O79,0),0)</f>
        <v>0</v>
      </c>
      <c r="T746" s="272">
        <f>IF(O80&gt;0,ROUND(O80,2),0)</f>
        <v>0</v>
      </c>
      <c r="U746" s="270"/>
      <c r="V746" s="271"/>
      <c r="W746" s="270"/>
      <c r="X746" s="270"/>
      <c r="Y746" s="270">
        <f t="shared" si="22"/>
        <v>0</v>
      </c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  <c r="CA746" s="271"/>
      <c r="CB746" s="271"/>
      <c r="CC746" s="271"/>
      <c r="CD746" s="271"/>
      <c r="CE746" s="271"/>
    </row>
    <row r="747" spans="1:83" ht="12.6" customHeight="1" x14ac:dyDescent="0.2">
      <c r="A747" s="207" t="str">
        <f>RIGHT($C$83,3)&amp;"*"&amp;RIGHT($C$82,4)&amp;"*"&amp;P$55&amp;"*"&amp;"A"</f>
        <v>142*2019*7020*A</v>
      </c>
      <c r="B747" s="270">
        <f>ROUND(P59,0)</f>
        <v>1103372</v>
      </c>
      <c r="C747" s="272">
        <f>ROUND(P60,2)</f>
        <v>99.33</v>
      </c>
      <c r="D747" s="270">
        <f>ROUND(P61,0)</f>
        <v>9848227</v>
      </c>
      <c r="E747" s="270">
        <f>ROUND(P62,0)</f>
        <v>2079344</v>
      </c>
      <c r="F747" s="270">
        <f>ROUND(P63,0)</f>
        <v>3632367</v>
      </c>
      <c r="G747" s="270">
        <f>ROUND(P64,0)</f>
        <v>21822590</v>
      </c>
      <c r="H747" s="270">
        <f>ROUND(P65,0)</f>
        <v>3857</v>
      </c>
      <c r="I747" s="270">
        <f>ROUND(P66,0)</f>
        <v>1832525</v>
      </c>
      <c r="J747" s="270">
        <f>ROUND(P67,0)</f>
        <v>7538626</v>
      </c>
      <c r="K747" s="270">
        <f>ROUND(P68,0)</f>
        <v>1373297</v>
      </c>
      <c r="L747" s="270">
        <f>ROUND(P69,0)</f>
        <v>92682</v>
      </c>
      <c r="M747" s="270">
        <f>ROUND(P70,0)</f>
        <v>364</v>
      </c>
      <c r="N747" s="270">
        <f>ROUND(P75,0)</f>
        <v>431877838</v>
      </c>
      <c r="O747" s="270">
        <f>ROUND(P73,0)</f>
        <v>222754046</v>
      </c>
      <c r="P747" s="270">
        <f>IF(P76&gt;0,ROUND(P76,0),0)</f>
        <v>58788</v>
      </c>
      <c r="Q747" s="270">
        <f>IF(P77&gt;0,ROUND(P77,0),0)</f>
        <v>0</v>
      </c>
      <c r="R747" s="270">
        <f>IF(P78&gt;0,ROUND(P78,0),0)</f>
        <v>16796</v>
      </c>
      <c r="S747" s="270">
        <f>IF(P79&gt;0,ROUND(P79,0),0)</f>
        <v>374075</v>
      </c>
      <c r="T747" s="272">
        <f>IF(P80&gt;0,ROUND(P80,2),0)</f>
        <v>43.04</v>
      </c>
      <c r="U747" s="270"/>
      <c r="V747" s="271"/>
      <c r="W747" s="270"/>
      <c r="X747" s="270"/>
      <c r="Y747" s="270">
        <f t="shared" si="22"/>
        <v>17999317</v>
      </c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  <c r="CA747" s="271"/>
      <c r="CB747" s="271"/>
      <c r="CC747" s="271"/>
      <c r="CD747" s="271"/>
      <c r="CE747" s="271"/>
    </row>
    <row r="748" spans="1:83" ht="12.6" customHeight="1" x14ac:dyDescent="0.2">
      <c r="A748" s="207" t="str">
        <f>RIGHT($C$83,3)&amp;"*"&amp;RIGHT($C$82,4)&amp;"*"&amp;Q$55&amp;"*"&amp;"A"</f>
        <v>142*2019*7030*A</v>
      </c>
      <c r="B748" s="270">
        <f>ROUND(Q59,0)</f>
        <v>34537</v>
      </c>
      <c r="C748" s="272">
        <f>ROUND(Q60,2)</f>
        <v>45.53</v>
      </c>
      <c r="D748" s="270">
        <f>ROUND(Q61,0)</f>
        <v>4619032</v>
      </c>
      <c r="E748" s="270">
        <f>ROUND(Q62,0)</f>
        <v>1006432</v>
      </c>
      <c r="F748" s="270">
        <f>ROUND(Q63,0)</f>
        <v>0</v>
      </c>
      <c r="G748" s="270">
        <f>ROUND(Q64,0)</f>
        <v>481725</v>
      </c>
      <c r="H748" s="270">
        <f>ROUND(Q65,0)</f>
        <v>1612</v>
      </c>
      <c r="I748" s="270">
        <f>ROUND(Q66,0)</f>
        <v>28503</v>
      </c>
      <c r="J748" s="270">
        <f>ROUND(Q67,0)</f>
        <v>449165</v>
      </c>
      <c r="K748" s="270">
        <f>ROUND(Q68,0)</f>
        <v>3117</v>
      </c>
      <c r="L748" s="270">
        <f>ROUND(Q69,0)</f>
        <v>14971</v>
      </c>
      <c r="M748" s="270">
        <f>ROUND(Q70,0)</f>
        <v>0</v>
      </c>
      <c r="N748" s="270">
        <f>ROUND(Q75,0)</f>
        <v>51833537</v>
      </c>
      <c r="O748" s="270">
        <f>ROUND(Q73,0)</f>
        <v>15435531</v>
      </c>
      <c r="P748" s="270">
        <f>IF(Q76&gt;0,ROUND(Q76,0),0)</f>
        <v>8627</v>
      </c>
      <c r="Q748" s="270">
        <f>IF(Q77&gt;0,ROUND(Q77,0),0)</f>
        <v>0</v>
      </c>
      <c r="R748" s="270">
        <f>IF(Q78&gt;0,ROUND(Q78,0),0)</f>
        <v>2465</v>
      </c>
      <c r="S748" s="270">
        <f>IF(Q79&gt;0,ROUND(Q79,0),0)</f>
        <v>0</v>
      </c>
      <c r="T748" s="272">
        <f>IF(Q80&gt;0,ROUND(Q80,2),0)</f>
        <v>31.2</v>
      </c>
      <c r="U748" s="270"/>
      <c r="V748" s="271"/>
      <c r="W748" s="270"/>
      <c r="X748" s="270"/>
      <c r="Y748" s="270">
        <f t="shared" si="22"/>
        <v>2729431</v>
      </c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  <c r="CA748" s="271"/>
      <c r="CB748" s="271"/>
      <c r="CC748" s="271"/>
      <c r="CD748" s="271"/>
      <c r="CE748" s="271"/>
    </row>
    <row r="749" spans="1:83" ht="12.6" customHeight="1" x14ac:dyDescent="0.2">
      <c r="A749" s="207" t="str">
        <f>RIGHT($C$83,3)&amp;"*"&amp;RIGHT($C$82,4)&amp;"*"&amp;R$55&amp;"*"&amp;"A"</f>
        <v>142*2019*7040*A</v>
      </c>
      <c r="B749" s="270">
        <f>ROUND(R59,0)</f>
        <v>642960</v>
      </c>
      <c r="C749" s="272">
        <f>ROUND(R60,2)</f>
        <v>4.12</v>
      </c>
      <c r="D749" s="270">
        <f>ROUND(R61,0)</f>
        <v>294444</v>
      </c>
      <c r="E749" s="270">
        <f>ROUND(R62,0)</f>
        <v>78285</v>
      </c>
      <c r="F749" s="270">
        <f>ROUND(R63,0)</f>
        <v>409954</v>
      </c>
      <c r="G749" s="270">
        <f>ROUND(R64,0)</f>
        <v>401213</v>
      </c>
      <c r="H749" s="270">
        <f>ROUND(R65,0)</f>
        <v>0</v>
      </c>
      <c r="I749" s="270">
        <f>ROUND(R66,0)</f>
        <v>382331</v>
      </c>
      <c r="J749" s="270">
        <f>ROUND(R67,0)</f>
        <v>5913</v>
      </c>
      <c r="K749" s="270">
        <f>ROUND(R68,0)</f>
        <v>4941</v>
      </c>
      <c r="L749" s="270">
        <f>ROUND(R69,0)</f>
        <v>0</v>
      </c>
      <c r="M749" s="270">
        <f>ROUND(R70,0)</f>
        <v>0</v>
      </c>
      <c r="N749" s="270">
        <f>ROUND(R75,0)</f>
        <v>22395174</v>
      </c>
      <c r="O749" s="270">
        <f>ROUND(R73,0)</f>
        <v>8055700</v>
      </c>
      <c r="P749" s="270">
        <f>IF(R76&gt;0,ROUND(R76,0),0)</f>
        <v>116</v>
      </c>
      <c r="Q749" s="270">
        <f>IF(R77&gt;0,ROUND(R77,0),0)</f>
        <v>0</v>
      </c>
      <c r="R749" s="270">
        <f>IF(R78&gt;0,ROUND(R78,0),0)</f>
        <v>33</v>
      </c>
      <c r="S749" s="270">
        <f>IF(R79&gt;0,ROUND(R79,0),0)</f>
        <v>0</v>
      </c>
      <c r="T749" s="272">
        <f>IF(R80&gt;0,ROUND(R80,2),0)</f>
        <v>3.7</v>
      </c>
      <c r="U749" s="270"/>
      <c r="V749" s="271"/>
      <c r="W749" s="270"/>
      <c r="X749" s="270"/>
      <c r="Y749" s="270">
        <f t="shared" si="22"/>
        <v>532231</v>
      </c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  <c r="CA749" s="271"/>
      <c r="CB749" s="271"/>
      <c r="CC749" s="271"/>
      <c r="CD749" s="271"/>
      <c r="CE749" s="271"/>
    </row>
    <row r="750" spans="1:83" ht="12.6" customHeight="1" x14ac:dyDescent="0.2">
      <c r="A750" s="207" t="str">
        <f>RIGHT($C$83,3)&amp;"*"&amp;RIGHT($C$82,4)&amp;"*"&amp;S$55&amp;"*"&amp;"A"</f>
        <v>142*2019*7050*A</v>
      </c>
      <c r="B750" s="270"/>
      <c r="C750" s="272">
        <f>ROUND(S60,2)</f>
        <v>36.92</v>
      </c>
      <c r="D750" s="270">
        <f>ROUND(S61,0)</f>
        <v>2073166</v>
      </c>
      <c r="E750" s="270">
        <f>ROUND(S62,0)</f>
        <v>629081</v>
      </c>
      <c r="F750" s="270">
        <f>ROUND(S63,0)</f>
        <v>0</v>
      </c>
      <c r="G750" s="270">
        <f>ROUND(S64,0)</f>
        <v>-857551</v>
      </c>
      <c r="H750" s="270">
        <f>ROUND(S65,0)</f>
        <v>0</v>
      </c>
      <c r="I750" s="270">
        <f>ROUND(S66,0)</f>
        <v>700136</v>
      </c>
      <c r="J750" s="270">
        <f>ROUND(S67,0)</f>
        <v>635402</v>
      </c>
      <c r="K750" s="270">
        <f>ROUND(S68,0)</f>
        <v>46599</v>
      </c>
      <c r="L750" s="270">
        <f>ROUND(S69,0)</f>
        <v>91368</v>
      </c>
      <c r="M750" s="270">
        <f>ROUND(S70,0)</f>
        <v>0</v>
      </c>
      <c r="N750" s="270">
        <f>ROUND(S75,0)</f>
        <v>0</v>
      </c>
      <c r="O750" s="270">
        <f>ROUND(S73,0)</f>
        <v>0</v>
      </c>
      <c r="P750" s="270">
        <f>IF(S76&gt;0,ROUND(S76,0),0)</f>
        <v>8419</v>
      </c>
      <c r="Q750" s="270">
        <f>IF(S77&gt;0,ROUND(S77,0),0)</f>
        <v>0</v>
      </c>
      <c r="R750" s="270">
        <f>IF(S78&gt;0,ROUND(S78,0),0)</f>
        <v>2405</v>
      </c>
      <c r="S750" s="270">
        <f>IF(S79&gt;0,ROUND(S79,0),0)</f>
        <v>0</v>
      </c>
      <c r="T750" s="272">
        <f>IF(S80&gt;0,ROUND(S80,2),0)</f>
        <v>0</v>
      </c>
      <c r="U750" s="270"/>
      <c r="V750" s="271"/>
      <c r="W750" s="270"/>
      <c r="X750" s="270"/>
      <c r="Y750" s="270">
        <f t="shared" si="22"/>
        <v>1115086</v>
      </c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  <c r="CA750" s="271"/>
      <c r="CB750" s="271"/>
      <c r="CC750" s="271"/>
      <c r="CD750" s="271"/>
      <c r="CE750" s="271"/>
    </row>
    <row r="751" spans="1:83" ht="12.6" customHeight="1" x14ac:dyDescent="0.2">
      <c r="A751" s="207" t="str">
        <f>RIGHT($C$83,3)&amp;"*"&amp;RIGHT($C$82,4)&amp;"*"&amp;T$55&amp;"*"&amp;"A"</f>
        <v>142*2019*7060*A</v>
      </c>
      <c r="B751" s="270"/>
      <c r="C751" s="272">
        <f>ROUND(T60,2)</f>
        <v>0</v>
      </c>
      <c r="D751" s="270">
        <f>ROUND(T61,0)</f>
        <v>0</v>
      </c>
      <c r="E751" s="270">
        <f>ROUND(T62,0)</f>
        <v>0</v>
      </c>
      <c r="F751" s="270">
        <f>ROUND(T63,0)</f>
        <v>0</v>
      </c>
      <c r="G751" s="270">
        <f>ROUND(T64,0)</f>
        <v>0</v>
      </c>
      <c r="H751" s="270">
        <f>ROUND(T65,0)</f>
        <v>0</v>
      </c>
      <c r="I751" s="270">
        <f>ROUND(T66,0)</f>
        <v>0</v>
      </c>
      <c r="J751" s="270">
        <f>ROUND(T67,0)</f>
        <v>0</v>
      </c>
      <c r="K751" s="270">
        <f>ROUND(T68,0)</f>
        <v>0</v>
      </c>
      <c r="L751" s="270">
        <f>ROUND(T69,0)</f>
        <v>0</v>
      </c>
      <c r="M751" s="270">
        <f>ROUND(T70,0)</f>
        <v>0</v>
      </c>
      <c r="N751" s="270">
        <f>ROUND(T75,0)</f>
        <v>0</v>
      </c>
      <c r="O751" s="270">
        <f>ROUND(T73,0)</f>
        <v>0</v>
      </c>
      <c r="P751" s="270">
        <f>IF(T76&gt;0,ROUND(T76,0),0)</f>
        <v>0</v>
      </c>
      <c r="Q751" s="270">
        <f>IF(T77&gt;0,ROUND(T77,0),0)</f>
        <v>0</v>
      </c>
      <c r="R751" s="270">
        <f>IF(T78&gt;0,ROUND(T78,0),0)</f>
        <v>0</v>
      </c>
      <c r="S751" s="270">
        <f>IF(T79&gt;0,ROUND(T79,0),0)</f>
        <v>0</v>
      </c>
      <c r="T751" s="272">
        <f>IF(T80&gt;0,ROUND(T80,2),0)</f>
        <v>0</v>
      </c>
      <c r="U751" s="270"/>
      <c r="V751" s="271"/>
      <c r="W751" s="270"/>
      <c r="X751" s="270"/>
      <c r="Y751" s="270">
        <f t="shared" si="22"/>
        <v>0</v>
      </c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  <c r="CA751" s="271"/>
      <c r="CB751" s="271"/>
      <c r="CC751" s="271"/>
      <c r="CD751" s="271"/>
      <c r="CE751" s="271"/>
    </row>
    <row r="752" spans="1:83" ht="12.6" customHeight="1" x14ac:dyDescent="0.2">
      <c r="A752" s="207" t="str">
        <f>RIGHT($C$83,3)&amp;"*"&amp;RIGHT($C$82,4)&amp;"*"&amp;U$55&amp;"*"&amp;"A"</f>
        <v>142*2019*7070*A</v>
      </c>
      <c r="B752" s="270">
        <f>ROUND(U59,0)</f>
        <v>1127200</v>
      </c>
      <c r="C752" s="272">
        <f>ROUND(U60,2)</f>
        <v>58.53</v>
      </c>
      <c r="D752" s="270">
        <f>ROUND(U61,0)</f>
        <v>4537988</v>
      </c>
      <c r="E752" s="270">
        <f>ROUND(U62,0)</f>
        <v>1071244</v>
      </c>
      <c r="F752" s="270">
        <f>ROUND(U63,0)</f>
        <v>60171</v>
      </c>
      <c r="G752" s="270">
        <f>ROUND(U64,0)</f>
        <v>4248022</v>
      </c>
      <c r="H752" s="270">
        <f>ROUND(U65,0)</f>
        <v>64</v>
      </c>
      <c r="I752" s="270">
        <f>ROUND(U66,0)</f>
        <v>3563573</v>
      </c>
      <c r="J752" s="270">
        <f>ROUND(U67,0)</f>
        <v>763271</v>
      </c>
      <c r="K752" s="270">
        <f>ROUND(U68,0)</f>
        <v>76298</v>
      </c>
      <c r="L752" s="270">
        <f>ROUND(U69,0)</f>
        <v>565196</v>
      </c>
      <c r="M752" s="270">
        <f>ROUND(U70,0)</f>
        <v>122915</v>
      </c>
      <c r="N752" s="270">
        <f>ROUND(U75,0)</f>
        <v>101486881</v>
      </c>
      <c r="O752" s="270">
        <f>ROUND(U73,0)</f>
        <v>65085801</v>
      </c>
      <c r="P752" s="270">
        <f>IF(U76&gt;0,ROUND(U76,0),0)</f>
        <v>13374</v>
      </c>
      <c r="Q752" s="270">
        <f>IF(U77&gt;0,ROUND(U77,0),0)</f>
        <v>0</v>
      </c>
      <c r="R752" s="270">
        <f>IF(U78&gt;0,ROUND(U78,0),0)</f>
        <v>3821</v>
      </c>
      <c r="S752" s="270">
        <f>IF(U79&gt;0,ROUND(U79,0),0)</f>
        <v>0</v>
      </c>
      <c r="T752" s="272">
        <f>IF(U80&gt;0,ROUND(U80,2),0)</f>
        <v>0</v>
      </c>
      <c r="U752" s="270"/>
      <c r="V752" s="271"/>
      <c r="W752" s="270"/>
      <c r="X752" s="270"/>
      <c r="Y752" s="270">
        <f t="shared" si="22"/>
        <v>4268887</v>
      </c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  <c r="CA752" s="271"/>
      <c r="CB752" s="271"/>
      <c r="CC752" s="271"/>
      <c r="CD752" s="271"/>
      <c r="CE752" s="271"/>
    </row>
    <row r="753" spans="1:83" ht="12.6" customHeight="1" x14ac:dyDescent="0.2">
      <c r="A753" s="207" t="str">
        <f>RIGHT($C$83,3)&amp;"*"&amp;RIGHT($C$82,4)&amp;"*"&amp;V$55&amp;"*"&amp;"A"</f>
        <v>142*2019*7110*A</v>
      </c>
      <c r="B753" s="270">
        <f>ROUND(V59,0)</f>
        <v>37304</v>
      </c>
      <c r="C753" s="272">
        <f>ROUND(V60,2)</f>
        <v>5.0199999999999996</v>
      </c>
      <c r="D753" s="270">
        <f>ROUND(V61,0)</f>
        <v>490155</v>
      </c>
      <c r="E753" s="270">
        <f>ROUND(V62,0)</f>
        <v>109682</v>
      </c>
      <c r="F753" s="270">
        <f>ROUND(V63,0)</f>
        <v>135997</v>
      </c>
      <c r="G753" s="270">
        <f>ROUND(V64,0)</f>
        <v>11235</v>
      </c>
      <c r="H753" s="270">
        <f>ROUND(V65,0)</f>
        <v>15</v>
      </c>
      <c r="I753" s="270">
        <f>ROUND(V66,0)</f>
        <v>179841</v>
      </c>
      <c r="J753" s="270">
        <f>ROUND(V67,0)</f>
        <v>164029</v>
      </c>
      <c r="K753" s="270">
        <f>ROUND(V68,0)</f>
        <v>0</v>
      </c>
      <c r="L753" s="270">
        <f>ROUND(V69,0)</f>
        <v>826</v>
      </c>
      <c r="M753" s="270">
        <f>ROUND(V70,0)</f>
        <v>0</v>
      </c>
      <c r="N753" s="270">
        <f>ROUND(V75,0)</f>
        <v>33526936</v>
      </c>
      <c r="O753" s="270">
        <f>ROUND(V73,0)</f>
        <v>20929326</v>
      </c>
      <c r="P753" s="270">
        <f>IF(V76&gt;0,ROUND(V76,0),0)</f>
        <v>0</v>
      </c>
      <c r="Q753" s="270">
        <f>IF(V77&gt;0,ROUND(V77,0),0)</f>
        <v>0</v>
      </c>
      <c r="R753" s="270">
        <f>IF(V78&gt;0,ROUND(V78,0),0)</f>
        <v>0</v>
      </c>
      <c r="S753" s="270">
        <f>IF(V79&gt;0,ROUND(V79,0),0)</f>
        <v>0</v>
      </c>
      <c r="T753" s="272">
        <f>IF(V80&gt;0,ROUND(V80,2),0)</f>
        <v>0</v>
      </c>
      <c r="U753" s="270"/>
      <c r="V753" s="271"/>
      <c r="W753" s="270"/>
      <c r="X753" s="270"/>
      <c r="Y753" s="270">
        <f t="shared" si="22"/>
        <v>532123</v>
      </c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  <c r="CA753" s="271"/>
      <c r="CB753" s="271"/>
      <c r="CC753" s="271"/>
      <c r="CD753" s="271"/>
      <c r="CE753" s="271"/>
    </row>
    <row r="754" spans="1:83" ht="12.6" customHeight="1" x14ac:dyDescent="0.2">
      <c r="A754" s="207" t="str">
        <f>RIGHT($C$83,3)&amp;"*"&amp;RIGHT($C$82,4)&amp;"*"&amp;W$55&amp;"*"&amp;"A"</f>
        <v>142*2019*7120*A</v>
      </c>
      <c r="B754" s="270">
        <f>ROUND(W59,0)</f>
        <v>3374</v>
      </c>
      <c r="C754" s="272">
        <f>ROUND(W60,2)</f>
        <v>0</v>
      </c>
      <c r="D754" s="270">
        <f>ROUND(W61,0)</f>
        <v>487375</v>
      </c>
      <c r="E754" s="270">
        <f>ROUND(W62,0)</f>
        <v>108682</v>
      </c>
      <c r="F754" s="270">
        <f>ROUND(W63,0)</f>
        <v>0</v>
      </c>
      <c r="G754" s="270">
        <f>ROUND(W64,0)</f>
        <v>88013</v>
      </c>
      <c r="H754" s="270">
        <f>ROUND(W65,0)</f>
        <v>432</v>
      </c>
      <c r="I754" s="270">
        <f>ROUND(W66,0)</f>
        <v>52533</v>
      </c>
      <c r="J754" s="270">
        <f>ROUND(W67,0)</f>
        <v>119165</v>
      </c>
      <c r="K754" s="270">
        <f>ROUND(W68,0)</f>
        <v>1521</v>
      </c>
      <c r="L754" s="270">
        <f>ROUND(W69,0)</f>
        <v>553</v>
      </c>
      <c r="M754" s="270">
        <f>ROUND(W70,0)</f>
        <v>0</v>
      </c>
      <c r="N754" s="270">
        <f>ROUND(W75,0)</f>
        <v>22087332</v>
      </c>
      <c r="O754" s="270">
        <f>ROUND(W73,0)</f>
        <v>6356582</v>
      </c>
      <c r="P754" s="270">
        <f>IF(W76&gt;0,ROUND(W76,0),0)</f>
        <v>2192</v>
      </c>
      <c r="Q754" s="270">
        <f>IF(W77&gt;0,ROUND(W77,0),0)</f>
        <v>0</v>
      </c>
      <c r="R754" s="270">
        <f>IF(W78&gt;0,ROUND(W78,0),0)</f>
        <v>626</v>
      </c>
      <c r="S754" s="270">
        <f>IF(W79&gt;0,ROUND(W79,0),0)</f>
        <v>0</v>
      </c>
      <c r="T754" s="272">
        <f>IF(W80&gt;0,ROUND(W80,2),0)</f>
        <v>0</v>
      </c>
      <c r="U754" s="270"/>
      <c r="V754" s="271"/>
      <c r="W754" s="270"/>
      <c r="X754" s="270"/>
      <c r="Y754" s="270">
        <f t="shared" si="22"/>
        <v>578109</v>
      </c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  <c r="CA754" s="271"/>
      <c r="CB754" s="271"/>
      <c r="CC754" s="271"/>
      <c r="CD754" s="271"/>
      <c r="CE754" s="271"/>
    </row>
    <row r="755" spans="1:83" ht="12.6" customHeight="1" x14ac:dyDescent="0.2">
      <c r="A755" s="207" t="str">
        <f>RIGHT($C$83,3)&amp;"*"&amp;RIGHT($C$82,4)&amp;"*"&amp;X$55&amp;"*"&amp;"A"</f>
        <v>142*2019*7130*A</v>
      </c>
      <c r="B755" s="270">
        <f>ROUND(X59,0)</f>
        <v>0</v>
      </c>
      <c r="C755" s="272">
        <f>ROUND(X60,2)</f>
        <v>0</v>
      </c>
      <c r="D755" s="270">
        <f>ROUND(X61,0)</f>
        <v>0</v>
      </c>
      <c r="E755" s="270">
        <f>ROUND(X62,0)</f>
        <v>0</v>
      </c>
      <c r="F755" s="270">
        <f>ROUND(X63,0)</f>
        <v>0</v>
      </c>
      <c r="G755" s="270">
        <f>ROUND(X64,0)</f>
        <v>0</v>
      </c>
      <c r="H755" s="270">
        <f>ROUND(X65,0)</f>
        <v>0</v>
      </c>
      <c r="I755" s="270">
        <f>ROUND(X66,0)</f>
        <v>0</v>
      </c>
      <c r="J755" s="270">
        <f>ROUND(X67,0)</f>
        <v>0</v>
      </c>
      <c r="K755" s="270">
        <f>ROUND(X68,0)</f>
        <v>0</v>
      </c>
      <c r="L755" s="270">
        <f>ROUND(X69,0)</f>
        <v>0</v>
      </c>
      <c r="M755" s="270">
        <f>ROUND(X70,0)</f>
        <v>0</v>
      </c>
      <c r="N755" s="270">
        <f>ROUND(X75,0)</f>
        <v>0</v>
      </c>
      <c r="O755" s="270">
        <f>ROUND(X73,0)</f>
        <v>0</v>
      </c>
      <c r="P755" s="270">
        <f>IF(X76&gt;0,ROUND(X76,0),0)</f>
        <v>0</v>
      </c>
      <c r="Q755" s="270">
        <f>IF(X77&gt;0,ROUND(X77,0),0)</f>
        <v>0</v>
      </c>
      <c r="R755" s="270">
        <f>IF(X78&gt;0,ROUND(X78,0),0)</f>
        <v>0</v>
      </c>
      <c r="S755" s="270">
        <f>IF(X79&gt;0,ROUND(X79,0),0)</f>
        <v>0</v>
      </c>
      <c r="T755" s="272">
        <f>IF(X80&gt;0,ROUND(X80,2),0)</f>
        <v>0</v>
      </c>
      <c r="U755" s="270"/>
      <c r="V755" s="271"/>
      <c r="W755" s="270"/>
      <c r="X755" s="270"/>
      <c r="Y755" s="270">
        <f t="shared" si="22"/>
        <v>0</v>
      </c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  <c r="CA755" s="271"/>
      <c r="CB755" s="271"/>
      <c r="CC755" s="271"/>
      <c r="CD755" s="271"/>
      <c r="CE755" s="271"/>
    </row>
    <row r="756" spans="1:83" ht="12.6" customHeight="1" x14ac:dyDescent="0.2">
      <c r="A756" s="207" t="str">
        <f>RIGHT($C$83,3)&amp;"*"&amp;RIGHT($C$82,4)&amp;"*"&amp;Y$55&amp;"*"&amp;"A"</f>
        <v>142*2019*7140*A</v>
      </c>
      <c r="B756" s="270">
        <f>ROUND(Y59,0)</f>
        <v>147723</v>
      </c>
      <c r="C756" s="272">
        <f>ROUND(Y60,2)</f>
        <v>150.9</v>
      </c>
      <c r="D756" s="270">
        <f>ROUND(Y61,0)</f>
        <v>12522594</v>
      </c>
      <c r="E756" s="270">
        <f>ROUND(Y62,0)</f>
        <v>2996091</v>
      </c>
      <c r="F756" s="270">
        <f>ROUND(Y63,0)</f>
        <v>557590</v>
      </c>
      <c r="G756" s="270">
        <f>ROUND(Y64,0)</f>
        <v>17447976</v>
      </c>
      <c r="H756" s="270">
        <f>ROUND(Y65,0)</f>
        <v>232291</v>
      </c>
      <c r="I756" s="270">
        <f>ROUND(Y66,0)</f>
        <v>3723575</v>
      </c>
      <c r="J756" s="270">
        <f>ROUND(Y67,0)</f>
        <v>2881653</v>
      </c>
      <c r="K756" s="270">
        <f>ROUND(Y68,0)</f>
        <v>1070089</v>
      </c>
      <c r="L756" s="270">
        <f>ROUND(Y69,0)</f>
        <v>32725</v>
      </c>
      <c r="M756" s="270">
        <f>ROUND(Y70,0)</f>
        <v>11688</v>
      </c>
      <c r="N756" s="270">
        <f>ROUND(Y75,0)</f>
        <v>423603668</v>
      </c>
      <c r="O756" s="270">
        <f>ROUND(Y73,0)</f>
        <v>150561929</v>
      </c>
      <c r="P756" s="270">
        <f>IF(Y76&gt;0,ROUND(Y76,0),0)</f>
        <v>23073</v>
      </c>
      <c r="Q756" s="270">
        <f>IF(Y77&gt;0,ROUND(Y77,0),0)</f>
        <v>0</v>
      </c>
      <c r="R756" s="270">
        <f>IF(Y78&gt;0,ROUND(Y78,0),0)</f>
        <v>6592</v>
      </c>
      <c r="S756" s="270">
        <f>IF(Y79&gt;0,ROUND(Y79,0),0)</f>
        <v>102572</v>
      </c>
      <c r="T756" s="272">
        <f>IF(Y80&gt;0,ROUND(Y80,2),0)</f>
        <v>19.309999999999999</v>
      </c>
      <c r="U756" s="270"/>
      <c r="V756" s="271"/>
      <c r="W756" s="270"/>
      <c r="X756" s="270"/>
      <c r="Y756" s="270">
        <f t="shared" si="22"/>
        <v>13066224</v>
      </c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  <c r="CA756" s="271"/>
      <c r="CB756" s="271"/>
      <c r="CC756" s="271"/>
      <c r="CD756" s="271"/>
      <c r="CE756" s="271"/>
    </row>
    <row r="757" spans="1:83" ht="12.6" customHeight="1" x14ac:dyDescent="0.2">
      <c r="A757" s="207" t="str">
        <f>RIGHT($C$83,3)&amp;"*"&amp;RIGHT($C$82,4)&amp;"*"&amp;Z$55&amp;"*"&amp;"A"</f>
        <v>142*2019*7150*A</v>
      </c>
      <c r="B757" s="270">
        <f>ROUND(Z59,0)</f>
        <v>16308</v>
      </c>
      <c r="C757" s="272">
        <f>ROUND(Z60,2)</f>
        <v>19.43</v>
      </c>
      <c r="D757" s="270">
        <f>ROUND(Z61,0)</f>
        <v>1855120</v>
      </c>
      <c r="E757" s="270">
        <f>ROUND(Z62,0)</f>
        <v>419442</v>
      </c>
      <c r="F757" s="270">
        <f>ROUND(Z63,0)</f>
        <v>36638</v>
      </c>
      <c r="G757" s="270">
        <f>ROUND(Z64,0)</f>
        <v>47164</v>
      </c>
      <c r="H757" s="270">
        <f>ROUND(Z65,0)</f>
        <v>0</v>
      </c>
      <c r="I757" s="270">
        <f>ROUND(Z66,0)</f>
        <v>1402078</v>
      </c>
      <c r="J757" s="270">
        <f>ROUND(Z67,0)</f>
        <v>715712</v>
      </c>
      <c r="K757" s="270">
        <f>ROUND(Z68,0)</f>
        <v>8646</v>
      </c>
      <c r="L757" s="270">
        <f>ROUND(Z69,0)</f>
        <v>10586</v>
      </c>
      <c r="M757" s="270">
        <f>ROUND(Z70,0)</f>
        <v>4210</v>
      </c>
      <c r="N757" s="270">
        <f>ROUND(Z75,0)</f>
        <v>41926383</v>
      </c>
      <c r="O757" s="270">
        <f>ROUND(Z73,0)</f>
        <v>2707403</v>
      </c>
      <c r="P757" s="270">
        <f>IF(Z76&gt;0,ROUND(Z76,0),0)</f>
        <v>11773</v>
      </c>
      <c r="Q757" s="270">
        <f>IF(Z77&gt;0,ROUND(Z77,0),0)</f>
        <v>0</v>
      </c>
      <c r="R757" s="270">
        <f>IF(Z78&gt;0,ROUND(Z78,0),0)</f>
        <v>3364</v>
      </c>
      <c r="S757" s="270">
        <f>IF(Z79&gt;0,ROUND(Z79,0),0)</f>
        <v>25657</v>
      </c>
      <c r="T757" s="272">
        <f>IF(Z80&gt;0,ROUND(Z80,2),0)</f>
        <v>2.4</v>
      </c>
      <c r="U757" s="270"/>
      <c r="V757" s="271"/>
      <c r="W757" s="270"/>
      <c r="X757" s="270"/>
      <c r="Y757" s="270">
        <f t="shared" si="22"/>
        <v>2167421</v>
      </c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  <c r="CA757" s="271"/>
      <c r="CB757" s="271"/>
      <c r="CC757" s="271"/>
      <c r="CD757" s="271"/>
      <c r="CE757" s="271"/>
    </row>
    <row r="758" spans="1:83" ht="12.6" customHeight="1" x14ac:dyDescent="0.2">
      <c r="A758" s="207" t="str">
        <f>RIGHT($C$83,3)&amp;"*"&amp;RIGHT($C$82,4)&amp;"*"&amp;AA$55&amp;"*"&amp;"A"</f>
        <v>142*2019*7160*A</v>
      </c>
      <c r="B758" s="270">
        <f>ROUND(AA59,0)</f>
        <v>2899</v>
      </c>
      <c r="C758" s="272">
        <f>ROUND(AA60,2)</f>
        <v>2.86</v>
      </c>
      <c r="D758" s="270">
        <f>ROUND(AA61,0)</f>
        <v>307100</v>
      </c>
      <c r="E758" s="270">
        <f>ROUND(AA62,0)</f>
        <v>65484</v>
      </c>
      <c r="F758" s="270">
        <f>ROUND(AA63,0)</f>
        <v>0</v>
      </c>
      <c r="G758" s="270">
        <f>ROUND(AA64,0)</f>
        <v>753369</v>
      </c>
      <c r="H758" s="270">
        <f>ROUND(AA65,0)</f>
        <v>0</v>
      </c>
      <c r="I758" s="270">
        <f>ROUND(AA66,0)</f>
        <v>65337</v>
      </c>
      <c r="J758" s="270">
        <f>ROUND(AA67,0)</f>
        <v>135303</v>
      </c>
      <c r="K758" s="270">
        <f>ROUND(AA68,0)</f>
        <v>467</v>
      </c>
      <c r="L758" s="270">
        <f>ROUND(AA69,0)</f>
        <v>61</v>
      </c>
      <c r="M758" s="270">
        <f>ROUND(AA70,0)</f>
        <v>0</v>
      </c>
      <c r="N758" s="270">
        <f>ROUND(AA75,0)</f>
        <v>14844528</v>
      </c>
      <c r="O758" s="270">
        <f>ROUND(AA73,0)</f>
        <v>5493616</v>
      </c>
      <c r="P758" s="270">
        <f>IF(AA76&gt;0,ROUND(AA76,0),0)</f>
        <v>0</v>
      </c>
      <c r="Q758" s="270">
        <f>IF(AA77&gt;0,ROUND(AA77,0),0)</f>
        <v>0</v>
      </c>
      <c r="R758" s="270">
        <f>IF(AA78&gt;0,ROUND(AA78,0),0)</f>
        <v>0</v>
      </c>
      <c r="S758" s="270">
        <f>IF(AA79&gt;0,ROUND(AA79,0),0)</f>
        <v>0</v>
      </c>
      <c r="T758" s="272">
        <f>IF(AA80&gt;0,ROUND(AA80,2),0)</f>
        <v>0</v>
      </c>
      <c r="U758" s="270"/>
      <c r="V758" s="271"/>
      <c r="W758" s="270"/>
      <c r="X758" s="270"/>
      <c r="Y758" s="270">
        <f t="shared" si="22"/>
        <v>360191</v>
      </c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  <c r="CA758" s="271"/>
      <c r="CB758" s="271"/>
      <c r="CC758" s="271"/>
      <c r="CD758" s="271"/>
      <c r="CE758" s="271"/>
    </row>
    <row r="759" spans="1:83" ht="12.6" customHeight="1" x14ac:dyDescent="0.2">
      <c r="A759" s="207" t="str">
        <f>RIGHT($C$83,3)&amp;"*"&amp;RIGHT($C$82,4)&amp;"*"&amp;AB$55&amp;"*"&amp;"A"</f>
        <v>142*2019*7170*A</v>
      </c>
      <c r="B759" s="270"/>
      <c r="C759" s="272">
        <f>ROUND(AB60,2)</f>
        <v>46.24</v>
      </c>
      <c r="D759" s="270">
        <f>ROUND(AB61,0)</f>
        <v>4955304</v>
      </c>
      <c r="E759" s="270">
        <f>ROUND(AB62,0)</f>
        <v>1036355</v>
      </c>
      <c r="F759" s="270">
        <f>ROUND(AB63,0)</f>
        <v>0</v>
      </c>
      <c r="G759" s="270">
        <f>ROUND(AB64,0)</f>
        <v>11976473</v>
      </c>
      <c r="H759" s="270">
        <f>ROUND(AB65,0)</f>
        <v>1196</v>
      </c>
      <c r="I759" s="270">
        <f>ROUND(AB66,0)</f>
        <v>620258</v>
      </c>
      <c r="J759" s="270">
        <f>ROUND(AB67,0)</f>
        <v>580697</v>
      </c>
      <c r="K759" s="270">
        <f>ROUND(AB68,0)</f>
        <v>39988</v>
      </c>
      <c r="L759" s="270">
        <f>ROUND(AB69,0)</f>
        <v>51504</v>
      </c>
      <c r="M759" s="270">
        <f>ROUND(AB70,0)</f>
        <v>0</v>
      </c>
      <c r="N759" s="270">
        <f>ROUND(AB75,0)</f>
        <v>241762983</v>
      </c>
      <c r="O759" s="270">
        <f>ROUND(AB73,0)</f>
        <v>149779548</v>
      </c>
      <c r="P759" s="270">
        <f>IF(AB76&gt;0,ROUND(AB76,0),0)</f>
        <v>5552</v>
      </c>
      <c r="Q759" s="270">
        <f>IF(AB77&gt;0,ROUND(AB77,0),0)</f>
        <v>0</v>
      </c>
      <c r="R759" s="270">
        <f>IF(AB78&gt;0,ROUND(AB78,0),0)</f>
        <v>1586</v>
      </c>
      <c r="S759" s="270">
        <f>IF(AB79&gt;0,ROUND(AB79,0),0)</f>
        <v>0</v>
      </c>
      <c r="T759" s="272">
        <f>IF(AB80&gt;0,ROUND(AB80,2),0)</f>
        <v>0</v>
      </c>
      <c r="U759" s="270"/>
      <c r="V759" s="271"/>
      <c r="W759" s="270"/>
      <c r="X759" s="270"/>
      <c r="Y759" s="270">
        <f t="shared" si="22"/>
        <v>6187263</v>
      </c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  <c r="CA759" s="271"/>
      <c r="CB759" s="271"/>
      <c r="CC759" s="271"/>
      <c r="CD759" s="271"/>
      <c r="CE759" s="271"/>
    </row>
    <row r="760" spans="1:83" ht="12.6" customHeight="1" x14ac:dyDescent="0.2">
      <c r="A760" s="207" t="str">
        <f>RIGHT($C$83,3)&amp;"*"&amp;RIGHT($C$82,4)&amp;"*"&amp;AC$55&amp;"*"&amp;"A"</f>
        <v>142*2019*7180*A</v>
      </c>
      <c r="B760" s="270">
        <f>ROUND(AC59,0)</f>
        <v>84461</v>
      </c>
      <c r="C760" s="272">
        <f>ROUND(AC60,2)</f>
        <v>58.55</v>
      </c>
      <c r="D760" s="270">
        <f>ROUND(AC61,0)</f>
        <v>4751901</v>
      </c>
      <c r="E760" s="270">
        <f>ROUND(AC62,0)</f>
        <v>1182471</v>
      </c>
      <c r="F760" s="270">
        <f>ROUND(AC63,0)</f>
        <v>66675</v>
      </c>
      <c r="G760" s="270">
        <f>ROUND(AC64,0)</f>
        <v>522659</v>
      </c>
      <c r="H760" s="270">
        <f>ROUND(AC65,0)</f>
        <v>4574</v>
      </c>
      <c r="I760" s="270">
        <f>ROUND(AC66,0)</f>
        <v>121787</v>
      </c>
      <c r="J760" s="270">
        <f>ROUND(AC67,0)</f>
        <v>587830</v>
      </c>
      <c r="K760" s="270">
        <f>ROUND(AC68,0)</f>
        <v>286637</v>
      </c>
      <c r="L760" s="270">
        <f>ROUND(AC69,0)</f>
        <v>22694</v>
      </c>
      <c r="M760" s="270">
        <f>ROUND(AC70,0)</f>
        <v>0</v>
      </c>
      <c r="N760" s="270">
        <f>ROUND(AC75,0)</f>
        <v>62782666</v>
      </c>
      <c r="O760" s="270">
        <f>ROUND(AC73,0)</f>
        <v>43268175</v>
      </c>
      <c r="P760" s="270">
        <f>IF(AC76&gt;0,ROUND(AC76,0),0)</f>
        <v>7609</v>
      </c>
      <c r="Q760" s="270">
        <f>IF(AC77&gt;0,ROUND(AC77,0),0)</f>
        <v>0</v>
      </c>
      <c r="R760" s="270">
        <f>IF(AC78&gt;0,ROUND(AC78,0),0)</f>
        <v>2174</v>
      </c>
      <c r="S760" s="270">
        <f>IF(AC79&gt;0,ROUND(AC79,0),0)</f>
        <v>18204</v>
      </c>
      <c r="T760" s="272">
        <f>IF(AC80&gt;0,ROUND(AC80,2),0)</f>
        <v>1.96</v>
      </c>
      <c r="U760" s="270"/>
      <c r="V760" s="271"/>
      <c r="W760" s="270"/>
      <c r="X760" s="270"/>
      <c r="Y760" s="270">
        <f t="shared" si="22"/>
        <v>2373452</v>
      </c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  <c r="CA760" s="271"/>
      <c r="CB760" s="271"/>
      <c r="CC760" s="271"/>
      <c r="CD760" s="271"/>
      <c r="CE760" s="271"/>
    </row>
    <row r="761" spans="1:83" ht="12.6" customHeight="1" x14ac:dyDescent="0.2">
      <c r="A761" s="207" t="str">
        <f>RIGHT($C$83,3)&amp;"*"&amp;RIGHT($C$82,4)&amp;"*"&amp;AD$55&amp;"*"&amp;"A"</f>
        <v>142*2019*7190*A</v>
      </c>
      <c r="B761" s="270">
        <f>ROUND(AD59,0)</f>
        <v>0</v>
      </c>
      <c r="C761" s="272">
        <f>ROUND(AD60,2)</f>
        <v>0</v>
      </c>
      <c r="D761" s="270">
        <f>ROUND(AD61,0)</f>
        <v>0</v>
      </c>
      <c r="E761" s="270">
        <f>ROUND(AD62,0)</f>
        <v>0</v>
      </c>
      <c r="F761" s="270">
        <f>ROUND(AD63,0)</f>
        <v>0</v>
      </c>
      <c r="G761" s="270">
        <f>ROUND(AD64,0)</f>
        <v>0</v>
      </c>
      <c r="H761" s="270">
        <f>ROUND(AD65,0)</f>
        <v>0</v>
      </c>
      <c r="I761" s="270">
        <f>ROUND(AD66,0)</f>
        <v>0</v>
      </c>
      <c r="J761" s="270">
        <f>ROUND(AD67,0)</f>
        <v>41289</v>
      </c>
      <c r="K761" s="270">
        <f>ROUND(AD68,0)</f>
        <v>0</v>
      </c>
      <c r="L761" s="270">
        <f>ROUND(AD69,0)</f>
        <v>0</v>
      </c>
      <c r="M761" s="270">
        <f>ROUND(AD70,0)</f>
        <v>0</v>
      </c>
      <c r="N761" s="270">
        <f>ROUND(AD75,0)</f>
        <v>0</v>
      </c>
      <c r="O761" s="270">
        <f>ROUND(AD73,0)</f>
        <v>0</v>
      </c>
      <c r="P761" s="270">
        <f>IF(AD76&gt;0,ROUND(AD76,0),0)</f>
        <v>810</v>
      </c>
      <c r="Q761" s="270">
        <f>IF(AD77&gt;0,ROUND(AD77,0),0)</f>
        <v>0</v>
      </c>
      <c r="R761" s="270">
        <f>IF(AD78&gt;0,ROUND(AD78,0),0)</f>
        <v>231</v>
      </c>
      <c r="S761" s="270">
        <f>IF(AD79&gt;0,ROUND(AD79,0),0)</f>
        <v>0</v>
      </c>
      <c r="T761" s="272">
        <f>IF(AD80&gt;0,ROUND(AD80,2),0)</f>
        <v>0</v>
      </c>
      <c r="U761" s="270"/>
      <c r="V761" s="271"/>
      <c r="W761" s="270"/>
      <c r="X761" s="270"/>
      <c r="Y761" s="270">
        <f t="shared" si="22"/>
        <v>83166</v>
      </c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  <c r="CA761" s="271"/>
      <c r="CB761" s="271"/>
      <c r="CC761" s="271"/>
      <c r="CD761" s="271"/>
      <c r="CE761" s="271"/>
    </row>
    <row r="762" spans="1:83" ht="12.6" customHeight="1" x14ac:dyDescent="0.2">
      <c r="A762" s="207" t="str">
        <f>RIGHT($C$83,3)&amp;"*"&amp;RIGHT($C$82,4)&amp;"*"&amp;AE$55&amp;"*"&amp;"A"</f>
        <v>142*2019*7200*A</v>
      </c>
      <c r="B762" s="270">
        <f>ROUND(AE59,0)</f>
        <v>94259</v>
      </c>
      <c r="C762" s="272">
        <f>ROUND(AE60,2)</f>
        <v>36.49</v>
      </c>
      <c r="D762" s="270">
        <f>ROUND(AE61,0)</f>
        <v>2988700</v>
      </c>
      <c r="E762" s="270">
        <f>ROUND(AE62,0)</f>
        <v>740534</v>
      </c>
      <c r="F762" s="270">
        <f>ROUND(AE63,0)</f>
        <v>215087</v>
      </c>
      <c r="G762" s="270">
        <f>ROUND(AE64,0)</f>
        <v>586754</v>
      </c>
      <c r="H762" s="270">
        <f>ROUND(AE65,0)</f>
        <v>14603</v>
      </c>
      <c r="I762" s="270">
        <f>ROUND(AE66,0)</f>
        <v>1641062</v>
      </c>
      <c r="J762" s="270">
        <f>ROUND(AE67,0)</f>
        <v>1272217</v>
      </c>
      <c r="K762" s="270">
        <f>ROUND(AE68,0)</f>
        <v>349676</v>
      </c>
      <c r="L762" s="270">
        <f>ROUND(AE69,0)</f>
        <v>18818</v>
      </c>
      <c r="M762" s="270">
        <f>ROUND(AE70,0)</f>
        <v>6605</v>
      </c>
      <c r="N762" s="270">
        <f>ROUND(AE75,0)</f>
        <v>26838611</v>
      </c>
      <c r="O762" s="270">
        <f>ROUND(AE73,0)</f>
        <v>5715212</v>
      </c>
      <c r="P762" s="270">
        <f>IF(AE76&gt;0,ROUND(AE76,0),0)</f>
        <v>21850</v>
      </c>
      <c r="Q762" s="270">
        <f>IF(AE77&gt;0,ROUND(AE77,0),0)</f>
        <v>0</v>
      </c>
      <c r="R762" s="270">
        <f>IF(AE78&gt;0,ROUND(AE78,0),0)</f>
        <v>6243</v>
      </c>
      <c r="S762" s="270">
        <f>IF(AE79&gt;0,ROUND(AE79,0),0)</f>
        <v>40368</v>
      </c>
      <c r="T762" s="272">
        <f>IF(AE80&gt;0,ROUND(AE80,2),0)</f>
        <v>6.4</v>
      </c>
      <c r="U762" s="270"/>
      <c r="V762" s="271"/>
      <c r="W762" s="270"/>
      <c r="X762" s="270"/>
      <c r="Y762" s="270">
        <f t="shared" si="22"/>
        <v>3391315</v>
      </c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  <c r="CA762" s="271"/>
      <c r="CB762" s="271"/>
      <c r="CC762" s="271"/>
      <c r="CD762" s="271"/>
      <c r="CE762" s="271"/>
    </row>
    <row r="763" spans="1:83" ht="12.6" customHeight="1" x14ac:dyDescent="0.2">
      <c r="A763" s="207" t="str">
        <f>RIGHT($C$83,3)&amp;"*"&amp;RIGHT($C$82,4)&amp;"*"&amp;AF$55&amp;"*"&amp;"A"</f>
        <v>142*2019*7220*A</v>
      </c>
      <c r="B763" s="270">
        <f>ROUND(AF59,0)</f>
        <v>0</v>
      </c>
      <c r="C763" s="272">
        <f>ROUND(AF60,2)</f>
        <v>0</v>
      </c>
      <c r="D763" s="270">
        <f>ROUND(AF61,0)</f>
        <v>0</v>
      </c>
      <c r="E763" s="270">
        <f>ROUND(AF62,0)</f>
        <v>0</v>
      </c>
      <c r="F763" s="270">
        <f>ROUND(AF63,0)</f>
        <v>0</v>
      </c>
      <c r="G763" s="270">
        <f>ROUND(AF64,0)</f>
        <v>0</v>
      </c>
      <c r="H763" s="270">
        <f>ROUND(AF65,0)</f>
        <v>0</v>
      </c>
      <c r="I763" s="270">
        <f>ROUND(AF66,0)</f>
        <v>0</v>
      </c>
      <c r="J763" s="270">
        <f>ROUND(AF67,0)</f>
        <v>0</v>
      </c>
      <c r="K763" s="270">
        <f>ROUND(AF68,0)</f>
        <v>0</v>
      </c>
      <c r="L763" s="270">
        <f>ROUND(AF69,0)</f>
        <v>0</v>
      </c>
      <c r="M763" s="270">
        <f>ROUND(AF70,0)</f>
        <v>0</v>
      </c>
      <c r="N763" s="270">
        <f>ROUND(AF75,0)</f>
        <v>0</v>
      </c>
      <c r="O763" s="270">
        <f>ROUND(AF73,0)</f>
        <v>0</v>
      </c>
      <c r="P763" s="270">
        <f>IF(AF76&gt;0,ROUND(AF76,0),0)</f>
        <v>0</v>
      </c>
      <c r="Q763" s="270">
        <f>IF(AF77&gt;0,ROUND(AF77,0),0)</f>
        <v>0</v>
      </c>
      <c r="R763" s="270">
        <f>IF(AF78&gt;0,ROUND(AF78,0),0)</f>
        <v>0</v>
      </c>
      <c r="S763" s="270">
        <f>IF(AF79&gt;0,ROUND(AF79,0),0)</f>
        <v>0</v>
      </c>
      <c r="T763" s="272">
        <f>IF(AF80&gt;0,ROUND(AF80,2),0)</f>
        <v>0</v>
      </c>
      <c r="U763" s="270"/>
      <c r="V763" s="271"/>
      <c r="W763" s="270"/>
      <c r="X763" s="270"/>
      <c r="Y763" s="270">
        <f t="shared" si="22"/>
        <v>0</v>
      </c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  <c r="CA763" s="271"/>
      <c r="CB763" s="271"/>
      <c r="CC763" s="271"/>
      <c r="CD763" s="271"/>
      <c r="CE763" s="271"/>
    </row>
    <row r="764" spans="1:83" ht="12.6" customHeight="1" x14ac:dyDescent="0.2">
      <c r="A764" s="207" t="str">
        <f>RIGHT($C$83,3)&amp;"*"&amp;RIGHT($C$82,4)&amp;"*"&amp;AG$55&amp;"*"&amp;"A"</f>
        <v>142*2019*7230*A</v>
      </c>
      <c r="B764" s="270">
        <f>ROUND(AG59,0)</f>
        <v>78387</v>
      </c>
      <c r="C764" s="272">
        <f>ROUND(AG60,2)</f>
        <v>115.82</v>
      </c>
      <c r="D764" s="270">
        <f>ROUND(AG61,0)</f>
        <v>11775753</v>
      </c>
      <c r="E764" s="270">
        <f>ROUND(AG62,0)</f>
        <v>2361074</v>
      </c>
      <c r="F764" s="270">
        <f>ROUND(AG63,0)</f>
        <v>4005048</v>
      </c>
      <c r="G764" s="270">
        <f>ROUND(AG64,0)</f>
        <v>1677277</v>
      </c>
      <c r="H764" s="270">
        <f>ROUND(AG65,0)</f>
        <v>1562</v>
      </c>
      <c r="I764" s="270">
        <f>ROUND(AG66,0)</f>
        <v>1764290</v>
      </c>
      <c r="J764" s="270">
        <f>ROUND(AG67,0)</f>
        <v>1670116</v>
      </c>
      <c r="K764" s="270">
        <f>ROUND(AG68,0)</f>
        <v>31348</v>
      </c>
      <c r="L764" s="270">
        <f>ROUND(AG69,0)</f>
        <v>35512</v>
      </c>
      <c r="M764" s="270">
        <f>ROUND(AG70,0)</f>
        <v>5840</v>
      </c>
      <c r="N764" s="270">
        <f>ROUND(AG75,0)</f>
        <v>261401485</v>
      </c>
      <c r="O764" s="270">
        <f>ROUND(AG73,0)</f>
        <v>55235563</v>
      </c>
      <c r="P764" s="270">
        <f>IF(AG76&gt;0,ROUND(AG76,0),0)</f>
        <v>28510</v>
      </c>
      <c r="Q764" s="270">
        <f>IF(AG77&gt;0,ROUND(AG77,0),0)</f>
        <v>10104</v>
      </c>
      <c r="R764" s="270">
        <f>IF(AG78&gt;0,ROUND(AG78,0),0)</f>
        <v>8146</v>
      </c>
      <c r="S764" s="270">
        <f>IF(AG79&gt;0,ROUND(AG79,0),0)</f>
        <v>523567</v>
      </c>
      <c r="T764" s="272">
        <f>IF(AG80&gt;0,ROUND(AG80,2),0)</f>
        <v>62.65</v>
      </c>
      <c r="U764" s="270"/>
      <c r="V764" s="271"/>
      <c r="W764" s="270"/>
      <c r="X764" s="270"/>
      <c r="Y764" s="270">
        <f t="shared" si="22"/>
        <v>10162288</v>
      </c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  <c r="CA764" s="271"/>
      <c r="CB764" s="271"/>
      <c r="CC764" s="271"/>
      <c r="CD764" s="271"/>
      <c r="CE764" s="271"/>
    </row>
    <row r="765" spans="1:83" ht="12.6" customHeight="1" x14ac:dyDescent="0.2">
      <c r="A765" s="207" t="str">
        <f>RIGHT($C$83,3)&amp;"*"&amp;RIGHT($C$82,4)&amp;"*"&amp;AH$55&amp;"*"&amp;"A"</f>
        <v>142*2019*7240*A</v>
      </c>
      <c r="B765" s="270">
        <f>ROUND(AH59,0)</f>
        <v>0</v>
      </c>
      <c r="C765" s="272">
        <f>ROUND(AH60,2)</f>
        <v>0</v>
      </c>
      <c r="D765" s="270">
        <f>ROUND(AH61,0)</f>
        <v>0</v>
      </c>
      <c r="E765" s="270">
        <f>ROUND(AH62,0)</f>
        <v>0</v>
      </c>
      <c r="F765" s="270">
        <f>ROUND(AH63,0)</f>
        <v>0</v>
      </c>
      <c r="G765" s="270">
        <f>ROUND(AH64,0)</f>
        <v>0</v>
      </c>
      <c r="H765" s="270">
        <f>ROUND(AH65,0)</f>
        <v>0</v>
      </c>
      <c r="I765" s="270">
        <f>ROUND(AH66,0)</f>
        <v>0</v>
      </c>
      <c r="J765" s="270">
        <f>ROUND(AH67,0)</f>
        <v>0</v>
      </c>
      <c r="K765" s="270">
        <f>ROUND(AH68,0)</f>
        <v>0</v>
      </c>
      <c r="L765" s="270">
        <f>ROUND(AH69,0)</f>
        <v>0</v>
      </c>
      <c r="M765" s="270">
        <f>ROUND(AH70,0)</f>
        <v>0</v>
      </c>
      <c r="N765" s="270">
        <f>ROUND(AH75,0)</f>
        <v>0</v>
      </c>
      <c r="O765" s="270">
        <f>ROUND(AH73,0)</f>
        <v>0</v>
      </c>
      <c r="P765" s="270">
        <f>IF(AH76&gt;0,ROUND(AH76,0),0)</f>
        <v>0</v>
      </c>
      <c r="Q765" s="270">
        <f>IF(AH77&gt;0,ROUND(AH77,0),0)</f>
        <v>0</v>
      </c>
      <c r="R765" s="270">
        <f>IF(AH78&gt;0,ROUND(AH78,0),0)</f>
        <v>0</v>
      </c>
      <c r="S765" s="270">
        <f>IF(AH79&gt;0,ROUND(AH79,0),0)</f>
        <v>0</v>
      </c>
      <c r="T765" s="272">
        <f>IF(AH80&gt;0,ROUND(AH80,2),0)</f>
        <v>0</v>
      </c>
      <c r="U765" s="270"/>
      <c r="V765" s="271"/>
      <c r="W765" s="270"/>
      <c r="X765" s="270"/>
      <c r="Y765" s="270">
        <f t="shared" si="22"/>
        <v>0</v>
      </c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  <c r="CA765" s="271"/>
      <c r="CB765" s="271"/>
      <c r="CC765" s="271"/>
      <c r="CD765" s="271"/>
      <c r="CE765" s="271"/>
    </row>
    <row r="766" spans="1:83" ht="12.6" customHeight="1" x14ac:dyDescent="0.2">
      <c r="A766" s="207" t="str">
        <f>RIGHT($C$83,3)&amp;"*"&amp;RIGHT($C$82,4)&amp;"*"&amp;AI$55&amp;"*"&amp;"A"</f>
        <v>142*2019*7250*A</v>
      </c>
      <c r="B766" s="270">
        <f>ROUND(AI59,0)</f>
        <v>0</v>
      </c>
      <c r="C766" s="272">
        <f>ROUND(AI60,2)</f>
        <v>0</v>
      </c>
      <c r="D766" s="270">
        <f>ROUND(AI61,0)</f>
        <v>0</v>
      </c>
      <c r="E766" s="270">
        <f>ROUND(AI62,0)</f>
        <v>0</v>
      </c>
      <c r="F766" s="270">
        <f>ROUND(AI63,0)</f>
        <v>0</v>
      </c>
      <c r="G766" s="270">
        <f>ROUND(AI64,0)</f>
        <v>0</v>
      </c>
      <c r="H766" s="270">
        <f>ROUND(AI65,0)</f>
        <v>0</v>
      </c>
      <c r="I766" s="270">
        <f>ROUND(AI66,0)</f>
        <v>0</v>
      </c>
      <c r="J766" s="270">
        <f>ROUND(AI67,0)</f>
        <v>0</v>
      </c>
      <c r="K766" s="270">
        <f>ROUND(AI68,0)</f>
        <v>0</v>
      </c>
      <c r="L766" s="270">
        <f>ROUND(AI69,0)</f>
        <v>0</v>
      </c>
      <c r="M766" s="270">
        <f>ROUND(AI70,0)</f>
        <v>0</v>
      </c>
      <c r="N766" s="270">
        <f>ROUND(AI75,0)</f>
        <v>0</v>
      </c>
      <c r="O766" s="270">
        <f>ROUND(AI73,0)</f>
        <v>0</v>
      </c>
      <c r="P766" s="270">
        <f>IF(AI76&gt;0,ROUND(AI76,0),0)</f>
        <v>0</v>
      </c>
      <c r="Q766" s="270">
        <f>IF(AI77&gt;0,ROUND(AI77,0),0)</f>
        <v>0</v>
      </c>
      <c r="R766" s="270">
        <f>IF(AI78&gt;0,ROUND(AI78,0),0)</f>
        <v>0</v>
      </c>
      <c r="S766" s="270">
        <f>IF(AI79&gt;0,ROUND(AI79,0),0)</f>
        <v>0</v>
      </c>
      <c r="T766" s="272">
        <f>IF(AI80&gt;0,ROUND(AI80,2),0)</f>
        <v>0</v>
      </c>
      <c r="U766" s="270"/>
      <c r="V766" s="271"/>
      <c r="W766" s="270"/>
      <c r="X766" s="270"/>
      <c r="Y766" s="270">
        <f t="shared" si="22"/>
        <v>0</v>
      </c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  <c r="CA766" s="271"/>
      <c r="CB766" s="271"/>
      <c r="CC766" s="271"/>
      <c r="CD766" s="271"/>
      <c r="CE766" s="271"/>
    </row>
    <row r="767" spans="1:83" ht="12.6" customHeight="1" x14ac:dyDescent="0.2">
      <c r="A767" s="207" t="str">
        <f>RIGHT($C$83,3)&amp;"*"&amp;RIGHT($C$82,4)&amp;"*"&amp;AJ$55&amp;"*"&amp;"A"</f>
        <v>142*2019*7260*A</v>
      </c>
      <c r="B767" s="270">
        <f>ROUND(AJ59,0)</f>
        <v>512461</v>
      </c>
      <c r="C767" s="272">
        <f>ROUND(AJ60,2)</f>
        <v>466.14</v>
      </c>
      <c r="D767" s="270">
        <f>ROUND(AJ61,0)</f>
        <v>57920828</v>
      </c>
      <c r="E767" s="270">
        <f>ROUND(AJ62,0)</f>
        <v>10055664</v>
      </c>
      <c r="F767" s="270">
        <f>ROUND(AJ63,0)</f>
        <v>23717360</v>
      </c>
      <c r="G767" s="270">
        <f>ROUND(AJ64,0)</f>
        <v>2833738</v>
      </c>
      <c r="H767" s="270">
        <f>ROUND(AJ65,0)</f>
        <v>897858</v>
      </c>
      <c r="I767" s="270">
        <f>ROUND(AJ66,0)</f>
        <v>41473954</v>
      </c>
      <c r="J767" s="270">
        <f>ROUND(AJ67,0)</f>
        <v>6289602</v>
      </c>
      <c r="K767" s="270">
        <f>ROUND(AJ68,0)</f>
        <v>7477809</v>
      </c>
      <c r="L767" s="270">
        <f>ROUND(AJ69,0)</f>
        <v>4635807</v>
      </c>
      <c r="M767" s="270">
        <f>ROUND(AJ70,0)</f>
        <v>2357967</v>
      </c>
      <c r="N767" s="270">
        <f>ROUND(AJ75,0)</f>
        <v>248490705</v>
      </c>
      <c r="O767" s="270">
        <f>ROUND(AJ73,0)</f>
        <v>0</v>
      </c>
      <c r="P767" s="270">
        <f>IF(AJ76&gt;0,ROUND(AJ76,0),0)</f>
        <v>0</v>
      </c>
      <c r="Q767" s="270">
        <f>IF(AJ77&gt;0,ROUND(AJ77,0),0)</f>
        <v>0</v>
      </c>
      <c r="R767" s="270">
        <f>IF(AJ78&gt;0,ROUND(AJ78,0),0)</f>
        <v>0</v>
      </c>
      <c r="S767" s="270">
        <f>IF(AJ79&gt;0,ROUND(AJ79,0),0)</f>
        <v>0</v>
      </c>
      <c r="T767" s="272">
        <f>IF(AJ80&gt;0,ROUND(AJ80,2),0)</f>
        <v>29.26</v>
      </c>
      <c r="U767" s="270"/>
      <c r="V767" s="271"/>
      <c r="W767" s="270"/>
      <c r="X767" s="270"/>
      <c r="Y767" s="270">
        <f t="shared" si="22"/>
        <v>17827330</v>
      </c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  <c r="CA767" s="271"/>
      <c r="CB767" s="271"/>
      <c r="CC767" s="271"/>
      <c r="CD767" s="271"/>
      <c r="CE767" s="271"/>
    </row>
    <row r="768" spans="1:83" ht="12.6" customHeight="1" x14ac:dyDescent="0.2">
      <c r="A768" s="207" t="str">
        <f>RIGHT($C$83,3)&amp;"*"&amp;RIGHT($C$82,4)&amp;"*"&amp;AK$55&amp;"*"&amp;"A"</f>
        <v>142*2019*7310*A</v>
      </c>
      <c r="B768" s="270">
        <f>ROUND(AK59,0)</f>
        <v>25891</v>
      </c>
      <c r="C768" s="272">
        <f>ROUND(AK60,2)</f>
        <v>9.18</v>
      </c>
      <c r="D768" s="270">
        <f>ROUND(AK61,0)</f>
        <v>926053</v>
      </c>
      <c r="E768" s="270">
        <f>ROUND(AK62,0)</f>
        <v>202562</v>
      </c>
      <c r="F768" s="270">
        <f>ROUND(AK63,0)</f>
        <v>0</v>
      </c>
      <c r="G768" s="270">
        <f>ROUND(AK64,0)</f>
        <v>10168</v>
      </c>
      <c r="H768" s="270">
        <f>ROUND(AK65,0)</f>
        <v>1358</v>
      </c>
      <c r="I768" s="270">
        <f>ROUND(AK66,0)</f>
        <v>133926</v>
      </c>
      <c r="J768" s="270">
        <f>ROUND(AK67,0)</f>
        <v>238611</v>
      </c>
      <c r="K768" s="270">
        <f>ROUND(AK68,0)</f>
        <v>170111</v>
      </c>
      <c r="L768" s="270">
        <f>ROUND(AK69,0)</f>
        <v>5891</v>
      </c>
      <c r="M768" s="270">
        <f>ROUND(AK70,0)</f>
        <v>1859</v>
      </c>
      <c r="N768" s="270">
        <f>ROUND(AK75,0)</f>
        <v>6881289</v>
      </c>
      <c r="O768" s="270">
        <f>ROUND(AK73,0)</f>
        <v>3380933</v>
      </c>
      <c r="P768" s="270">
        <f>IF(AK76&gt;0,ROUND(AK76,0),0)</f>
        <v>4681</v>
      </c>
      <c r="Q768" s="270">
        <f>IF(AK77&gt;0,ROUND(AK77,0),0)</f>
        <v>0</v>
      </c>
      <c r="R768" s="270">
        <f>IF(AK78&gt;0,ROUND(AK78,0),0)</f>
        <v>1337</v>
      </c>
      <c r="S768" s="270">
        <f>IF(AK79&gt;0,ROUND(AK79,0),0)</f>
        <v>0</v>
      </c>
      <c r="T768" s="272">
        <f>IF(AK80&gt;0,ROUND(AK80,2),0)</f>
        <v>0</v>
      </c>
      <c r="U768" s="270"/>
      <c r="V768" s="271"/>
      <c r="W768" s="270"/>
      <c r="X768" s="270"/>
      <c r="Y768" s="270">
        <f t="shared" si="22"/>
        <v>709102</v>
      </c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  <c r="CA768" s="271"/>
      <c r="CB768" s="271"/>
      <c r="CC768" s="271"/>
      <c r="CD768" s="271"/>
      <c r="CE768" s="271"/>
    </row>
    <row r="769" spans="1:83" ht="12.6" customHeight="1" x14ac:dyDescent="0.2">
      <c r="A769" s="207" t="str">
        <f>RIGHT($C$83,3)&amp;"*"&amp;RIGHT($C$82,4)&amp;"*"&amp;AL$55&amp;"*"&amp;"A"</f>
        <v>142*2019*7320*A</v>
      </c>
      <c r="B769" s="270">
        <f>ROUND(AL59,0)</f>
        <v>3959</v>
      </c>
      <c r="C769" s="272">
        <f>ROUND(AL60,2)</f>
        <v>4.67</v>
      </c>
      <c r="D769" s="270">
        <f>ROUND(AL61,0)</f>
        <v>455778</v>
      </c>
      <c r="E769" s="270">
        <f>ROUND(AL62,0)</f>
        <v>103039</v>
      </c>
      <c r="F769" s="270">
        <f>ROUND(AL63,0)</f>
        <v>0</v>
      </c>
      <c r="G769" s="270">
        <f>ROUND(AL64,0)</f>
        <v>5028</v>
      </c>
      <c r="H769" s="270">
        <f>ROUND(AL65,0)</f>
        <v>188</v>
      </c>
      <c r="I769" s="270">
        <f>ROUND(AL66,0)</f>
        <v>23761</v>
      </c>
      <c r="J769" s="270">
        <f>ROUND(AL67,0)</f>
        <v>78501</v>
      </c>
      <c r="K769" s="270">
        <f>ROUND(AL68,0)</f>
        <v>58369</v>
      </c>
      <c r="L769" s="270">
        <f>ROUND(AL69,0)</f>
        <v>2247</v>
      </c>
      <c r="M769" s="270">
        <f>ROUND(AL70,0)</f>
        <v>3695</v>
      </c>
      <c r="N769" s="270">
        <f>ROUND(AL75,0)</f>
        <v>3387264</v>
      </c>
      <c r="O769" s="270">
        <f>ROUND(AL73,0)</f>
        <v>1333140</v>
      </c>
      <c r="P769" s="270">
        <f>IF(AL76&gt;0,ROUND(AL76,0),0)</f>
        <v>1540</v>
      </c>
      <c r="Q769" s="270">
        <f>IF(AL77&gt;0,ROUND(AL77,0),0)</f>
        <v>0</v>
      </c>
      <c r="R769" s="270">
        <f>IF(AL78&gt;0,ROUND(AL78,0),0)</f>
        <v>440</v>
      </c>
      <c r="S769" s="270">
        <f>IF(AL79&gt;0,ROUND(AL79,0),0)</f>
        <v>0</v>
      </c>
      <c r="T769" s="272">
        <f>IF(AL80&gt;0,ROUND(AL80,2),0)</f>
        <v>0</v>
      </c>
      <c r="U769" s="270"/>
      <c r="V769" s="271"/>
      <c r="W769" s="270"/>
      <c r="X769" s="270"/>
      <c r="Y769" s="270">
        <f t="shared" si="22"/>
        <v>264954</v>
      </c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  <c r="CA769" s="271"/>
      <c r="CB769" s="271"/>
      <c r="CC769" s="271"/>
      <c r="CD769" s="271"/>
      <c r="CE769" s="271"/>
    </row>
    <row r="770" spans="1:83" ht="12.6" customHeight="1" x14ac:dyDescent="0.2">
      <c r="A770" s="207" t="str">
        <f>RIGHT($C$83,3)&amp;"*"&amp;RIGHT($C$82,4)&amp;"*"&amp;AM$55&amp;"*"&amp;"A"</f>
        <v>142*2019*7330*A</v>
      </c>
      <c r="B770" s="270">
        <f>ROUND(AM59,0)</f>
        <v>0</v>
      </c>
      <c r="C770" s="272">
        <f>ROUND(AM60,2)</f>
        <v>0</v>
      </c>
      <c r="D770" s="270">
        <f>ROUND(AM61,0)</f>
        <v>0</v>
      </c>
      <c r="E770" s="270">
        <f>ROUND(AM62,0)</f>
        <v>0</v>
      </c>
      <c r="F770" s="270">
        <f>ROUND(AM63,0)</f>
        <v>0</v>
      </c>
      <c r="G770" s="270">
        <f>ROUND(AM64,0)</f>
        <v>-45</v>
      </c>
      <c r="H770" s="270">
        <f>ROUND(AM65,0)</f>
        <v>0</v>
      </c>
      <c r="I770" s="270">
        <f>ROUND(AM66,0)</f>
        <v>0</v>
      </c>
      <c r="J770" s="270">
        <f>ROUND(AM67,0)</f>
        <v>0</v>
      </c>
      <c r="K770" s="270">
        <f>ROUND(AM68,0)</f>
        <v>0</v>
      </c>
      <c r="L770" s="270">
        <f>ROUND(AM69,0)</f>
        <v>0</v>
      </c>
      <c r="M770" s="270">
        <f>ROUND(AM70,0)</f>
        <v>0</v>
      </c>
      <c r="N770" s="270">
        <f>ROUND(AM75,0)</f>
        <v>0</v>
      </c>
      <c r="O770" s="270">
        <f>ROUND(AM73,0)</f>
        <v>0</v>
      </c>
      <c r="P770" s="270">
        <f>IF(AM76&gt;0,ROUND(AM76,0),0)</f>
        <v>0</v>
      </c>
      <c r="Q770" s="270">
        <f>IF(AM77&gt;0,ROUND(AM77,0),0)</f>
        <v>0</v>
      </c>
      <c r="R770" s="270">
        <f>IF(AM78&gt;0,ROUND(AM78,0),0)</f>
        <v>0</v>
      </c>
      <c r="S770" s="270">
        <f>IF(AM79&gt;0,ROUND(AM79,0),0)</f>
        <v>0</v>
      </c>
      <c r="T770" s="272">
        <f>IF(AM80&gt;0,ROUND(AM80,2),0)</f>
        <v>0</v>
      </c>
      <c r="U770" s="270"/>
      <c r="V770" s="271"/>
      <c r="W770" s="270"/>
      <c r="X770" s="270"/>
      <c r="Y770" s="270">
        <f t="shared" si="22"/>
        <v>-7</v>
      </c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  <c r="CA770" s="271"/>
      <c r="CB770" s="271"/>
      <c r="CC770" s="271"/>
      <c r="CD770" s="271"/>
      <c r="CE770" s="271"/>
    </row>
    <row r="771" spans="1:83" ht="12.6" customHeight="1" x14ac:dyDescent="0.2">
      <c r="A771" s="207" t="str">
        <f>RIGHT($C$83,3)&amp;"*"&amp;RIGHT($C$82,4)&amp;"*"&amp;AN$55&amp;"*"&amp;"A"</f>
        <v>142*2019*7340*A</v>
      </c>
      <c r="B771" s="270">
        <f>ROUND(AN59,0)</f>
        <v>0</v>
      </c>
      <c r="C771" s="272">
        <f>ROUND(AN60,2)</f>
        <v>0</v>
      </c>
      <c r="D771" s="270">
        <f>ROUND(AN61,0)</f>
        <v>0</v>
      </c>
      <c r="E771" s="270">
        <f>ROUND(AN62,0)</f>
        <v>0</v>
      </c>
      <c r="F771" s="270">
        <f>ROUND(AN63,0)</f>
        <v>0</v>
      </c>
      <c r="G771" s="270">
        <f>ROUND(AN64,0)</f>
        <v>0</v>
      </c>
      <c r="H771" s="270">
        <f>ROUND(AN65,0)</f>
        <v>0</v>
      </c>
      <c r="I771" s="270">
        <f>ROUND(AN66,0)</f>
        <v>0</v>
      </c>
      <c r="J771" s="270">
        <f>ROUND(AN67,0)</f>
        <v>0</v>
      </c>
      <c r="K771" s="270">
        <f>ROUND(AN68,0)</f>
        <v>0</v>
      </c>
      <c r="L771" s="270">
        <f>ROUND(AN69,0)</f>
        <v>0</v>
      </c>
      <c r="M771" s="270">
        <f>ROUND(AN70,0)</f>
        <v>0</v>
      </c>
      <c r="N771" s="270">
        <f>ROUND(AN75,0)</f>
        <v>0</v>
      </c>
      <c r="O771" s="270">
        <f>ROUND(AN73,0)</f>
        <v>0</v>
      </c>
      <c r="P771" s="270">
        <f>IF(AN76&gt;0,ROUND(AN76,0),0)</f>
        <v>0</v>
      </c>
      <c r="Q771" s="270">
        <f>IF(AN77&gt;0,ROUND(AN77,0),0)</f>
        <v>0</v>
      </c>
      <c r="R771" s="270">
        <f>IF(AN78&gt;0,ROUND(AN78,0),0)</f>
        <v>0</v>
      </c>
      <c r="S771" s="270">
        <f>IF(AN79&gt;0,ROUND(AN79,0),0)</f>
        <v>0</v>
      </c>
      <c r="T771" s="272">
        <f>IF(AN80&gt;0,ROUND(AN80,2),0)</f>
        <v>0</v>
      </c>
      <c r="U771" s="270"/>
      <c r="V771" s="271"/>
      <c r="W771" s="270"/>
      <c r="X771" s="270"/>
      <c r="Y771" s="270">
        <f t="shared" si="22"/>
        <v>0</v>
      </c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  <c r="CA771" s="271"/>
      <c r="CB771" s="271"/>
      <c r="CC771" s="271"/>
      <c r="CD771" s="271"/>
      <c r="CE771" s="271"/>
    </row>
    <row r="772" spans="1:83" ht="12.6" customHeight="1" x14ac:dyDescent="0.2">
      <c r="A772" s="207" t="str">
        <f>RIGHT($C$83,3)&amp;"*"&amp;RIGHT($C$82,4)&amp;"*"&amp;AO$55&amp;"*"&amp;"A"</f>
        <v>142*2019*7350*A</v>
      </c>
      <c r="B772" s="270">
        <f>ROUND(AO59,0)</f>
        <v>0</v>
      </c>
      <c r="C772" s="272">
        <f>ROUND(AO60,2)</f>
        <v>0</v>
      </c>
      <c r="D772" s="270">
        <f>ROUND(AO61,0)</f>
        <v>0</v>
      </c>
      <c r="E772" s="270">
        <f>ROUND(AO62,0)</f>
        <v>0</v>
      </c>
      <c r="F772" s="270">
        <f>ROUND(AO63,0)</f>
        <v>0</v>
      </c>
      <c r="G772" s="270">
        <f>ROUND(AO64,0)</f>
        <v>0</v>
      </c>
      <c r="H772" s="270">
        <f>ROUND(AO65,0)</f>
        <v>0</v>
      </c>
      <c r="I772" s="270">
        <f>ROUND(AO66,0)</f>
        <v>0</v>
      </c>
      <c r="J772" s="270">
        <f>ROUND(AO67,0)</f>
        <v>0</v>
      </c>
      <c r="K772" s="270">
        <f>ROUND(AO68,0)</f>
        <v>0</v>
      </c>
      <c r="L772" s="270">
        <f>ROUND(AO69,0)</f>
        <v>0</v>
      </c>
      <c r="M772" s="270">
        <f>ROUND(AO70,0)</f>
        <v>0</v>
      </c>
      <c r="N772" s="270">
        <f>ROUND(AO75,0)</f>
        <v>0</v>
      </c>
      <c r="O772" s="270">
        <f>ROUND(AO73,0)</f>
        <v>0</v>
      </c>
      <c r="P772" s="270">
        <f>IF(AO76&gt;0,ROUND(AO76,0),0)</f>
        <v>0</v>
      </c>
      <c r="Q772" s="270">
        <f>IF(AO77&gt;0,ROUND(AO77,0),0)</f>
        <v>0</v>
      </c>
      <c r="R772" s="270">
        <f>IF(AO78&gt;0,ROUND(AO78,0),0)</f>
        <v>0</v>
      </c>
      <c r="S772" s="270">
        <f>IF(AO79&gt;0,ROUND(AO79,0),0)</f>
        <v>0</v>
      </c>
      <c r="T772" s="272">
        <f>IF(AO80&gt;0,ROUND(AO80,2),0)</f>
        <v>0</v>
      </c>
      <c r="U772" s="270"/>
      <c r="V772" s="271"/>
      <c r="W772" s="270"/>
      <c r="X772" s="270"/>
      <c r="Y772" s="270">
        <f t="shared" si="22"/>
        <v>0</v>
      </c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  <c r="CA772" s="271"/>
      <c r="CB772" s="271"/>
      <c r="CC772" s="271"/>
      <c r="CD772" s="271"/>
      <c r="CE772" s="271"/>
    </row>
    <row r="773" spans="1:83" ht="12.6" customHeight="1" x14ac:dyDescent="0.2">
      <c r="A773" s="207" t="str">
        <f>RIGHT($C$83,3)&amp;"*"&amp;RIGHT($C$82,4)&amp;"*"&amp;AP$55&amp;"*"&amp;"A"</f>
        <v>142*2019*7380*A</v>
      </c>
      <c r="B773" s="270">
        <f>ROUND(AP59,0)</f>
        <v>473447</v>
      </c>
      <c r="C773" s="272">
        <f>ROUND(AP60,2)</f>
        <v>95.71</v>
      </c>
      <c r="D773" s="270">
        <f>ROUND(AP61,0)</f>
        <v>6834455</v>
      </c>
      <c r="E773" s="270">
        <f>ROUND(AP62,0)</f>
        <v>1836105</v>
      </c>
      <c r="F773" s="270">
        <f>ROUND(AP63,0)</f>
        <v>34260</v>
      </c>
      <c r="G773" s="270">
        <f>ROUND(AP64,0)</f>
        <v>39078299</v>
      </c>
      <c r="H773" s="270">
        <f>ROUND(AP65,0)</f>
        <v>124264</v>
      </c>
      <c r="I773" s="270">
        <f>ROUND(AP66,0)</f>
        <v>2470328</v>
      </c>
      <c r="J773" s="270">
        <f>ROUND(AP67,0)</f>
        <v>4064193</v>
      </c>
      <c r="K773" s="270">
        <f>ROUND(AP68,0)</f>
        <v>697830</v>
      </c>
      <c r="L773" s="270">
        <f>ROUND(AP69,0)</f>
        <v>49826</v>
      </c>
      <c r="M773" s="270">
        <f>ROUND(AP70,0)</f>
        <v>482046</v>
      </c>
      <c r="N773" s="270">
        <f>ROUND(AP75,0)</f>
        <v>365886895</v>
      </c>
      <c r="O773" s="270">
        <f>ROUND(AP73,0)</f>
        <v>3982388</v>
      </c>
      <c r="P773" s="270">
        <f>IF(AP76&gt;0,ROUND(AP76,0),0)</f>
        <v>63472</v>
      </c>
      <c r="Q773" s="270">
        <f>IF(AP77&gt;0,ROUND(AP77,0),0)</f>
        <v>0</v>
      </c>
      <c r="R773" s="270">
        <f>IF(AP78&gt;0,ROUND(AP78,0),0)</f>
        <v>18135</v>
      </c>
      <c r="S773" s="270">
        <f>IF(AP79&gt;0,ROUND(AP79,0),0)</f>
        <v>0</v>
      </c>
      <c r="T773" s="272">
        <f>IF(AP80&gt;0,ROUND(AP80,2),0)</f>
        <v>32.22</v>
      </c>
      <c r="U773" s="270"/>
      <c r="V773" s="271"/>
      <c r="W773" s="270"/>
      <c r="X773" s="270"/>
      <c r="Y773" s="270">
        <f t="shared" si="22"/>
        <v>19001739</v>
      </c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  <c r="CA773" s="271"/>
      <c r="CB773" s="271"/>
      <c r="CC773" s="271"/>
      <c r="CD773" s="271"/>
      <c r="CE773" s="271"/>
    </row>
    <row r="774" spans="1:83" ht="12.6" customHeight="1" x14ac:dyDescent="0.2">
      <c r="A774" s="207" t="str">
        <f>RIGHT($C$83,3)&amp;"*"&amp;RIGHT($C$82,4)&amp;"*"&amp;AQ$55&amp;"*"&amp;"A"</f>
        <v>142*2019*7390*A</v>
      </c>
      <c r="B774" s="270">
        <f>ROUND(AQ59,0)</f>
        <v>0</v>
      </c>
      <c r="C774" s="272">
        <f>ROUND(AQ60,2)</f>
        <v>0</v>
      </c>
      <c r="D774" s="270">
        <f>ROUND(AQ61,0)</f>
        <v>0</v>
      </c>
      <c r="E774" s="270">
        <f>ROUND(AQ62,0)</f>
        <v>0</v>
      </c>
      <c r="F774" s="270">
        <f>ROUND(AQ63,0)</f>
        <v>0</v>
      </c>
      <c r="G774" s="270">
        <f>ROUND(AQ64,0)</f>
        <v>0</v>
      </c>
      <c r="H774" s="270">
        <f>ROUND(AQ65,0)</f>
        <v>0</v>
      </c>
      <c r="I774" s="270">
        <f>ROUND(AQ66,0)</f>
        <v>0</v>
      </c>
      <c r="J774" s="270">
        <f>ROUND(AQ67,0)</f>
        <v>0</v>
      </c>
      <c r="K774" s="270">
        <f>ROUND(AQ68,0)</f>
        <v>0</v>
      </c>
      <c r="L774" s="270">
        <f>ROUND(AQ69,0)</f>
        <v>0</v>
      </c>
      <c r="M774" s="270">
        <f>ROUND(AQ70,0)</f>
        <v>0</v>
      </c>
      <c r="N774" s="270">
        <f>ROUND(AQ75,0)</f>
        <v>0</v>
      </c>
      <c r="O774" s="270">
        <f>ROUND(AQ73,0)</f>
        <v>0</v>
      </c>
      <c r="P774" s="270">
        <f>IF(AQ76&gt;0,ROUND(AQ76,0),0)</f>
        <v>0</v>
      </c>
      <c r="Q774" s="270">
        <f>IF(AQ77&gt;0,ROUND(AQ77,0),0)</f>
        <v>0</v>
      </c>
      <c r="R774" s="270">
        <f>IF(AQ78&gt;0,ROUND(AQ78,0),0)</f>
        <v>0</v>
      </c>
      <c r="S774" s="270">
        <f>IF(AQ79&gt;0,ROUND(AQ79,0),0)</f>
        <v>0</v>
      </c>
      <c r="T774" s="272">
        <f>IF(AQ80&gt;0,ROUND(AQ80,2),0)</f>
        <v>0</v>
      </c>
      <c r="U774" s="270"/>
      <c r="V774" s="271"/>
      <c r="W774" s="270"/>
      <c r="X774" s="270"/>
      <c r="Y774" s="270">
        <f t="shared" si="22"/>
        <v>0</v>
      </c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  <c r="CA774" s="271"/>
      <c r="CB774" s="271"/>
      <c r="CC774" s="271"/>
      <c r="CD774" s="271"/>
      <c r="CE774" s="271"/>
    </row>
    <row r="775" spans="1:83" ht="12.6" customHeight="1" x14ac:dyDescent="0.2">
      <c r="A775" s="207" t="str">
        <f>RIGHT($C$83,3)&amp;"*"&amp;RIGHT($C$82,4)&amp;"*"&amp;AR$55&amp;"*"&amp;"A"</f>
        <v>142*2019*7400*A</v>
      </c>
      <c r="B775" s="270">
        <f>ROUND(AR59,0)</f>
        <v>0</v>
      </c>
      <c r="C775" s="272">
        <f>ROUND(AR60,2)</f>
        <v>0</v>
      </c>
      <c r="D775" s="270">
        <f>ROUND(AR61,0)</f>
        <v>0</v>
      </c>
      <c r="E775" s="270">
        <f>ROUND(AR62,0)</f>
        <v>0</v>
      </c>
      <c r="F775" s="270">
        <f>ROUND(AR63,0)</f>
        <v>0</v>
      </c>
      <c r="G775" s="270">
        <f>ROUND(AR64,0)</f>
        <v>0</v>
      </c>
      <c r="H775" s="270">
        <f>ROUND(AR65,0)</f>
        <v>0</v>
      </c>
      <c r="I775" s="270">
        <f>ROUND(AR66,0)</f>
        <v>0</v>
      </c>
      <c r="J775" s="270">
        <f>ROUND(AR67,0)</f>
        <v>0</v>
      </c>
      <c r="K775" s="270">
        <f>ROUND(AR68,0)</f>
        <v>0</v>
      </c>
      <c r="L775" s="270">
        <f>ROUND(AR69,0)</f>
        <v>0</v>
      </c>
      <c r="M775" s="270">
        <f>ROUND(AR70,0)</f>
        <v>0</v>
      </c>
      <c r="N775" s="270">
        <f>ROUND(AR75,0)</f>
        <v>0</v>
      </c>
      <c r="O775" s="270">
        <f>ROUND(AR73,0)</f>
        <v>0</v>
      </c>
      <c r="P775" s="270">
        <f>IF(AR76&gt;0,ROUND(AR76,0),0)</f>
        <v>0</v>
      </c>
      <c r="Q775" s="270">
        <f>IF(AR77&gt;0,ROUND(AR77,0),0)</f>
        <v>0</v>
      </c>
      <c r="R775" s="270">
        <f>IF(AR78&gt;0,ROUND(AR78,0),0)</f>
        <v>0</v>
      </c>
      <c r="S775" s="270">
        <f>IF(AR79&gt;0,ROUND(AR79,0),0)</f>
        <v>0</v>
      </c>
      <c r="T775" s="272">
        <f>IF(AR80&gt;0,ROUND(AR80,2),0)</f>
        <v>0</v>
      </c>
      <c r="U775" s="270"/>
      <c r="V775" s="271"/>
      <c r="W775" s="270"/>
      <c r="X775" s="270"/>
      <c r="Y775" s="270">
        <f t="shared" si="22"/>
        <v>0</v>
      </c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  <c r="CA775" s="271"/>
      <c r="CB775" s="271"/>
      <c r="CC775" s="271"/>
      <c r="CD775" s="271"/>
      <c r="CE775" s="271"/>
    </row>
    <row r="776" spans="1:83" ht="12.6" customHeight="1" x14ac:dyDescent="0.2">
      <c r="A776" s="207" t="str">
        <f>RIGHT($C$83,3)&amp;"*"&amp;RIGHT($C$82,4)&amp;"*"&amp;AS$55&amp;"*"&amp;"A"</f>
        <v>142*2019*7410*A</v>
      </c>
      <c r="B776" s="270">
        <f>ROUND(AS59,0)</f>
        <v>0</v>
      </c>
      <c r="C776" s="272">
        <f>ROUND(AS60,2)</f>
        <v>0</v>
      </c>
      <c r="D776" s="270">
        <f>ROUND(AS61,0)</f>
        <v>0</v>
      </c>
      <c r="E776" s="270">
        <f>ROUND(AS62,0)</f>
        <v>0</v>
      </c>
      <c r="F776" s="270">
        <f>ROUND(AS63,0)</f>
        <v>0</v>
      </c>
      <c r="G776" s="270">
        <f>ROUND(AS64,0)</f>
        <v>0</v>
      </c>
      <c r="H776" s="270">
        <f>ROUND(AS65,0)</f>
        <v>0</v>
      </c>
      <c r="I776" s="270">
        <f>ROUND(AS66,0)</f>
        <v>0</v>
      </c>
      <c r="J776" s="270">
        <f>ROUND(AS67,0)</f>
        <v>0</v>
      </c>
      <c r="K776" s="270">
        <f>ROUND(AS68,0)</f>
        <v>0</v>
      </c>
      <c r="L776" s="270">
        <f>ROUND(AS69,0)</f>
        <v>0</v>
      </c>
      <c r="M776" s="270">
        <f>ROUND(AS70,0)</f>
        <v>0</v>
      </c>
      <c r="N776" s="270">
        <f>ROUND(AS75,0)</f>
        <v>0</v>
      </c>
      <c r="O776" s="270">
        <f>ROUND(AS73,0)</f>
        <v>0</v>
      </c>
      <c r="P776" s="270">
        <f>IF(AS76&gt;0,ROUND(AS76,0),0)</f>
        <v>0</v>
      </c>
      <c r="Q776" s="270">
        <f>IF(AS77&gt;0,ROUND(AS77,0),0)</f>
        <v>0</v>
      </c>
      <c r="R776" s="270">
        <f>IF(AS78&gt;0,ROUND(AS78,0),0)</f>
        <v>0</v>
      </c>
      <c r="S776" s="270">
        <f>IF(AS79&gt;0,ROUND(AS79,0),0)</f>
        <v>0</v>
      </c>
      <c r="T776" s="272">
        <f>IF(AS80&gt;0,ROUND(AS80,2),0)</f>
        <v>0</v>
      </c>
      <c r="U776" s="270"/>
      <c r="V776" s="271"/>
      <c r="W776" s="270"/>
      <c r="X776" s="270"/>
      <c r="Y776" s="270">
        <f t="shared" si="22"/>
        <v>0</v>
      </c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  <c r="CA776" s="271"/>
      <c r="CB776" s="271"/>
      <c r="CC776" s="271"/>
      <c r="CD776" s="271"/>
      <c r="CE776" s="271"/>
    </row>
    <row r="777" spans="1:83" ht="12.6" customHeight="1" x14ac:dyDescent="0.2">
      <c r="A777" s="207" t="str">
        <f>RIGHT($C$83,3)&amp;"*"&amp;RIGHT($C$82,4)&amp;"*"&amp;AT$55&amp;"*"&amp;"A"</f>
        <v>142*2019*7420*A</v>
      </c>
      <c r="B777" s="270">
        <f>ROUND(AT59,0)</f>
        <v>0</v>
      </c>
      <c r="C777" s="272">
        <f>ROUND(AT60,2)</f>
        <v>0</v>
      </c>
      <c r="D777" s="270">
        <f>ROUND(AT61,0)</f>
        <v>0</v>
      </c>
      <c r="E777" s="270">
        <f>ROUND(AT62,0)</f>
        <v>0</v>
      </c>
      <c r="F777" s="270">
        <f>ROUND(AT63,0)</f>
        <v>0</v>
      </c>
      <c r="G777" s="270">
        <f>ROUND(AT64,0)</f>
        <v>0</v>
      </c>
      <c r="H777" s="270">
        <f>ROUND(AT65,0)</f>
        <v>0</v>
      </c>
      <c r="I777" s="270">
        <f>ROUND(AT66,0)</f>
        <v>0</v>
      </c>
      <c r="J777" s="270">
        <f>ROUND(AT67,0)</f>
        <v>0</v>
      </c>
      <c r="K777" s="270">
        <f>ROUND(AT68,0)</f>
        <v>0</v>
      </c>
      <c r="L777" s="270">
        <f>ROUND(AT69,0)</f>
        <v>0</v>
      </c>
      <c r="M777" s="270">
        <f>ROUND(AT70,0)</f>
        <v>0</v>
      </c>
      <c r="N777" s="270">
        <f>ROUND(AT75,0)</f>
        <v>0</v>
      </c>
      <c r="O777" s="270">
        <f>ROUND(AT73,0)</f>
        <v>0</v>
      </c>
      <c r="P777" s="270">
        <f>IF(AT76&gt;0,ROUND(AT76,0),0)</f>
        <v>0</v>
      </c>
      <c r="Q777" s="270">
        <f>IF(AT77&gt;0,ROUND(AT77,0),0)</f>
        <v>0</v>
      </c>
      <c r="R777" s="270">
        <f>IF(AT78&gt;0,ROUND(AT78,0),0)</f>
        <v>0</v>
      </c>
      <c r="S777" s="270">
        <f>IF(AT79&gt;0,ROUND(AT79,0),0)</f>
        <v>0</v>
      </c>
      <c r="T777" s="272">
        <f>IF(AT80&gt;0,ROUND(AT80,2),0)</f>
        <v>0</v>
      </c>
      <c r="U777" s="270"/>
      <c r="V777" s="271"/>
      <c r="W777" s="270"/>
      <c r="X777" s="270"/>
      <c r="Y777" s="270">
        <f t="shared" si="22"/>
        <v>0</v>
      </c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  <c r="CA777" s="271"/>
      <c r="CB777" s="271"/>
      <c r="CC777" s="271"/>
      <c r="CD777" s="271"/>
      <c r="CE777" s="271"/>
    </row>
    <row r="778" spans="1:83" ht="12.6" customHeight="1" x14ac:dyDescent="0.2">
      <c r="A778" s="207" t="str">
        <f>RIGHT($C$83,3)&amp;"*"&amp;RIGHT($C$82,4)&amp;"*"&amp;AU$55&amp;"*"&amp;"A"</f>
        <v>142*2019*7430*A</v>
      </c>
      <c r="B778" s="270">
        <f>ROUND(AU59,0)</f>
        <v>0</v>
      </c>
      <c r="C778" s="272">
        <f>ROUND(AU60,2)</f>
        <v>0</v>
      </c>
      <c r="D778" s="270">
        <f>ROUND(AU61,0)</f>
        <v>0</v>
      </c>
      <c r="E778" s="270">
        <f>ROUND(AU62,0)</f>
        <v>0</v>
      </c>
      <c r="F778" s="270">
        <f>ROUND(AU63,0)</f>
        <v>0</v>
      </c>
      <c r="G778" s="270">
        <f>ROUND(AU64,0)</f>
        <v>0</v>
      </c>
      <c r="H778" s="270">
        <f>ROUND(AU65,0)</f>
        <v>0</v>
      </c>
      <c r="I778" s="270">
        <f>ROUND(AU66,0)</f>
        <v>0</v>
      </c>
      <c r="J778" s="270">
        <f>ROUND(AU67,0)</f>
        <v>0</v>
      </c>
      <c r="K778" s="270">
        <f>ROUND(AU68,0)</f>
        <v>0</v>
      </c>
      <c r="L778" s="270">
        <f>ROUND(AU69,0)</f>
        <v>0</v>
      </c>
      <c r="M778" s="270">
        <f>ROUND(AU70,0)</f>
        <v>0</v>
      </c>
      <c r="N778" s="270">
        <f>ROUND(AU75,0)</f>
        <v>0</v>
      </c>
      <c r="O778" s="270">
        <f>ROUND(AU73,0)</f>
        <v>0</v>
      </c>
      <c r="P778" s="270">
        <f>IF(AU76&gt;0,ROUND(AU76,0),0)</f>
        <v>0</v>
      </c>
      <c r="Q778" s="270">
        <f>IF(AU77&gt;0,ROUND(AU77,0),0)</f>
        <v>0</v>
      </c>
      <c r="R778" s="270">
        <f>IF(AU78&gt;0,ROUND(AU78,0),0)</f>
        <v>0</v>
      </c>
      <c r="S778" s="270">
        <f>IF(AU79&gt;0,ROUND(AU79,0),0)</f>
        <v>0</v>
      </c>
      <c r="T778" s="272">
        <f>IF(AU80&gt;0,ROUND(AU80,2),0)</f>
        <v>0</v>
      </c>
      <c r="U778" s="270"/>
      <c r="V778" s="271"/>
      <c r="W778" s="270"/>
      <c r="X778" s="270"/>
      <c r="Y778" s="270">
        <f t="shared" si="22"/>
        <v>0</v>
      </c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  <c r="CA778" s="271"/>
      <c r="CB778" s="271"/>
      <c r="CC778" s="271"/>
      <c r="CD778" s="271"/>
      <c r="CE778" s="271"/>
    </row>
    <row r="779" spans="1:83" ht="12.6" customHeight="1" x14ac:dyDescent="0.2">
      <c r="A779" s="207" t="str">
        <f>RIGHT($C$83,3)&amp;"*"&amp;RIGHT($C$82,4)&amp;"*"&amp;AV$55&amp;"*"&amp;"A"</f>
        <v>142*2019*7490*A</v>
      </c>
      <c r="B779" s="270"/>
      <c r="C779" s="272">
        <f>ROUND(AV60,2)</f>
        <v>1.24</v>
      </c>
      <c r="D779" s="270">
        <f>ROUND(AV61,0)</f>
        <v>188234</v>
      </c>
      <c r="E779" s="270">
        <f>ROUND(AV62,0)</f>
        <v>32110</v>
      </c>
      <c r="F779" s="270">
        <f>ROUND(AV63,0)</f>
        <v>1449749</v>
      </c>
      <c r="G779" s="270">
        <f>ROUND(AV64,0)</f>
        <v>1952</v>
      </c>
      <c r="H779" s="270">
        <f>ROUND(AV65,0)</f>
        <v>165</v>
      </c>
      <c r="I779" s="270">
        <f>ROUND(AV66,0)</f>
        <v>1554850</v>
      </c>
      <c r="J779" s="270">
        <f>ROUND(AV67,0)</f>
        <v>161538</v>
      </c>
      <c r="K779" s="270">
        <f>ROUND(AV68,0)</f>
        <v>0</v>
      </c>
      <c r="L779" s="270">
        <f>ROUND(AV69,0)</f>
        <v>300</v>
      </c>
      <c r="M779" s="270">
        <f>ROUND(AV70,0)</f>
        <v>24175</v>
      </c>
      <c r="N779" s="270">
        <f>ROUND(AV75,0)</f>
        <v>3000608</v>
      </c>
      <c r="O779" s="270">
        <f>ROUND(AV73,0)</f>
        <v>-187489</v>
      </c>
      <c r="P779" s="270">
        <f>IF(AV76&gt;0,ROUND(AV76,0),0)</f>
        <v>3169</v>
      </c>
      <c r="Q779" s="270">
        <f>IF(AV77&gt;0,ROUND(AV77,0),0)</f>
        <v>0</v>
      </c>
      <c r="R779" s="270">
        <f>IF(AV78&gt;0,ROUND(AV78,0),0)</f>
        <v>905</v>
      </c>
      <c r="S779" s="270">
        <f>IF(AV79&gt;0,ROUND(AV79,0),0)</f>
        <v>12305</v>
      </c>
      <c r="T779" s="272">
        <f>IF(AV80&gt;0,ROUND(AV80,2),0)</f>
        <v>0.56999999999999995</v>
      </c>
      <c r="U779" s="270"/>
      <c r="V779" s="271"/>
      <c r="W779" s="270"/>
      <c r="X779" s="270"/>
      <c r="Y779" s="270">
        <f t="shared" si="22"/>
        <v>657005</v>
      </c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  <c r="CA779" s="271"/>
      <c r="CB779" s="271"/>
      <c r="CC779" s="271"/>
      <c r="CD779" s="271"/>
      <c r="CE779" s="271"/>
    </row>
    <row r="780" spans="1:83" ht="12.6" customHeight="1" x14ac:dyDescent="0.2">
      <c r="A780" s="207" t="str">
        <f>RIGHT($C$83,3)&amp;"*"&amp;RIGHT($C$82,4)&amp;"*"&amp;AW$55&amp;"*"&amp;"A"</f>
        <v>142*2019*8200*A</v>
      </c>
      <c r="B780" s="270"/>
      <c r="C780" s="272">
        <f>ROUND(AW60,2)</f>
        <v>13.15</v>
      </c>
      <c r="D780" s="270">
        <f>ROUND(AW61,0)</f>
        <v>906003</v>
      </c>
      <c r="E780" s="270">
        <f>ROUND(AW62,0)</f>
        <v>247753</v>
      </c>
      <c r="F780" s="270">
        <f>ROUND(AW63,0)</f>
        <v>0</v>
      </c>
      <c r="G780" s="270">
        <f>ROUND(AW64,0)</f>
        <v>9923</v>
      </c>
      <c r="H780" s="270">
        <f>ROUND(AW65,0)</f>
        <v>0</v>
      </c>
      <c r="I780" s="270">
        <f>ROUND(AW66,0)</f>
        <v>172575</v>
      </c>
      <c r="J780" s="270">
        <f>ROUND(AW67,0)</f>
        <v>0</v>
      </c>
      <c r="K780" s="270">
        <f>ROUND(AW68,0)</f>
        <v>0</v>
      </c>
      <c r="L780" s="270">
        <f>ROUND(AW69,0)</f>
        <v>1421</v>
      </c>
      <c r="M780" s="270">
        <f>ROUND(AW70,0)</f>
        <v>305841</v>
      </c>
      <c r="N780" s="270"/>
      <c r="O780" s="270"/>
      <c r="P780" s="270">
        <f>IF(AW76&gt;0,ROUND(AW76,0),0)</f>
        <v>0</v>
      </c>
      <c r="Q780" s="270">
        <f>IF(AW77&gt;0,ROUND(AW77,0),0)</f>
        <v>0</v>
      </c>
      <c r="R780" s="270">
        <f>IF(AW78&gt;0,ROUND(AW78,0),0)</f>
        <v>0</v>
      </c>
      <c r="S780" s="270">
        <f>IF(AW79&gt;0,ROUND(AW79,0),0)</f>
        <v>0</v>
      </c>
      <c r="T780" s="272">
        <f>IF(AW80&gt;0,ROUND(AW80,2),0)</f>
        <v>0</v>
      </c>
      <c r="U780" s="270"/>
      <c r="V780" s="271"/>
      <c r="W780" s="270"/>
      <c r="X780" s="270"/>
      <c r="Y780" s="270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  <c r="CA780" s="271"/>
      <c r="CB780" s="271"/>
      <c r="CC780" s="271"/>
      <c r="CD780" s="271"/>
      <c r="CE780" s="271"/>
    </row>
    <row r="781" spans="1:83" ht="12.6" customHeight="1" x14ac:dyDescent="0.2">
      <c r="A781" s="207" t="str">
        <f>RIGHT($C$83,3)&amp;"*"&amp;RIGHT($C$82,4)&amp;"*"&amp;AX$55&amp;"*"&amp;"A"</f>
        <v>142*2019*8310*A</v>
      </c>
      <c r="B781" s="270"/>
      <c r="C781" s="272">
        <f>ROUND(AX60,2)</f>
        <v>0</v>
      </c>
      <c r="D781" s="270">
        <f>ROUND(AX61,0)</f>
        <v>0</v>
      </c>
      <c r="E781" s="270">
        <f>ROUND(AX62,0)</f>
        <v>0</v>
      </c>
      <c r="F781" s="270">
        <f>ROUND(AX63,0)</f>
        <v>0</v>
      </c>
      <c r="G781" s="270">
        <f>ROUND(AX64,0)</f>
        <v>0</v>
      </c>
      <c r="H781" s="270">
        <f>ROUND(AX65,0)</f>
        <v>0</v>
      </c>
      <c r="I781" s="270">
        <f>ROUND(AX66,0)</f>
        <v>194885</v>
      </c>
      <c r="J781" s="270">
        <f>ROUND(AX67,0)</f>
        <v>0</v>
      </c>
      <c r="K781" s="270">
        <f>ROUND(AX68,0)</f>
        <v>0</v>
      </c>
      <c r="L781" s="270">
        <f>ROUND(AX69,0)</f>
        <v>0</v>
      </c>
      <c r="M781" s="270">
        <f>ROUND(AX70,0)</f>
        <v>0</v>
      </c>
      <c r="N781" s="270"/>
      <c r="O781" s="270"/>
      <c r="P781" s="270">
        <f>IF(AX76&gt;0,ROUND(AX76,0),0)</f>
        <v>0</v>
      </c>
      <c r="Q781" s="270">
        <f>IF(AX77&gt;0,ROUND(AX77,0),0)</f>
        <v>0</v>
      </c>
      <c r="R781" s="270">
        <f>IF(AX78&gt;0,ROUND(AX78,0),0)</f>
        <v>0</v>
      </c>
      <c r="S781" s="270">
        <f>IF(AX79&gt;0,ROUND(AX79,0),0)</f>
        <v>0</v>
      </c>
      <c r="T781" s="272">
        <f>IF(AX80&gt;0,ROUND(AX80,2),0)</f>
        <v>0</v>
      </c>
      <c r="U781" s="270"/>
      <c r="V781" s="271"/>
      <c r="W781" s="270"/>
      <c r="X781" s="270"/>
      <c r="Y781" s="270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  <c r="CA781" s="271"/>
      <c r="CB781" s="271"/>
      <c r="CC781" s="271"/>
      <c r="CD781" s="271"/>
      <c r="CE781" s="271"/>
    </row>
    <row r="782" spans="1:83" ht="12.6" customHeight="1" x14ac:dyDescent="0.2">
      <c r="A782" s="207" t="str">
        <f>RIGHT($C$83,3)&amp;"*"&amp;RIGHT($C$82,4)&amp;"*"&amp;AY$55&amp;"*"&amp;"A"</f>
        <v>142*2019*8320*A</v>
      </c>
      <c r="B782" s="270">
        <f>ROUND(AY59,0)</f>
        <v>226987</v>
      </c>
      <c r="C782" s="272">
        <f>ROUND(AY60,2)</f>
        <v>76.41</v>
      </c>
      <c r="D782" s="270">
        <f>ROUND(AY61,0)</f>
        <v>3301658</v>
      </c>
      <c r="E782" s="270">
        <f>ROUND(AY62,0)</f>
        <v>1228171</v>
      </c>
      <c r="F782" s="270">
        <f>ROUND(AY63,0)</f>
        <v>0</v>
      </c>
      <c r="G782" s="270">
        <f>ROUND(AY64,0)</f>
        <v>1742442</v>
      </c>
      <c r="H782" s="270">
        <f>ROUND(AY65,0)</f>
        <v>3380</v>
      </c>
      <c r="I782" s="270">
        <f>ROUND(AY66,0)</f>
        <v>1158321</v>
      </c>
      <c r="J782" s="270">
        <f>ROUND(AY67,0)</f>
        <v>1163986</v>
      </c>
      <c r="K782" s="270">
        <f>ROUND(AY68,0)</f>
        <v>21774</v>
      </c>
      <c r="L782" s="270">
        <f>ROUND(AY69,0)</f>
        <v>102925</v>
      </c>
      <c r="M782" s="270">
        <f>ROUND(AY70,0)</f>
        <v>1854075</v>
      </c>
      <c r="N782" s="270"/>
      <c r="O782" s="270"/>
      <c r="P782" s="270">
        <f>IF(AY76&gt;0,ROUND(AY76,0),0)</f>
        <v>19152</v>
      </c>
      <c r="Q782" s="270">
        <f>IF(AY77&gt;0,ROUND(AY77,0),0)</f>
        <v>0</v>
      </c>
      <c r="R782" s="270">
        <f>IF(AY78&gt;0,ROUND(AY78,0),0)</f>
        <v>0</v>
      </c>
      <c r="S782" s="270">
        <f>IF(AY79&gt;0,ROUND(AY79,0),0)</f>
        <v>0</v>
      </c>
      <c r="T782" s="272">
        <f>IF(AY80&gt;0,ROUND(AY80,2),0)</f>
        <v>0</v>
      </c>
      <c r="U782" s="270"/>
      <c r="V782" s="271"/>
      <c r="W782" s="270"/>
      <c r="X782" s="270"/>
      <c r="Y782" s="270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  <c r="CA782" s="271"/>
      <c r="CB782" s="271"/>
      <c r="CC782" s="271"/>
      <c r="CD782" s="271"/>
      <c r="CE782" s="271"/>
    </row>
    <row r="783" spans="1:83" ht="12.6" customHeight="1" x14ac:dyDescent="0.2">
      <c r="A783" s="207" t="str">
        <f>RIGHT($C$83,3)&amp;"*"&amp;RIGHT($C$82,4)&amp;"*"&amp;AZ$55&amp;"*"&amp;"A"</f>
        <v>142*2019*8330*A</v>
      </c>
      <c r="B783" s="270">
        <f>ROUND(AZ59,0)</f>
        <v>583327</v>
      </c>
      <c r="C783" s="272">
        <f>ROUND(AZ60,2)</f>
        <v>0</v>
      </c>
      <c r="D783" s="270">
        <f>ROUND(AZ61,0)</f>
        <v>0</v>
      </c>
      <c r="E783" s="270">
        <f>ROUND(AZ62,0)</f>
        <v>0</v>
      </c>
      <c r="F783" s="270">
        <f>ROUND(AZ63,0)</f>
        <v>0</v>
      </c>
      <c r="G783" s="270">
        <f>ROUND(AZ64,0)</f>
        <v>0</v>
      </c>
      <c r="H783" s="270">
        <f>ROUND(AZ65,0)</f>
        <v>0</v>
      </c>
      <c r="I783" s="270">
        <f>ROUND(AZ66,0)</f>
        <v>0</v>
      </c>
      <c r="J783" s="270">
        <f>ROUND(AZ67,0)</f>
        <v>0</v>
      </c>
      <c r="K783" s="270">
        <f>ROUND(AZ68,0)</f>
        <v>0</v>
      </c>
      <c r="L783" s="270">
        <f>ROUND(AZ69,0)</f>
        <v>0</v>
      </c>
      <c r="M783" s="270">
        <f>ROUND(AZ70,0)</f>
        <v>0</v>
      </c>
      <c r="N783" s="270"/>
      <c r="O783" s="270"/>
      <c r="P783" s="270">
        <f>IF(AZ76&gt;0,ROUND(AZ76,0),0)</f>
        <v>0</v>
      </c>
      <c r="Q783" s="270">
        <f>IF(AZ77&gt;0,ROUND(AZ77,0),0)</f>
        <v>0</v>
      </c>
      <c r="R783" s="270">
        <f>IF(AZ78&gt;0,ROUND(AZ78,0),0)</f>
        <v>0</v>
      </c>
      <c r="S783" s="270">
        <f>IF(AZ79&gt;0,ROUND(AZ79,0),0)</f>
        <v>0</v>
      </c>
      <c r="T783" s="272">
        <f>IF(AZ80&gt;0,ROUND(AZ80,2),0)</f>
        <v>0</v>
      </c>
      <c r="U783" s="270"/>
      <c r="V783" s="271"/>
      <c r="W783" s="270"/>
      <c r="X783" s="270"/>
      <c r="Y783" s="270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  <c r="CA783" s="271"/>
      <c r="CB783" s="271"/>
      <c r="CC783" s="271"/>
      <c r="CD783" s="271"/>
      <c r="CE783" s="271"/>
    </row>
    <row r="784" spans="1:83" ht="12.6" customHeight="1" x14ac:dyDescent="0.2">
      <c r="A784" s="207" t="str">
        <f>RIGHT($C$83,3)&amp;"*"&amp;RIGHT($C$82,4)&amp;"*"&amp;BA$55&amp;"*"&amp;"A"</f>
        <v>142*2019*8350*A</v>
      </c>
      <c r="B784" s="270">
        <f>ROUND(BA59,0)</f>
        <v>0</v>
      </c>
      <c r="C784" s="272">
        <f>ROUND(BA60,2)</f>
        <v>2.9</v>
      </c>
      <c r="D784" s="270">
        <f>ROUND(BA61,0)</f>
        <v>110175</v>
      </c>
      <c r="E784" s="270">
        <f>ROUND(BA62,0)</f>
        <v>45161</v>
      </c>
      <c r="F784" s="270">
        <f>ROUND(BA63,0)</f>
        <v>0</v>
      </c>
      <c r="G784" s="270">
        <f>ROUND(BA64,0)</f>
        <v>0</v>
      </c>
      <c r="H784" s="270">
        <f>ROUND(BA65,0)</f>
        <v>0</v>
      </c>
      <c r="I784" s="270">
        <f>ROUND(BA66,0)</f>
        <v>0</v>
      </c>
      <c r="J784" s="270">
        <f>ROUND(BA67,0)</f>
        <v>189523</v>
      </c>
      <c r="K784" s="270">
        <f>ROUND(BA68,0)</f>
        <v>0</v>
      </c>
      <c r="L784" s="270">
        <f>ROUND(BA69,0)</f>
        <v>157</v>
      </c>
      <c r="M784" s="270">
        <f>ROUND(BA70,0)</f>
        <v>0</v>
      </c>
      <c r="N784" s="270"/>
      <c r="O784" s="270"/>
      <c r="P784" s="270">
        <f>IF(BA76&gt;0,ROUND(BA76,0),0)</f>
        <v>3718</v>
      </c>
      <c r="Q784" s="270">
        <f>IF(BA77&gt;0,ROUND(BA77,0),0)</f>
        <v>0</v>
      </c>
      <c r="R784" s="270">
        <f>IF(BA78&gt;0,ROUND(BA78,0),0)</f>
        <v>1062</v>
      </c>
      <c r="S784" s="270">
        <f>IF(BA79&gt;0,ROUND(BA79,0),0)</f>
        <v>0</v>
      </c>
      <c r="T784" s="272">
        <f>IF(BA80&gt;0,ROUND(BA80,2),0)</f>
        <v>0</v>
      </c>
      <c r="U784" s="270"/>
      <c r="V784" s="271"/>
      <c r="W784" s="270"/>
      <c r="X784" s="270"/>
      <c r="Y784" s="270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  <c r="CA784" s="271"/>
      <c r="CB784" s="271"/>
      <c r="CC784" s="271"/>
      <c r="CD784" s="271"/>
      <c r="CE784" s="271"/>
    </row>
    <row r="785" spans="1:83" ht="12.6" customHeight="1" x14ac:dyDescent="0.2">
      <c r="A785" s="207" t="str">
        <f>RIGHT($C$83,3)&amp;"*"&amp;RIGHT($C$82,4)&amp;"*"&amp;BB$55&amp;"*"&amp;"A"</f>
        <v>142*2019*8360*A</v>
      </c>
      <c r="B785" s="270"/>
      <c r="C785" s="272">
        <f>ROUND(BB60,2)</f>
        <v>0</v>
      </c>
      <c r="D785" s="270">
        <f>ROUND(BB61,0)</f>
        <v>0</v>
      </c>
      <c r="E785" s="270">
        <f>ROUND(BB62,0)</f>
        <v>0</v>
      </c>
      <c r="F785" s="270">
        <f>ROUND(BB63,0)</f>
        <v>0</v>
      </c>
      <c r="G785" s="270">
        <f>ROUND(BB64,0)</f>
        <v>3108</v>
      </c>
      <c r="H785" s="270">
        <f>ROUND(BB65,0)</f>
        <v>43</v>
      </c>
      <c r="I785" s="270">
        <f>ROUND(BB66,0)</f>
        <v>1123</v>
      </c>
      <c r="J785" s="270">
        <f>ROUND(BB67,0)</f>
        <v>58315</v>
      </c>
      <c r="K785" s="270">
        <f>ROUND(BB68,0)</f>
        <v>10011</v>
      </c>
      <c r="L785" s="270">
        <f>ROUND(BB69,0)</f>
        <v>0</v>
      </c>
      <c r="M785" s="270">
        <f>ROUND(BB70,0)</f>
        <v>0</v>
      </c>
      <c r="N785" s="270"/>
      <c r="O785" s="270"/>
      <c r="P785" s="270">
        <f>IF(BB76&gt;0,ROUND(BB76,0),0)</f>
        <v>1144</v>
      </c>
      <c r="Q785" s="270">
        <f>IF(BB77&gt;0,ROUND(BB77,0),0)</f>
        <v>0</v>
      </c>
      <c r="R785" s="270">
        <f>IF(BB78&gt;0,ROUND(BB78,0),0)</f>
        <v>327</v>
      </c>
      <c r="S785" s="270">
        <f>IF(BB79&gt;0,ROUND(BB79,0),0)</f>
        <v>0</v>
      </c>
      <c r="T785" s="272">
        <f>IF(BB80&gt;0,ROUND(BB80,2),0)</f>
        <v>0</v>
      </c>
      <c r="U785" s="270"/>
      <c r="V785" s="271"/>
      <c r="W785" s="270"/>
      <c r="X785" s="270"/>
      <c r="Y785" s="270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  <c r="CA785" s="271"/>
      <c r="CB785" s="271"/>
      <c r="CC785" s="271"/>
      <c r="CD785" s="271"/>
      <c r="CE785" s="271"/>
    </row>
    <row r="786" spans="1:83" ht="12.6" customHeight="1" x14ac:dyDescent="0.2">
      <c r="A786" s="207" t="str">
        <f>RIGHT($C$83,3)&amp;"*"&amp;RIGHT($C$82,4)&amp;"*"&amp;BC$55&amp;"*"&amp;"A"</f>
        <v>142*2019*8370*A</v>
      </c>
      <c r="B786" s="270"/>
      <c r="C786" s="272">
        <f>ROUND(BC60,2)</f>
        <v>15.77</v>
      </c>
      <c r="D786" s="270">
        <f>ROUND(BC61,0)</f>
        <v>616028</v>
      </c>
      <c r="E786" s="270">
        <f>ROUND(BC62,0)</f>
        <v>247919</v>
      </c>
      <c r="F786" s="270">
        <f>ROUND(BC63,0)</f>
        <v>0</v>
      </c>
      <c r="G786" s="270">
        <f>ROUND(BC64,0)</f>
        <v>15413</v>
      </c>
      <c r="H786" s="270">
        <f>ROUND(BC65,0)</f>
        <v>3092</v>
      </c>
      <c r="I786" s="270">
        <f>ROUND(BC66,0)</f>
        <v>321239</v>
      </c>
      <c r="J786" s="270">
        <f>ROUND(BC67,0)</f>
        <v>6603</v>
      </c>
      <c r="K786" s="270">
        <f>ROUND(BC68,0)</f>
        <v>1156</v>
      </c>
      <c r="L786" s="270">
        <f>ROUND(BC69,0)</f>
        <v>0</v>
      </c>
      <c r="M786" s="270">
        <f>ROUND(BC70,0)</f>
        <v>0</v>
      </c>
      <c r="N786" s="270"/>
      <c r="O786" s="270"/>
      <c r="P786" s="270">
        <f>IF(BC76&gt;0,ROUND(BC76,0),0)</f>
        <v>0</v>
      </c>
      <c r="Q786" s="270">
        <f>IF(BC77&gt;0,ROUND(BC77,0),0)</f>
        <v>0</v>
      </c>
      <c r="R786" s="270">
        <f>IF(BC78&gt;0,ROUND(BC78,0),0)</f>
        <v>0</v>
      </c>
      <c r="S786" s="270">
        <f>IF(BC79&gt;0,ROUND(BC79,0),0)</f>
        <v>0</v>
      </c>
      <c r="T786" s="272">
        <f>IF(BC80&gt;0,ROUND(BC80,2),0)</f>
        <v>0</v>
      </c>
      <c r="U786" s="270"/>
      <c r="V786" s="271"/>
      <c r="W786" s="270"/>
      <c r="X786" s="270"/>
      <c r="Y786" s="270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  <c r="CA786" s="271"/>
      <c r="CB786" s="271"/>
      <c r="CC786" s="271"/>
      <c r="CD786" s="271"/>
      <c r="CE786" s="271"/>
    </row>
    <row r="787" spans="1:83" ht="12.6" customHeight="1" x14ac:dyDescent="0.2">
      <c r="A787" s="207" t="str">
        <f>RIGHT($C$83,3)&amp;"*"&amp;RIGHT($C$82,4)&amp;"*"&amp;BD$55&amp;"*"&amp;"A"</f>
        <v>142*2019*8420*A</v>
      </c>
      <c r="B787" s="270"/>
      <c r="C787" s="272">
        <f>ROUND(BD60,2)</f>
        <v>0</v>
      </c>
      <c r="D787" s="270">
        <f>ROUND(BD61,0)</f>
        <v>0</v>
      </c>
      <c r="E787" s="270">
        <f>ROUND(BD62,0)</f>
        <v>0</v>
      </c>
      <c r="F787" s="270">
        <f>ROUND(BD63,0)</f>
        <v>0</v>
      </c>
      <c r="G787" s="270">
        <f>ROUND(BD64,0)</f>
        <v>0</v>
      </c>
      <c r="H787" s="270">
        <f>ROUND(BD65,0)</f>
        <v>0</v>
      </c>
      <c r="I787" s="270">
        <f>ROUND(BD66,0)</f>
        <v>0</v>
      </c>
      <c r="J787" s="270">
        <f>ROUND(BD67,0)</f>
        <v>2681965</v>
      </c>
      <c r="K787" s="270">
        <f>ROUND(BD68,0)</f>
        <v>0</v>
      </c>
      <c r="L787" s="270">
        <f>ROUND(BD69,0)</f>
        <v>0</v>
      </c>
      <c r="M787" s="270">
        <f>ROUND(BD70,0)</f>
        <v>0</v>
      </c>
      <c r="N787" s="270"/>
      <c r="O787" s="270"/>
      <c r="P787" s="270">
        <f>IF(BD76&gt;0,ROUND(BD76,0),0)</f>
        <v>52614</v>
      </c>
      <c r="Q787" s="270">
        <f>IF(BD77&gt;0,ROUND(BD77,0),0)</f>
        <v>0</v>
      </c>
      <c r="R787" s="270">
        <f>IF(BD78&gt;0,ROUND(BD78,0),0)</f>
        <v>0</v>
      </c>
      <c r="S787" s="270">
        <f>IF(BD79&gt;0,ROUND(BD79,0),0)</f>
        <v>0</v>
      </c>
      <c r="T787" s="272">
        <f>IF(BD80&gt;0,ROUND(BD80,2),0)</f>
        <v>0</v>
      </c>
      <c r="U787" s="270"/>
      <c r="V787" s="271"/>
      <c r="W787" s="270"/>
      <c r="X787" s="270"/>
      <c r="Y787" s="270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  <c r="CA787" s="271"/>
      <c r="CB787" s="271"/>
      <c r="CC787" s="271"/>
      <c r="CD787" s="271"/>
      <c r="CE787" s="271"/>
    </row>
    <row r="788" spans="1:83" ht="12.6" customHeight="1" x14ac:dyDescent="0.2">
      <c r="A788" s="207" t="str">
        <f>RIGHT($C$83,3)&amp;"*"&amp;RIGHT($C$82,4)&amp;"*"&amp;BE$55&amp;"*"&amp;"A"</f>
        <v>142*2019*8430*A</v>
      </c>
      <c r="B788" s="270">
        <f>ROUND(BE59,0)</f>
        <v>577281</v>
      </c>
      <c r="C788" s="272">
        <f>ROUND(BE60,2)</f>
        <v>16.920000000000002</v>
      </c>
      <c r="D788" s="270">
        <f>ROUND(BE61,0)</f>
        <v>1202463</v>
      </c>
      <c r="E788" s="270">
        <f>ROUND(BE62,0)</f>
        <v>335657</v>
      </c>
      <c r="F788" s="270">
        <f>ROUND(BE63,0)</f>
        <v>0</v>
      </c>
      <c r="G788" s="270">
        <f>ROUND(BE64,0)</f>
        <v>28716</v>
      </c>
      <c r="H788" s="270">
        <f>ROUND(BE65,0)</f>
        <v>3000713</v>
      </c>
      <c r="I788" s="270">
        <f>ROUND(BE66,0)</f>
        <v>11951046</v>
      </c>
      <c r="J788" s="270">
        <f>ROUND(BE67,0)</f>
        <v>4696561</v>
      </c>
      <c r="K788" s="270">
        <f>ROUND(BE68,0)</f>
        <v>605289</v>
      </c>
      <c r="L788" s="270">
        <f>ROUND(BE69,0)</f>
        <v>187316</v>
      </c>
      <c r="M788" s="270">
        <f>ROUND(BE70,0)</f>
        <v>901</v>
      </c>
      <c r="N788" s="270"/>
      <c r="O788" s="270"/>
      <c r="P788" s="270">
        <f>IF(BE76&gt;0,ROUND(BE76,0),0)</f>
        <v>81349</v>
      </c>
      <c r="Q788" s="270">
        <f>IF(BE77&gt;0,ROUND(BE77,0),0)</f>
        <v>0</v>
      </c>
      <c r="R788" s="270">
        <f>IF(BE78&gt;0,ROUND(BE78,0),0)</f>
        <v>0</v>
      </c>
      <c r="S788" s="270">
        <f>IF(BE79&gt;0,ROUND(BE79,0),0)</f>
        <v>0</v>
      </c>
      <c r="T788" s="272">
        <f>IF(BE80&gt;0,ROUND(BE80,2),0)</f>
        <v>0</v>
      </c>
      <c r="U788" s="270"/>
      <c r="V788" s="271"/>
      <c r="W788" s="270"/>
      <c r="X788" s="270"/>
      <c r="Y788" s="270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  <c r="CA788" s="271"/>
      <c r="CB788" s="271"/>
      <c r="CC788" s="271"/>
      <c r="CD788" s="271"/>
      <c r="CE788" s="271"/>
    </row>
    <row r="789" spans="1:83" ht="12.6" customHeight="1" x14ac:dyDescent="0.2">
      <c r="A789" s="207" t="str">
        <f>RIGHT($C$83,3)&amp;"*"&amp;RIGHT($C$82,4)&amp;"*"&amp;BF$55&amp;"*"&amp;"A"</f>
        <v>142*2019*8460*A</v>
      </c>
      <c r="B789" s="270"/>
      <c r="C789" s="272">
        <f>ROUND(BF60,2)</f>
        <v>74.52</v>
      </c>
      <c r="D789" s="270">
        <f>ROUND(BF61,0)</f>
        <v>3068210</v>
      </c>
      <c r="E789" s="270">
        <f>ROUND(BF62,0)</f>
        <v>1181308</v>
      </c>
      <c r="F789" s="270">
        <f>ROUND(BF63,0)</f>
        <v>0</v>
      </c>
      <c r="G789" s="270">
        <f>ROUND(BF64,0)</f>
        <v>191132</v>
      </c>
      <c r="H789" s="270">
        <f>ROUND(BF65,0)</f>
        <v>5745</v>
      </c>
      <c r="I789" s="270">
        <f>ROUND(BF66,0)</f>
        <v>64816</v>
      </c>
      <c r="J789" s="270">
        <f>ROUND(BF67,0)</f>
        <v>555949</v>
      </c>
      <c r="K789" s="270">
        <f>ROUND(BF68,0)</f>
        <v>7603</v>
      </c>
      <c r="L789" s="270">
        <f>ROUND(BF69,0)</f>
        <v>6156</v>
      </c>
      <c r="M789" s="270">
        <f>ROUND(BF70,0)</f>
        <v>0</v>
      </c>
      <c r="N789" s="270"/>
      <c r="O789" s="270"/>
      <c r="P789" s="270">
        <f>IF(BF76&gt;0,ROUND(BF76,0),0)</f>
        <v>10852</v>
      </c>
      <c r="Q789" s="270">
        <f>IF(BF77&gt;0,ROUND(BF77,0),0)</f>
        <v>0</v>
      </c>
      <c r="R789" s="270">
        <f>IF(BF78&gt;0,ROUND(BF78,0),0)</f>
        <v>0</v>
      </c>
      <c r="S789" s="270">
        <f>IF(BF79&gt;0,ROUND(BF79,0),0)</f>
        <v>0</v>
      </c>
      <c r="T789" s="272">
        <f>IF(BF80&gt;0,ROUND(BF80,2),0)</f>
        <v>0</v>
      </c>
      <c r="U789" s="270"/>
      <c r="V789" s="271"/>
      <c r="W789" s="270"/>
      <c r="X789" s="270"/>
      <c r="Y789" s="270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  <c r="CA789" s="271"/>
      <c r="CB789" s="271"/>
      <c r="CC789" s="271"/>
      <c r="CD789" s="271"/>
      <c r="CE789" s="271"/>
    </row>
    <row r="790" spans="1:83" ht="12.6" customHeight="1" x14ac:dyDescent="0.2">
      <c r="A790" s="207" t="str">
        <f>RIGHT($C$83,3)&amp;"*"&amp;RIGHT($C$82,4)&amp;"*"&amp;BG$55&amp;"*"&amp;"A"</f>
        <v>142*2019*8470*A</v>
      </c>
      <c r="B790" s="270"/>
      <c r="C790" s="272">
        <f>ROUND(BG60,2)</f>
        <v>0</v>
      </c>
      <c r="D790" s="270">
        <f>ROUND(BG61,0)</f>
        <v>0</v>
      </c>
      <c r="E790" s="270">
        <f>ROUND(BG62,0)</f>
        <v>0</v>
      </c>
      <c r="F790" s="270">
        <f>ROUND(BG63,0)</f>
        <v>0</v>
      </c>
      <c r="G790" s="270">
        <f>ROUND(BG64,0)</f>
        <v>0</v>
      </c>
      <c r="H790" s="270">
        <f>ROUND(BG65,0)</f>
        <v>289756</v>
      </c>
      <c r="I790" s="270">
        <f>ROUND(BG66,0)</f>
        <v>838958</v>
      </c>
      <c r="J790" s="270">
        <f>ROUND(BG67,0)</f>
        <v>87461</v>
      </c>
      <c r="K790" s="270">
        <f>ROUND(BG68,0)</f>
        <v>1723</v>
      </c>
      <c r="L790" s="270">
        <f>ROUND(BG69,0)</f>
        <v>0</v>
      </c>
      <c r="M790" s="270">
        <f>ROUND(BG70,0)</f>
        <v>0</v>
      </c>
      <c r="N790" s="270"/>
      <c r="O790" s="270"/>
      <c r="P790" s="270">
        <f>IF(BG76&gt;0,ROUND(BG76,0),0)</f>
        <v>0</v>
      </c>
      <c r="Q790" s="270">
        <f>IF(BG77&gt;0,ROUND(BG77,0),0)</f>
        <v>0</v>
      </c>
      <c r="R790" s="270">
        <f>IF(BG78&gt;0,ROUND(BG78,0),0)</f>
        <v>0</v>
      </c>
      <c r="S790" s="270">
        <f>IF(BG79&gt;0,ROUND(BG79,0),0)</f>
        <v>0</v>
      </c>
      <c r="T790" s="272">
        <f>IF(BG80&gt;0,ROUND(BG80,2),0)</f>
        <v>0</v>
      </c>
      <c r="U790" s="270"/>
      <c r="V790" s="271"/>
      <c r="W790" s="270"/>
      <c r="X790" s="270"/>
      <c r="Y790" s="270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  <c r="CA790" s="271"/>
      <c r="CB790" s="271"/>
      <c r="CC790" s="271"/>
      <c r="CD790" s="271"/>
      <c r="CE790" s="271"/>
    </row>
    <row r="791" spans="1:83" ht="12.6" customHeight="1" x14ac:dyDescent="0.2">
      <c r="A791" s="207" t="str">
        <f>RIGHT($C$83,3)&amp;"*"&amp;RIGHT($C$82,4)&amp;"*"&amp;BH$55&amp;"*"&amp;"A"</f>
        <v>142*2019*8480*A</v>
      </c>
      <c r="B791" s="270"/>
      <c r="C791" s="272">
        <f>ROUND(BH60,2)</f>
        <v>0</v>
      </c>
      <c r="D791" s="270">
        <f>ROUND(BH61,0)</f>
        <v>0</v>
      </c>
      <c r="E791" s="270">
        <f>ROUND(BH62,0)</f>
        <v>0</v>
      </c>
      <c r="F791" s="270">
        <f>ROUND(BH63,0)</f>
        <v>0</v>
      </c>
      <c r="G791" s="270">
        <f>ROUND(BH64,0)</f>
        <v>0</v>
      </c>
      <c r="H791" s="270">
        <f>ROUND(BH65,0)</f>
        <v>0</v>
      </c>
      <c r="I791" s="270">
        <f>ROUND(BH66,0)</f>
        <v>3654921</v>
      </c>
      <c r="J791" s="270">
        <f>ROUND(BH67,0)</f>
        <v>0</v>
      </c>
      <c r="K791" s="270">
        <f>ROUND(BH68,0)</f>
        <v>0</v>
      </c>
      <c r="L791" s="270">
        <f>ROUND(BH69,0)</f>
        <v>0</v>
      </c>
      <c r="M791" s="270">
        <f>ROUND(BH70,0)</f>
        <v>0</v>
      </c>
      <c r="N791" s="270"/>
      <c r="O791" s="270"/>
      <c r="P791" s="270">
        <f>IF(BH76&gt;0,ROUND(BH76,0),0)</f>
        <v>0</v>
      </c>
      <c r="Q791" s="270">
        <f>IF(BH77&gt;0,ROUND(BH77,0),0)</f>
        <v>0</v>
      </c>
      <c r="R791" s="270">
        <f>IF(BH78&gt;0,ROUND(BH78,0),0)</f>
        <v>0</v>
      </c>
      <c r="S791" s="270">
        <f>IF(BH79&gt;0,ROUND(BH79,0),0)</f>
        <v>0</v>
      </c>
      <c r="T791" s="272">
        <f>IF(BH80&gt;0,ROUND(BH80,2),0)</f>
        <v>0</v>
      </c>
      <c r="U791" s="270"/>
      <c r="V791" s="271"/>
      <c r="W791" s="270"/>
      <c r="X791" s="270"/>
      <c r="Y791" s="270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  <c r="CA791" s="271"/>
      <c r="CB791" s="271"/>
      <c r="CC791" s="271"/>
      <c r="CD791" s="271"/>
      <c r="CE791" s="271"/>
    </row>
    <row r="792" spans="1:83" ht="12.6" customHeight="1" x14ac:dyDescent="0.2">
      <c r="A792" s="207" t="str">
        <f>RIGHT($C$83,3)&amp;"*"&amp;RIGHT($C$82,4)&amp;"*"&amp;BI$55&amp;"*"&amp;"A"</f>
        <v>142*2019*8490*A</v>
      </c>
      <c r="B792" s="270"/>
      <c r="C792" s="272">
        <f>ROUND(BI60,2)</f>
        <v>0.25</v>
      </c>
      <c r="D792" s="270">
        <f>ROUND(BI61,0)</f>
        <v>0</v>
      </c>
      <c r="E792" s="270">
        <f>ROUND(BI62,0)</f>
        <v>0</v>
      </c>
      <c r="F792" s="270">
        <f>ROUND(BI63,0)</f>
        <v>0</v>
      </c>
      <c r="G792" s="270">
        <f>ROUND(BI64,0)</f>
        <v>0</v>
      </c>
      <c r="H792" s="270">
        <f>ROUND(BI65,0)</f>
        <v>0</v>
      </c>
      <c r="I792" s="270">
        <f>ROUND(BI66,0)</f>
        <v>0</v>
      </c>
      <c r="J792" s="270">
        <f>ROUND(BI67,0)</f>
        <v>0</v>
      </c>
      <c r="K792" s="270">
        <f>ROUND(BI68,0)</f>
        <v>0</v>
      </c>
      <c r="L792" s="270">
        <f>ROUND(BI69,0)</f>
        <v>0</v>
      </c>
      <c r="M792" s="270">
        <f>ROUND(BI70,0)</f>
        <v>0</v>
      </c>
      <c r="N792" s="270"/>
      <c r="O792" s="270"/>
      <c r="P792" s="270">
        <f>IF(BI76&gt;0,ROUND(BI76,0),0)</f>
        <v>0</v>
      </c>
      <c r="Q792" s="270">
        <f>IF(BI77&gt;0,ROUND(BI77,0),0)</f>
        <v>0</v>
      </c>
      <c r="R792" s="270">
        <f>IF(BI78&gt;0,ROUND(BI78,0),0)</f>
        <v>0</v>
      </c>
      <c r="S792" s="270">
        <f>IF(BI79&gt;0,ROUND(BI79,0),0)</f>
        <v>0</v>
      </c>
      <c r="T792" s="272">
        <f>IF(BI80&gt;0,ROUND(BI80,2),0)</f>
        <v>0</v>
      </c>
      <c r="U792" s="270"/>
      <c r="V792" s="271"/>
      <c r="W792" s="270"/>
      <c r="X792" s="270"/>
      <c r="Y792" s="270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  <c r="CA792" s="271"/>
      <c r="CB792" s="271"/>
      <c r="CC792" s="271"/>
      <c r="CD792" s="271"/>
      <c r="CE792" s="271"/>
    </row>
    <row r="793" spans="1:83" ht="12.6" customHeight="1" x14ac:dyDescent="0.2">
      <c r="A793" s="207" t="str">
        <f>RIGHT($C$83,3)&amp;"*"&amp;RIGHT($C$82,4)&amp;"*"&amp;BJ$55&amp;"*"&amp;"A"</f>
        <v>142*2019*8510*A</v>
      </c>
      <c r="B793" s="270"/>
      <c r="C793" s="272">
        <f>ROUND(BJ60,2)</f>
        <v>0</v>
      </c>
      <c r="D793" s="270">
        <f>ROUND(BJ61,0)</f>
        <v>0</v>
      </c>
      <c r="E793" s="270">
        <f>ROUND(BJ62,0)</f>
        <v>0</v>
      </c>
      <c r="F793" s="270">
        <f>ROUND(BJ63,0)</f>
        <v>0</v>
      </c>
      <c r="G793" s="270">
        <f>ROUND(BJ64,0)</f>
        <v>0</v>
      </c>
      <c r="H793" s="270">
        <f>ROUND(BJ65,0)</f>
        <v>0</v>
      </c>
      <c r="I793" s="270">
        <f>ROUND(BJ66,0)</f>
        <v>872643</v>
      </c>
      <c r="J793" s="270">
        <f>ROUND(BJ67,0)</f>
        <v>0</v>
      </c>
      <c r="K793" s="270">
        <f>ROUND(BJ68,0)</f>
        <v>0</v>
      </c>
      <c r="L793" s="270">
        <f>ROUND(BJ69,0)</f>
        <v>0</v>
      </c>
      <c r="M793" s="270">
        <f>ROUND(BJ70,0)</f>
        <v>0</v>
      </c>
      <c r="N793" s="270"/>
      <c r="O793" s="270"/>
      <c r="P793" s="270">
        <f>IF(BJ76&gt;0,ROUND(BJ76,0),0)</f>
        <v>0</v>
      </c>
      <c r="Q793" s="270">
        <f>IF(BJ77&gt;0,ROUND(BJ77,0),0)</f>
        <v>0</v>
      </c>
      <c r="R793" s="270">
        <f>IF(BJ78&gt;0,ROUND(BJ78,0),0)</f>
        <v>0</v>
      </c>
      <c r="S793" s="270">
        <f>IF(BJ79&gt;0,ROUND(BJ79,0),0)</f>
        <v>0</v>
      </c>
      <c r="T793" s="272">
        <f>IF(BJ80&gt;0,ROUND(BJ80,2),0)</f>
        <v>0</v>
      </c>
      <c r="U793" s="270"/>
      <c r="V793" s="271"/>
      <c r="W793" s="270"/>
      <c r="X793" s="270"/>
      <c r="Y793" s="270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  <c r="CA793" s="271"/>
      <c r="CB793" s="271"/>
      <c r="CC793" s="271"/>
      <c r="CD793" s="271"/>
      <c r="CE793" s="271"/>
    </row>
    <row r="794" spans="1:83" ht="12.6" customHeight="1" x14ac:dyDescent="0.2">
      <c r="A794" s="207" t="str">
        <f>RIGHT($C$83,3)&amp;"*"&amp;RIGHT($C$82,4)&amp;"*"&amp;BK$55&amp;"*"&amp;"A"</f>
        <v>142*2019*8530*A</v>
      </c>
      <c r="B794" s="270"/>
      <c r="C794" s="272">
        <f>ROUND(BK60,2)</f>
        <v>1</v>
      </c>
      <c r="D794" s="270">
        <f>ROUND(BK61,0)</f>
        <v>0</v>
      </c>
      <c r="E794" s="270">
        <f>ROUND(BK62,0)</f>
        <v>0</v>
      </c>
      <c r="F794" s="270">
        <f>ROUND(BK63,0)</f>
        <v>0</v>
      </c>
      <c r="G794" s="270">
        <f>ROUND(BK64,0)</f>
        <v>292</v>
      </c>
      <c r="H794" s="270">
        <f>ROUND(BK65,0)</f>
        <v>0</v>
      </c>
      <c r="I794" s="270">
        <f>ROUND(BK66,0)</f>
        <v>6941783</v>
      </c>
      <c r="J794" s="270">
        <f>ROUND(BK67,0)</f>
        <v>4312</v>
      </c>
      <c r="K794" s="270">
        <f>ROUND(BK68,0)</f>
        <v>25788</v>
      </c>
      <c r="L794" s="270">
        <f>ROUND(BK69,0)</f>
        <v>0</v>
      </c>
      <c r="M794" s="270">
        <f>ROUND(BK70,0)</f>
        <v>0</v>
      </c>
      <c r="N794" s="270"/>
      <c r="O794" s="270"/>
      <c r="P794" s="270">
        <f>IF(BK76&gt;0,ROUND(BK76,0),0)</f>
        <v>0</v>
      </c>
      <c r="Q794" s="270">
        <f>IF(BK77&gt;0,ROUND(BK77,0),0)</f>
        <v>0</v>
      </c>
      <c r="R794" s="270">
        <f>IF(BK78&gt;0,ROUND(BK78,0),0)</f>
        <v>0</v>
      </c>
      <c r="S794" s="270">
        <f>IF(BK79&gt;0,ROUND(BK79,0),0)</f>
        <v>0</v>
      </c>
      <c r="T794" s="272">
        <f>IF(BK80&gt;0,ROUND(BK80,2),0)</f>
        <v>0</v>
      </c>
      <c r="U794" s="270"/>
      <c r="V794" s="271"/>
      <c r="W794" s="270"/>
      <c r="X794" s="270"/>
      <c r="Y794" s="270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  <c r="CA794" s="271"/>
      <c r="CB794" s="271"/>
      <c r="CC794" s="271"/>
      <c r="CD794" s="271"/>
      <c r="CE794" s="271"/>
    </row>
    <row r="795" spans="1:83" ht="12.6" customHeight="1" x14ac:dyDescent="0.2">
      <c r="A795" s="207" t="str">
        <f>RIGHT($C$83,3)&amp;"*"&amp;RIGHT($C$82,4)&amp;"*"&amp;BL$55&amp;"*"&amp;"A"</f>
        <v>142*2019*8560*A</v>
      </c>
      <c r="B795" s="270"/>
      <c r="C795" s="272">
        <f>ROUND(BL60,2)</f>
        <v>0</v>
      </c>
      <c r="D795" s="270">
        <f>ROUND(BL61,0)</f>
        <v>39</v>
      </c>
      <c r="E795" s="270">
        <f>ROUND(BL62,0)</f>
        <v>3</v>
      </c>
      <c r="F795" s="270">
        <f>ROUND(BL63,0)</f>
        <v>0</v>
      </c>
      <c r="G795" s="270">
        <f>ROUND(BL64,0)</f>
        <v>26338</v>
      </c>
      <c r="H795" s="270">
        <f>ROUND(BL65,0)</f>
        <v>26</v>
      </c>
      <c r="I795" s="270">
        <f>ROUND(BL66,0)</f>
        <v>2704610</v>
      </c>
      <c r="J795" s="270">
        <f>ROUND(BL67,0)</f>
        <v>0</v>
      </c>
      <c r="K795" s="270">
        <f>ROUND(BL68,0)</f>
        <v>12359</v>
      </c>
      <c r="L795" s="270">
        <f>ROUND(BL69,0)</f>
        <v>209</v>
      </c>
      <c r="M795" s="270">
        <f>ROUND(BL70,0)</f>
        <v>0</v>
      </c>
      <c r="N795" s="270"/>
      <c r="O795" s="270"/>
      <c r="P795" s="270">
        <f>IF(BL76&gt;0,ROUND(BL76,0),0)</f>
        <v>0</v>
      </c>
      <c r="Q795" s="270">
        <f>IF(BL77&gt;0,ROUND(BL77,0),0)</f>
        <v>0</v>
      </c>
      <c r="R795" s="270">
        <f>IF(BL78&gt;0,ROUND(BL78,0),0)</f>
        <v>0</v>
      </c>
      <c r="S795" s="270">
        <f>IF(BL79&gt;0,ROUND(BL79,0),0)</f>
        <v>0</v>
      </c>
      <c r="T795" s="272">
        <f>IF(BL80&gt;0,ROUND(BL80,2),0)</f>
        <v>0</v>
      </c>
      <c r="U795" s="270"/>
      <c r="V795" s="271"/>
      <c r="W795" s="270"/>
      <c r="X795" s="270"/>
      <c r="Y795" s="270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  <c r="CA795" s="271"/>
      <c r="CB795" s="271"/>
      <c r="CC795" s="271"/>
      <c r="CD795" s="271"/>
      <c r="CE795" s="271"/>
    </row>
    <row r="796" spans="1:83" ht="12.6" customHeight="1" x14ac:dyDescent="0.2">
      <c r="A796" s="207" t="str">
        <f>RIGHT($C$83,3)&amp;"*"&amp;RIGHT($C$82,4)&amp;"*"&amp;BM$55&amp;"*"&amp;"A"</f>
        <v>142*2019*8590*A</v>
      </c>
      <c r="B796" s="270"/>
      <c r="C796" s="272">
        <f>ROUND(BM60,2)</f>
        <v>0</v>
      </c>
      <c r="D796" s="270">
        <f>ROUND(BM61,0)</f>
        <v>0</v>
      </c>
      <c r="E796" s="270">
        <f>ROUND(BM62,0)</f>
        <v>0</v>
      </c>
      <c r="F796" s="270">
        <f>ROUND(BM63,0)</f>
        <v>0</v>
      </c>
      <c r="G796" s="270">
        <f>ROUND(BM64,0)</f>
        <v>0</v>
      </c>
      <c r="H796" s="270">
        <f>ROUND(BM65,0)</f>
        <v>0</v>
      </c>
      <c r="I796" s="270">
        <f>ROUND(BM66,0)</f>
        <v>0</v>
      </c>
      <c r="J796" s="270">
        <f>ROUND(BM67,0)</f>
        <v>0</v>
      </c>
      <c r="K796" s="270">
        <f>ROUND(BM68,0)</f>
        <v>0</v>
      </c>
      <c r="L796" s="270">
        <f>ROUND(BM69,0)</f>
        <v>0</v>
      </c>
      <c r="M796" s="270">
        <f>ROUND(BM70,0)</f>
        <v>0</v>
      </c>
      <c r="N796" s="270"/>
      <c r="O796" s="270"/>
      <c r="P796" s="270">
        <f>IF(BM76&gt;0,ROUND(BM76,0),0)</f>
        <v>0</v>
      </c>
      <c r="Q796" s="270">
        <f>IF(BM77&gt;0,ROUND(BM77,0),0)</f>
        <v>0</v>
      </c>
      <c r="R796" s="270">
        <f>IF(BM78&gt;0,ROUND(BM78,0),0)</f>
        <v>0</v>
      </c>
      <c r="S796" s="270">
        <f>IF(BM79&gt;0,ROUND(BM79,0),0)</f>
        <v>0</v>
      </c>
      <c r="T796" s="272">
        <f>IF(BM80&gt;0,ROUND(BM80,2),0)</f>
        <v>0</v>
      </c>
      <c r="U796" s="270"/>
      <c r="V796" s="271"/>
      <c r="W796" s="270"/>
      <c r="X796" s="270"/>
      <c r="Y796" s="270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  <c r="CA796" s="271"/>
      <c r="CB796" s="271"/>
      <c r="CC796" s="271"/>
      <c r="CD796" s="271"/>
      <c r="CE796" s="271"/>
    </row>
    <row r="797" spans="1:83" ht="12.6" customHeight="1" x14ac:dyDescent="0.2">
      <c r="A797" s="207" t="str">
        <f>RIGHT($C$83,3)&amp;"*"&amp;RIGHT($C$82,4)&amp;"*"&amp;BN$55&amp;"*"&amp;"A"</f>
        <v>142*2019*8610*A</v>
      </c>
      <c r="B797" s="270"/>
      <c r="C797" s="272">
        <f>ROUND(BN60,2)</f>
        <v>53.61</v>
      </c>
      <c r="D797" s="270">
        <f>ROUND(BN61,0)</f>
        <v>5901340</v>
      </c>
      <c r="E797" s="270">
        <f>ROUND(BN62,0)</f>
        <v>1170646</v>
      </c>
      <c r="F797" s="270">
        <f>ROUND(BN63,0)</f>
        <v>2365</v>
      </c>
      <c r="G797" s="270">
        <f>ROUND(BN64,0)</f>
        <v>393863</v>
      </c>
      <c r="H797" s="270">
        <f>ROUND(BN65,0)</f>
        <v>30950</v>
      </c>
      <c r="I797" s="270">
        <f>ROUND(BN66,0)</f>
        <v>4970797</v>
      </c>
      <c r="J797" s="270">
        <f>ROUND(BN67,0)</f>
        <v>665936</v>
      </c>
      <c r="K797" s="270">
        <f>ROUND(BN68,0)</f>
        <v>531230</v>
      </c>
      <c r="L797" s="270">
        <f>ROUND(BN69,0)</f>
        <v>1021288</v>
      </c>
      <c r="M797" s="270">
        <f>ROUND(BN70,0)</f>
        <v>530075</v>
      </c>
      <c r="N797" s="270"/>
      <c r="O797" s="270"/>
      <c r="P797" s="270">
        <f>IF(BN76&gt;0,ROUND(BN76,0),0)</f>
        <v>10802</v>
      </c>
      <c r="Q797" s="270">
        <f>IF(BN77&gt;0,ROUND(BN77,0),0)</f>
        <v>0</v>
      </c>
      <c r="R797" s="270">
        <f>IF(BN78&gt;0,ROUND(BN78,0),0)</f>
        <v>0</v>
      </c>
      <c r="S797" s="270">
        <f>IF(BN79&gt;0,ROUND(BN79,0),0)</f>
        <v>0</v>
      </c>
      <c r="T797" s="272">
        <f>IF(BN80&gt;0,ROUND(BN80,2),0)</f>
        <v>0</v>
      </c>
      <c r="U797" s="270"/>
      <c r="V797" s="271"/>
      <c r="W797" s="270"/>
      <c r="X797" s="270"/>
      <c r="Y797" s="270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  <c r="CA797" s="271"/>
      <c r="CB797" s="271"/>
      <c r="CC797" s="271"/>
      <c r="CD797" s="271"/>
      <c r="CE797" s="271"/>
    </row>
    <row r="798" spans="1:83" ht="12.6" customHeight="1" x14ac:dyDescent="0.2">
      <c r="A798" s="207" t="str">
        <f>RIGHT($C$83,3)&amp;"*"&amp;RIGHT($C$82,4)&amp;"*"&amp;BO$55&amp;"*"&amp;"A"</f>
        <v>142*2019*8620*A</v>
      </c>
      <c r="B798" s="270"/>
      <c r="C798" s="272">
        <f>ROUND(BO60,2)</f>
        <v>0</v>
      </c>
      <c r="D798" s="270">
        <f>ROUND(BO61,0)</f>
        <v>0</v>
      </c>
      <c r="E798" s="270">
        <f>ROUND(BO62,0)</f>
        <v>0</v>
      </c>
      <c r="F798" s="270">
        <f>ROUND(BO63,0)</f>
        <v>0</v>
      </c>
      <c r="G798" s="270">
        <f>ROUND(BO64,0)</f>
        <v>0</v>
      </c>
      <c r="H798" s="270">
        <f>ROUND(BO65,0)</f>
        <v>0</v>
      </c>
      <c r="I798" s="270">
        <f>ROUND(BO66,0)</f>
        <v>636076</v>
      </c>
      <c r="J798" s="270">
        <f>ROUND(BO67,0)</f>
        <v>0</v>
      </c>
      <c r="K798" s="270">
        <f>ROUND(BO68,0)</f>
        <v>0</v>
      </c>
      <c r="L798" s="270">
        <f>ROUND(BO69,0)</f>
        <v>0</v>
      </c>
      <c r="M798" s="270">
        <f>ROUND(BO70,0)</f>
        <v>0</v>
      </c>
      <c r="N798" s="270"/>
      <c r="O798" s="270"/>
      <c r="P798" s="270">
        <f>IF(BO76&gt;0,ROUND(BO76,0),0)</f>
        <v>0</v>
      </c>
      <c r="Q798" s="270">
        <f>IF(BO77&gt;0,ROUND(BO77,0),0)</f>
        <v>0</v>
      </c>
      <c r="R798" s="270">
        <f>IF(BO78&gt;0,ROUND(BO78,0),0)</f>
        <v>0</v>
      </c>
      <c r="S798" s="270">
        <f>IF(BO79&gt;0,ROUND(BO79,0),0)</f>
        <v>0</v>
      </c>
      <c r="T798" s="272">
        <f>IF(BO80&gt;0,ROUND(BO80,2),0)</f>
        <v>0</v>
      </c>
      <c r="U798" s="270"/>
      <c r="V798" s="271"/>
      <c r="W798" s="270"/>
      <c r="X798" s="270"/>
      <c r="Y798" s="270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  <c r="CA798" s="271"/>
      <c r="CB798" s="271"/>
      <c r="CC798" s="271"/>
      <c r="CD798" s="271"/>
      <c r="CE798" s="271"/>
    </row>
    <row r="799" spans="1:83" ht="12.6" customHeight="1" x14ac:dyDescent="0.2">
      <c r="A799" s="207" t="str">
        <f>RIGHT($C$83,3)&amp;"*"&amp;RIGHT($C$82,4)&amp;"*"&amp;BP$55&amp;"*"&amp;"A"</f>
        <v>142*2019*8630*A</v>
      </c>
      <c r="B799" s="270"/>
      <c r="C799" s="272">
        <f>ROUND(BP60,2)</f>
        <v>0</v>
      </c>
      <c r="D799" s="270">
        <f>ROUND(BP61,0)</f>
        <v>0</v>
      </c>
      <c r="E799" s="270">
        <f>ROUND(BP62,0)</f>
        <v>0</v>
      </c>
      <c r="F799" s="270">
        <f>ROUND(BP63,0)</f>
        <v>0</v>
      </c>
      <c r="G799" s="270">
        <f>ROUND(BP64,0)</f>
        <v>0</v>
      </c>
      <c r="H799" s="270">
        <f>ROUND(BP65,0)</f>
        <v>0</v>
      </c>
      <c r="I799" s="270">
        <f>ROUND(BP66,0)</f>
        <v>3352083</v>
      </c>
      <c r="J799" s="270">
        <f>ROUND(BP67,0)</f>
        <v>0</v>
      </c>
      <c r="K799" s="270">
        <f>ROUND(BP68,0)</f>
        <v>0</v>
      </c>
      <c r="L799" s="270">
        <f>ROUND(BP69,0)</f>
        <v>0</v>
      </c>
      <c r="M799" s="270">
        <f>ROUND(BP70,0)</f>
        <v>0</v>
      </c>
      <c r="N799" s="270"/>
      <c r="O799" s="270"/>
      <c r="P799" s="270">
        <f>IF(BP76&gt;0,ROUND(BP76,0),0)</f>
        <v>0</v>
      </c>
      <c r="Q799" s="270">
        <f>IF(BP77&gt;0,ROUND(BP77,0),0)</f>
        <v>0</v>
      </c>
      <c r="R799" s="270">
        <f>IF(BP78&gt;0,ROUND(BP78,0),0)</f>
        <v>0</v>
      </c>
      <c r="S799" s="270">
        <f>IF(BP79&gt;0,ROUND(BP79,0),0)</f>
        <v>0</v>
      </c>
      <c r="T799" s="272">
        <f>IF(BP80&gt;0,ROUND(BP80,2),0)</f>
        <v>0</v>
      </c>
      <c r="U799" s="270"/>
      <c r="V799" s="271"/>
      <c r="W799" s="270"/>
      <c r="X799" s="270"/>
      <c r="Y799" s="270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  <c r="CA799" s="271"/>
      <c r="CB799" s="271"/>
      <c r="CC799" s="271"/>
      <c r="CD799" s="271"/>
      <c r="CE799" s="271"/>
    </row>
    <row r="800" spans="1:83" ht="12.6" customHeight="1" x14ac:dyDescent="0.2">
      <c r="A800" s="207" t="str">
        <f>RIGHT($C$83,3)&amp;"*"&amp;RIGHT($C$82,4)&amp;"*"&amp;BQ$55&amp;"*"&amp;"A"</f>
        <v>142*2019*8640*A</v>
      </c>
      <c r="B800" s="270"/>
      <c r="C800" s="272">
        <f>ROUND(BQ60,2)</f>
        <v>0</v>
      </c>
      <c r="D800" s="270">
        <f>ROUND(BQ61,0)</f>
        <v>0</v>
      </c>
      <c r="E800" s="270">
        <f>ROUND(BQ62,0)</f>
        <v>0</v>
      </c>
      <c r="F800" s="270">
        <f>ROUND(BQ63,0)</f>
        <v>0</v>
      </c>
      <c r="G800" s="270">
        <f>ROUND(BQ64,0)</f>
        <v>0</v>
      </c>
      <c r="H800" s="270">
        <f>ROUND(BQ65,0)</f>
        <v>0</v>
      </c>
      <c r="I800" s="270">
        <f>ROUND(BQ66,0)</f>
        <v>0</v>
      </c>
      <c r="J800" s="270">
        <f>ROUND(BQ67,0)</f>
        <v>0</v>
      </c>
      <c r="K800" s="270">
        <f>ROUND(BQ68,0)</f>
        <v>0</v>
      </c>
      <c r="L800" s="270">
        <f>ROUND(BQ69,0)</f>
        <v>0</v>
      </c>
      <c r="M800" s="270">
        <f>ROUND(BQ70,0)</f>
        <v>0</v>
      </c>
      <c r="N800" s="270"/>
      <c r="O800" s="270"/>
      <c r="P800" s="270">
        <f>IF(BQ76&gt;0,ROUND(BQ76,0),0)</f>
        <v>0</v>
      </c>
      <c r="Q800" s="270">
        <f>IF(BQ77&gt;0,ROUND(BQ77,0),0)</f>
        <v>0</v>
      </c>
      <c r="R800" s="270">
        <f>IF(BQ78&gt;0,ROUND(BQ78,0),0)</f>
        <v>0</v>
      </c>
      <c r="S800" s="270">
        <f>IF(BQ79&gt;0,ROUND(BQ79,0),0)</f>
        <v>0</v>
      </c>
      <c r="T800" s="272">
        <f>IF(BQ80&gt;0,ROUND(BQ80,2),0)</f>
        <v>0</v>
      </c>
      <c r="U800" s="270"/>
      <c r="V800" s="271"/>
      <c r="W800" s="270"/>
      <c r="X800" s="270"/>
      <c r="Y800" s="270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  <c r="CA800" s="271"/>
      <c r="CB800" s="271"/>
      <c r="CC800" s="271"/>
      <c r="CD800" s="271"/>
      <c r="CE800" s="271"/>
    </row>
    <row r="801" spans="1:83" ht="12.6" customHeight="1" x14ac:dyDescent="0.2">
      <c r="A801" s="207" t="str">
        <f>RIGHT($C$83,3)&amp;"*"&amp;RIGHT($C$82,4)&amp;"*"&amp;BR$55&amp;"*"&amp;"A"</f>
        <v>142*2019*8650*A</v>
      </c>
      <c r="B801" s="270"/>
      <c r="C801" s="272">
        <f>ROUND(BR60,2)</f>
        <v>0</v>
      </c>
      <c r="D801" s="270">
        <f>ROUND(BR61,0)</f>
        <v>-2181</v>
      </c>
      <c r="E801" s="270">
        <f>ROUND(BR62,0)</f>
        <v>51</v>
      </c>
      <c r="F801" s="270">
        <f>ROUND(BR63,0)</f>
        <v>0</v>
      </c>
      <c r="G801" s="270">
        <f>ROUND(BR64,0)</f>
        <v>16482</v>
      </c>
      <c r="H801" s="270">
        <f>ROUND(BR65,0)</f>
        <v>0</v>
      </c>
      <c r="I801" s="270">
        <f>ROUND(BR66,0)</f>
        <v>2140142</v>
      </c>
      <c r="J801" s="270">
        <f>ROUND(BR67,0)</f>
        <v>0</v>
      </c>
      <c r="K801" s="270">
        <f>ROUND(BR68,0)</f>
        <v>0</v>
      </c>
      <c r="L801" s="270">
        <f>ROUND(BR69,0)</f>
        <v>29298</v>
      </c>
      <c r="M801" s="270">
        <f>ROUND(BR70,0)</f>
        <v>0</v>
      </c>
      <c r="N801" s="270"/>
      <c r="O801" s="270"/>
      <c r="P801" s="270">
        <f>IF(BR76&gt;0,ROUND(BR76,0),0)</f>
        <v>0</v>
      </c>
      <c r="Q801" s="270">
        <f>IF(BR77&gt;0,ROUND(BR77,0),0)</f>
        <v>0</v>
      </c>
      <c r="R801" s="270">
        <f>IF(BR78&gt;0,ROUND(BR78,0),0)</f>
        <v>0</v>
      </c>
      <c r="S801" s="270">
        <f>IF(BR79&gt;0,ROUND(BR79,0),0)</f>
        <v>0</v>
      </c>
      <c r="T801" s="272">
        <f>IF(BR80&gt;0,ROUND(BR80,2),0)</f>
        <v>0</v>
      </c>
      <c r="U801" s="270"/>
      <c r="V801" s="271"/>
      <c r="W801" s="270"/>
      <c r="X801" s="270"/>
      <c r="Y801" s="270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  <c r="CA801" s="271"/>
      <c r="CB801" s="271"/>
      <c r="CC801" s="271"/>
      <c r="CD801" s="271"/>
      <c r="CE801" s="271"/>
    </row>
    <row r="802" spans="1:83" ht="12.6" customHeight="1" x14ac:dyDescent="0.2">
      <c r="A802" s="207" t="str">
        <f>RIGHT($C$83,3)&amp;"*"&amp;RIGHT($C$82,4)&amp;"*"&amp;BS$55&amp;"*"&amp;"A"</f>
        <v>142*2019*8660*A</v>
      </c>
      <c r="B802" s="270"/>
      <c r="C802" s="272">
        <f>ROUND(BS60,2)</f>
        <v>0</v>
      </c>
      <c r="D802" s="270">
        <f>ROUND(BS61,0)</f>
        <v>0</v>
      </c>
      <c r="E802" s="270">
        <f>ROUND(BS62,0)</f>
        <v>0</v>
      </c>
      <c r="F802" s="270">
        <f>ROUND(BS63,0)</f>
        <v>0</v>
      </c>
      <c r="G802" s="270">
        <f>ROUND(BS64,0)</f>
        <v>0</v>
      </c>
      <c r="H802" s="270">
        <f>ROUND(BS65,0)</f>
        <v>0</v>
      </c>
      <c r="I802" s="270">
        <f>ROUND(BS66,0)</f>
        <v>175756</v>
      </c>
      <c r="J802" s="270">
        <f>ROUND(BS67,0)</f>
        <v>216692</v>
      </c>
      <c r="K802" s="270">
        <f>ROUND(BS68,0)</f>
        <v>0</v>
      </c>
      <c r="L802" s="270">
        <f>ROUND(BS69,0)</f>
        <v>0</v>
      </c>
      <c r="M802" s="270">
        <f>ROUND(BS70,0)</f>
        <v>0</v>
      </c>
      <c r="N802" s="270"/>
      <c r="O802" s="270"/>
      <c r="P802" s="270">
        <f>IF(BS76&gt;0,ROUND(BS76,0),0)</f>
        <v>4251</v>
      </c>
      <c r="Q802" s="270">
        <f>IF(BS77&gt;0,ROUND(BS77,0),0)</f>
        <v>0</v>
      </c>
      <c r="R802" s="270">
        <f>IF(BS78&gt;0,ROUND(BS78,0),0)</f>
        <v>1215</v>
      </c>
      <c r="S802" s="270">
        <f>IF(BS79&gt;0,ROUND(BS79,0),0)</f>
        <v>0</v>
      </c>
      <c r="T802" s="272">
        <f>IF(BS80&gt;0,ROUND(BS80,2),0)</f>
        <v>0</v>
      </c>
      <c r="U802" s="270"/>
      <c r="V802" s="271"/>
      <c r="W802" s="270"/>
      <c r="X802" s="270"/>
      <c r="Y802" s="270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  <c r="CA802" s="271"/>
      <c r="CB802" s="271"/>
      <c r="CC802" s="271"/>
      <c r="CD802" s="271"/>
      <c r="CE802" s="271"/>
    </row>
    <row r="803" spans="1:83" ht="12.6" customHeight="1" x14ac:dyDescent="0.2">
      <c r="A803" s="207" t="str">
        <f>RIGHT($C$83,3)&amp;"*"&amp;RIGHT($C$82,4)&amp;"*"&amp;BT$55&amp;"*"&amp;"A"</f>
        <v>142*2019*8670*A</v>
      </c>
      <c r="B803" s="270"/>
      <c r="C803" s="272">
        <f>ROUND(BT60,2)</f>
        <v>0</v>
      </c>
      <c r="D803" s="270">
        <f>ROUND(BT61,0)</f>
        <v>0</v>
      </c>
      <c r="E803" s="270">
        <f>ROUND(BT62,0)</f>
        <v>0</v>
      </c>
      <c r="F803" s="270">
        <f>ROUND(BT63,0)</f>
        <v>0</v>
      </c>
      <c r="G803" s="270">
        <f>ROUND(BT64,0)</f>
        <v>19</v>
      </c>
      <c r="H803" s="270">
        <f>ROUND(BT65,0)</f>
        <v>97</v>
      </c>
      <c r="I803" s="270">
        <f>ROUND(BT66,0)</f>
        <v>300916</v>
      </c>
      <c r="J803" s="270">
        <f>ROUND(BT67,0)</f>
        <v>0</v>
      </c>
      <c r="K803" s="270">
        <f>ROUND(BT68,0)</f>
        <v>0</v>
      </c>
      <c r="L803" s="270">
        <f>ROUND(BT69,0)</f>
        <v>0</v>
      </c>
      <c r="M803" s="270">
        <f>ROUND(BT70,0)</f>
        <v>0</v>
      </c>
      <c r="N803" s="270"/>
      <c r="O803" s="270"/>
      <c r="P803" s="270">
        <f>IF(BT76&gt;0,ROUND(BT76,0),0)</f>
        <v>0</v>
      </c>
      <c r="Q803" s="270">
        <f>IF(BT77&gt;0,ROUND(BT77,0),0)</f>
        <v>0</v>
      </c>
      <c r="R803" s="270">
        <f>IF(BT78&gt;0,ROUND(BT78,0),0)</f>
        <v>0</v>
      </c>
      <c r="S803" s="270">
        <f>IF(BT79&gt;0,ROUND(BT79,0),0)</f>
        <v>0</v>
      </c>
      <c r="T803" s="272">
        <f>IF(BT80&gt;0,ROUND(BT80,2),0)</f>
        <v>0</v>
      </c>
      <c r="U803" s="270"/>
      <c r="V803" s="271"/>
      <c r="W803" s="270"/>
      <c r="X803" s="270"/>
      <c r="Y803" s="270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  <c r="CA803" s="271"/>
      <c r="CB803" s="271"/>
      <c r="CC803" s="271"/>
      <c r="CD803" s="271"/>
      <c r="CE803" s="271"/>
    </row>
    <row r="804" spans="1:83" ht="12.6" customHeight="1" x14ac:dyDescent="0.2">
      <c r="A804" s="207" t="str">
        <f>RIGHT($C$83,3)&amp;"*"&amp;RIGHT($C$82,4)&amp;"*"&amp;BU$55&amp;"*"&amp;"A"</f>
        <v>142*2019*8680*A</v>
      </c>
      <c r="B804" s="270"/>
      <c r="C804" s="272">
        <f>ROUND(BU60,2)</f>
        <v>0</v>
      </c>
      <c r="D804" s="270">
        <f>ROUND(BU61,0)</f>
        <v>0</v>
      </c>
      <c r="E804" s="270">
        <f>ROUND(BU62,0)</f>
        <v>0</v>
      </c>
      <c r="F804" s="270">
        <f>ROUND(BU63,0)</f>
        <v>0</v>
      </c>
      <c r="G804" s="270">
        <f>ROUND(BU64,0)</f>
        <v>0</v>
      </c>
      <c r="H804" s="270">
        <f>ROUND(BU65,0)</f>
        <v>0</v>
      </c>
      <c r="I804" s="270">
        <f>ROUND(BU66,0)</f>
        <v>104828</v>
      </c>
      <c r="J804" s="270">
        <f>ROUND(BU67,0)</f>
        <v>137019</v>
      </c>
      <c r="K804" s="270">
        <f>ROUND(BU68,0)</f>
        <v>0</v>
      </c>
      <c r="L804" s="270">
        <f>ROUND(BU69,0)</f>
        <v>0</v>
      </c>
      <c r="M804" s="270">
        <f>ROUND(BU70,0)</f>
        <v>0</v>
      </c>
      <c r="N804" s="270"/>
      <c r="O804" s="270"/>
      <c r="P804" s="270">
        <f>IF(BU76&gt;0,ROUND(BU76,0),0)</f>
        <v>2688</v>
      </c>
      <c r="Q804" s="270">
        <f>IF(BU77&gt;0,ROUND(BU77,0),0)</f>
        <v>0</v>
      </c>
      <c r="R804" s="270">
        <f>IF(BU78&gt;0,ROUND(BU78,0),0)</f>
        <v>768</v>
      </c>
      <c r="S804" s="270">
        <f>IF(BU79&gt;0,ROUND(BU79,0),0)</f>
        <v>0</v>
      </c>
      <c r="T804" s="272">
        <f>IF(BU80&gt;0,ROUND(BU80,2),0)</f>
        <v>0</v>
      </c>
      <c r="U804" s="270"/>
      <c r="V804" s="271"/>
      <c r="W804" s="270"/>
      <c r="X804" s="270"/>
      <c r="Y804" s="270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  <c r="CA804" s="271"/>
      <c r="CB804" s="271"/>
      <c r="CC804" s="271"/>
      <c r="CD804" s="271"/>
      <c r="CE804" s="271"/>
    </row>
    <row r="805" spans="1:83" ht="12.6" customHeight="1" x14ac:dyDescent="0.2">
      <c r="A805" s="207" t="str">
        <f>RIGHT($C$83,3)&amp;"*"&amp;RIGHT($C$82,4)&amp;"*"&amp;BV$55&amp;"*"&amp;"A"</f>
        <v>142*2019*8690*A</v>
      </c>
      <c r="B805" s="270"/>
      <c r="C805" s="272">
        <f>ROUND(BV60,2)</f>
        <v>0</v>
      </c>
      <c r="D805" s="270">
        <f>ROUND(BV61,0)</f>
        <v>0</v>
      </c>
      <c r="E805" s="270">
        <f>ROUND(BV62,0)</f>
        <v>0</v>
      </c>
      <c r="F805" s="270">
        <f>ROUND(BV63,0)</f>
        <v>0</v>
      </c>
      <c r="G805" s="270">
        <f>ROUND(BV64,0)</f>
        <v>5280</v>
      </c>
      <c r="H805" s="270">
        <f>ROUND(BV65,0)</f>
        <v>0</v>
      </c>
      <c r="I805" s="270">
        <f>ROUND(BV66,0)</f>
        <v>3919541</v>
      </c>
      <c r="J805" s="270">
        <f>ROUND(BV67,0)</f>
        <v>388097</v>
      </c>
      <c r="K805" s="270">
        <f>ROUND(BV68,0)</f>
        <v>19086</v>
      </c>
      <c r="L805" s="270">
        <f>ROUND(BV69,0)</f>
        <v>0</v>
      </c>
      <c r="M805" s="270">
        <f>ROUND(BV70,0)</f>
        <v>2426</v>
      </c>
      <c r="N805" s="270"/>
      <c r="O805" s="270"/>
      <c r="P805" s="270">
        <f>IF(BV76&gt;0,ROUND(BV76,0),0)</f>
        <v>7535</v>
      </c>
      <c r="Q805" s="270">
        <f>IF(BV77&gt;0,ROUND(BV77,0),0)</f>
        <v>0</v>
      </c>
      <c r="R805" s="270">
        <f>IF(BV78&gt;0,ROUND(BV78,0),0)</f>
        <v>2153</v>
      </c>
      <c r="S805" s="270">
        <f>IF(BV79&gt;0,ROUND(BV79,0),0)</f>
        <v>0</v>
      </c>
      <c r="T805" s="272">
        <f>IF(BV80&gt;0,ROUND(BV80,2),0)</f>
        <v>0</v>
      </c>
      <c r="U805" s="270"/>
      <c r="V805" s="271"/>
      <c r="W805" s="270"/>
      <c r="X805" s="270"/>
      <c r="Y805" s="270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  <c r="CA805" s="271"/>
      <c r="CB805" s="271"/>
      <c r="CC805" s="271"/>
      <c r="CD805" s="271"/>
      <c r="CE805" s="271"/>
    </row>
    <row r="806" spans="1:83" ht="12.6" customHeight="1" x14ac:dyDescent="0.2">
      <c r="A806" s="207" t="str">
        <f>RIGHT($C$83,3)&amp;"*"&amp;RIGHT($C$82,4)&amp;"*"&amp;BW$55&amp;"*"&amp;"A"</f>
        <v>142*2019*8700*A</v>
      </c>
      <c r="B806" s="270"/>
      <c r="C806" s="272">
        <f>ROUND(BW60,2)</f>
        <v>0</v>
      </c>
      <c r="D806" s="270">
        <f>ROUND(BW61,0)</f>
        <v>0</v>
      </c>
      <c r="E806" s="270">
        <f>ROUND(BW62,0)</f>
        <v>0</v>
      </c>
      <c r="F806" s="270">
        <f>ROUND(BW63,0)</f>
        <v>0</v>
      </c>
      <c r="G806" s="270">
        <f>ROUND(BW64,0)</f>
        <v>147</v>
      </c>
      <c r="H806" s="270">
        <f>ROUND(BW65,0)</f>
        <v>0</v>
      </c>
      <c r="I806" s="270">
        <f>ROUND(BW66,0)</f>
        <v>1544527</v>
      </c>
      <c r="J806" s="270">
        <f>ROUND(BW67,0)</f>
        <v>0</v>
      </c>
      <c r="K806" s="270">
        <f>ROUND(BW68,0)</f>
        <v>0</v>
      </c>
      <c r="L806" s="270">
        <f>ROUND(BW69,0)</f>
        <v>0</v>
      </c>
      <c r="M806" s="270">
        <f>ROUND(BW70,0)</f>
        <v>0</v>
      </c>
      <c r="N806" s="270"/>
      <c r="O806" s="270"/>
      <c r="P806" s="270">
        <f>IF(BW76&gt;0,ROUND(BW76,0),0)</f>
        <v>0</v>
      </c>
      <c r="Q806" s="270">
        <f>IF(BW77&gt;0,ROUND(BW77,0),0)</f>
        <v>0</v>
      </c>
      <c r="R806" s="270">
        <f>IF(BW78&gt;0,ROUND(BW78,0),0)</f>
        <v>0</v>
      </c>
      <c r="S806" s="270">
        <f>IF(BW79&gt;0,ROUND(BW79,0),0)</f>
        <v>0</v>
      </c>
      <c r="T806" s="272">
        <f>IF(BW80&gt;0,ROUND(BW80,2),0)</f>
        <v>0</v>
      </c>
      <c r="U806" s="270"/>
      <c r="V806" s="271"/>
      <c r="W806" s="270"/>
      <c r="X806" s="270"/>
      <c r="Y806" s="270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  <c r="CA806" s="271"/>
      <c r="CB806" s="271"/>
      <c r="CC806" s="271"/>
      <c r="CD806" s="271"/>
      <c r="CE806" s="271"/>
    </row>
    <row r="807" spans="1:83" ht="12.6" customHeight="1" x14ac:dyDescent="0.2">
      <c r="A807" s="207" t="str">
        <f>RIGHT($C$83,3)&amp;"*"&amp;RIGHT($C$82,4)&amp;"*"&amp;BX$55&amp;"*"&amp;"A"</f>
        <v>142*2019*8710*A</v>
      </c>
      <c r="B807" s="270"/>
      <c r="C807" s="272">
        <f>ROUND(BX60,2)</f>
        <v>0</v>
      </c>
      <c r="D807" s="270">
        <f>ROUND(BX61,0)</f>
        <v>0</v>
      </c>
      <c r="E807" s="270">
        <f>ROUND(BX62,0)</f>
        <v>0</v>
      </c>
      <c r="F807" s="270">
        <f>ROUND(BX63,0)</f>
        <v>18750</v>
      </c>
      <c r="G807" s="270">
        <f>ROUND(BX64,0)</f>
        <v>8</v>
      </c>
      <c r="H807" s="270">
        <f>ROUND(BX65,0)</f>
        <v>0</v>
      </c>
      <c r="I807" s="270">
        <f>ROUND(BX66,0)</f>
        <v>7580781</v>
      </c>
      <c r="J807" s="270">
        <f>ROUND(BX67,0)</f>
        <v>0</v>
      </c>
      <c r="K807" s="270">
        <f>ROUND(BX68,0)</f>
        <v>467</v>
      </c>
      <c r="L807" s="270">
        <f>ROUND(BX69,0)</f>
        <v>0</v>
      </c>
      <c r="M807" s="270">
        <f>ROUND(BX70,0)</f>
        <v>0</v>
      </c>
      <c r="N807" s="270"/>
      <c r="O807" s="270"/>
      <c r="P807" s="270">
        <f>IF(BX76&gt;0,ROUND(BX76,0),0)</f>
        <v>0</v>
      </c>
      <c r="Q807" s="270">
        <f>IF(BX77&gt;0,ROUND(BX77,0),0)</f>
        <v>0</v>
      </c>
      <c r="R807" s="270">
        <f>IF(BX78&gt;0,ROUND(BX78,0),0)</f>
        <v>0</v>
      </c>
      <c r="S807" s="270">
        <f>IF(BX79&gt;0,ROUND(BX79,0),0)</f>
        <v>0</v>
      </c>
      <c r="T807" s="272">
        <f>IF(BX80&gt;0,ROUND(BX80,2),0)</f>
        <v>0</v>
      </c>
      <c r="U807" s="270"/>
      <c r="V807" s="271"/>
      <c r="W807" s="270"/>
      <c r="X807" s="270"/>
      <c r="Y807" s="270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  <c r="CA807" s="271"/>
      <c r="CB807" s="271"/>
      <c r="CC807" s="271"/>
      <c r="CD807" s="271"/>
      <c r="CE807" s="271"/>
    </row>
    <row r="808" spans="1:83" ht="12.6" customHeight="1" x14ac:dyDescent="0.2">
      <c r="A808" s="207" t="str">
        <f>RIGHT($C$83,3)&amp;"*"&amp;RIGHT($C$82,4)&amp;"*"&amp;BY$55&amp;"*"&amp;"A"</f>
        <v>142*2019*8720*A</v>
      </c>
      <c r="B808" s="270"/>
      <c r="C808" s="272">
        <f>ROUND(BY60,2)</f>
        <v>30.74</v>
      </c>
      <c r="D808" s="270">
        <f>ROUND(BY61,0)</f>
        <v>3131041</v>
      </c>
      <c r="E808" s="270">
        <f>ROUND(BY62,0)</f>
        <v>693853</v>
      </c>
      <c r="F808" s="270">
        <f>ROUND(BY63,0)</f>
        <v>0</v>
      </c>
      <c r="G808" s="270">
        <f>ROUND(BY64,0)</f>
        <v>20581</v>
      </c>
      <c r="H808" s="270">
        <f>ROUND(BY65,0)</f>
        <v>1340</v>
      </c>
      <c r="I808" s="270">
        <f>ROUND(BY66,0)</f>
        <v>958129</v>
      </c>
      <c r="J808" s="270">
        <f>ROUND(BY67,0)</f>
        <v>411982</v>
      </c>
      <c r="K808" s="270">
        <f>ROUND(BY68,0)</f>
        <v>28606</v>
      </c>
      <c r="L808" s="270">
        <f>ROUND(BY69,0)</f>
        <v>120854</v>
      </c>
      <c r="M808" s="270">
        <f>ROUND(BY70,0)</f>
        <v>4876</v>
      </c>
      <c r="N808" s="270"/>
      <c r="O808" s="270"/>
      <c r="P808" s="270">
        <f>IF(BY76&gt;0,ROUND(BY76,0),0)</f>
        <v>2637</v>
      </c>
      <c r="Q808" s="270">
        <f>IF(BY77&gt;0,ROUND(BY77,0),0)</f>
        <v>0</v>
      </c>
      <c r="R808" s="270">
        <f>IF(BY78&gt;0,ROUND(BY78,0),0)</f>
        <v>753</v>
      </c>
      <c r="S808" s="270">
        <f>IF(BY79&gt;0,ROUND(BY79,0),0)</f>
        <v>0</v>
      </c>
      <c r="T808" s="272">
        <f>IF(BY80&gt;0,ROUND(BY80,2),0)</f>
        <v>0</v>
      </c>
      <c r="U808" s="270"/>
      <c r="V808" s="271"/>
      <c r="W808" s="270"/>
      <c r="X808" s="270"/>
      <c r="Y808" s="270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  <c r="CA808" s="271"/>
      <c r="CB808" s="271"/>
      <c r="CC808" s="271"/>
      <c r="CD808" s="271"/>
      <c r="CE808" s="271"/>
    </row>
    <row r="809" spans="1:83" ht="12.6" customHeight="1" x14ac:dyDescent="0.2">
      <c r="A809" s="207" t="str">
        <f>RIGHT($C$83,3)&amp;"*"&amp;RIGHT($C$82,4)&amp;"*"&amp;BZ$55&amp;"*"&amp;"A"</f>
        <v>142*2019*8730*A</v>
      </c>
      <c r="B809" s="270"/>
      <c r="C809" s="272">
        <f>ROUND(BZ60,2)</f>
        <v>0</v>
      </c>
      <c r="D809" s="270">
        <f>ROUND(BZ61,0)</f>
        <v>0</v>
      </c>
      <c r="E809" s="270">
        <f>ROUND(BZ62,0)</f>
        <v>0</v>
      </c>
      <c r="F809" s="270">
        <f>ROUND(BZ63,0)</f>
        <v>0</v>
      </c>
      <c r="G809" s="270">
        <f>ROUND(BZ64,0)</f>
        <v>0</v>
      </c>
      <c r="H809" s="270">
        <f>ROUND(BZ65,0)</f>
        <v>0</v>
      </c>
      <c r="I809" s="270">
        <f>ROUND(BZ66,0)</f>
        <v>0</v>
      </c>
      <c r="J809" s="270">
        <f>ROUND(BZ67,0)</f>
        <v>0</v>
      </c>
      <c r="K809" s="270">
        <f>ROUND(BZ68,0)</f>
        <v>0</v>
      </c>
      <c r="L809" s="270">
        <f>ROUND(BZ69,0)</f>
        <v>0</v>
      </c>
      <c r="M809" s="270">
        <f>ROUND(BZ70,0)</f>
        <v>0</v>
      </c>
      <c r="N809" s="270"/>
      <c r="O809" s="270"/>
      <c r="P809" s="270">
        <f>IF(BZ76&gt;0,ROUND(BZ76,0),0)</f>
        <v>0</v>
      </c>
      <c r="Q809" s="270">
        <f>IF(BZ77&gt;0,ROUND(BZ77,0),0)</f>
        <v>0</v>
      </c>
      <c r="R809" s="270">
        <f>IF(BZ78&gt;0,ROUND(BZ78,0),0)</f>
        <v>0</v>
      </c>
      <c r="S809" s="270">
        <f>IF(BZ79&gt;0,ROUND(BZ79,0),0)</f>
        <v>0</v>
      </c>
      <c r="T809" s="272">
        <f>IF(BZ80&gt;0,ROUND(BZ80,2),0)</f>
        <v>0</v>
      </c>
      <c r="U809" s="270"/>
      <c r="V809" s="271"/>
      <c r="W809" s="270"/>
      <c r="X809" s="270"/>
      <c r="Y809" s="270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  <c r="CA809" s="271"/>
      <c r="CB809" s="271"/>
      <c r="CC809" s="271"/>
      <c r="CD809" s="271"/>
      <c r="CE809" s="271"/>
    </row>
    <row r="810" spans="1:83" ht="12.6" customHeight="1" x14ac:dyDescent="0.2">
      <c r="A810" s="207" t="str">
        <f>RIGHT($C$83,3)&amp;"*"&amp;RIGHT($C$82,4)&amp;"*"&amp;CA$55&amp;"*"&amp;"A"</f>
        <v>142*2019*8740*A</v>
      </c>
      <c r="B810" s="270"/>
      <c r="C810" s="272">
        <f>ROUND(CA60,2)</f>
        <v>10.8</v>
      </c>
      <c r="D810" s="270">
        <f>ROUND(CA61,0)</f>
        <v>1029103</v>
      </c>
      <c r="E810" s="270">
        <f>ROUND(CA62,0)</f>
        <v>236395</v>
      </c>
      <c r="F810" s="270">
        <f>ROUND(CA63,0)</f>
        <v>0</v>
      </c>
      <c r="G810" s="270">
        <f>ROUND(CA64,0)</f>
        <v>39334</v>
      </c>
      <c r="H810" s="270">
        <f>ROUND(CA65,0)</f>
        <v>0</v>
      </c>
      <c r="I810" s="270">
        <f>ROUND(CA66,0)</f>
        <v>1084840</v>
      </c>
      <c r="J810" s="270">
        <f>ROUND(CA67,0)</f>
        <v>98410</v>
      </c>
      <c r="K810" s="270">
        <f>ROUND(CA68,0)</f>
        <v>46058</v>
      </c>
      <c r="L810" s="270">
        <f>ROUND(CA69,0)</f>
        <v>6317</v>
      </c>
      <c r="M810" s="270">
        <f>ROUND(CA70,0)</f>
        <v>3704</v>
      </c>
      <c r="N810" s="270"/>
      <c r="O810" s="270"/>
      <c r="P810" s="270">
        <f>IF(CA76&gt;0,ROUND(CA76,0),0)</f>
        <v>1853</v>
      </c>
      <c r="Q810" s="270">
        <f>IF(CA77&gt;0,ROUND(CA77,0),0)</f>
        <v>0</v>
      </c>
      <c r="R810" s="270">
        <f>IF(CA78&gt;0,ROUND(CA78,0),0)</f>
        <v>529</v>
      </c>
      <c r="S810" s="270">
        <f>IF(CA79&gt;0,ROUND(CA79,0),0)</f>
        <v>0</v>
      </c>
      <c r="T810" s="272">
        <f>IF(CA80&gt;0,ROUND(CA80,2),0)</f>
        <v>0</v>
      </c>
      <c r="U810" s="270"/>
      <c r="V810" s="271"/>
      <c r="W810" s="270"/>
      <c r="X810" s="270"/>
      <c r="Y810" s="270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  <c r="CA810" s="271"/>
      <c r="CB810" s="271"/>
      <c r="CC810" s="271"/>
      <c r="CD810" s="271"/>
      <c r="CE810" s="271"/>
    </row>
    <row r="811" spans="1:83" ht="12.6" customHeight="1" x14ac:dyDescent="0.2">
      <c r="A811" s="207" t="str">
        <f>RIGHT($C$83,3)&amp;"*"&amp;RIGHT($C$82,4)&amp;"*"&amp;CB$55&amp;"*"&amp;"A"</f>
        <v>142*2019*8770*A</v>
      </c>
      <c r="B811" s="270"/>
      <c r="C811" s="272">
        <f>ROUND(CB60,2)</f>
        <v>0</v>
      </c>
      <c r="D811" s="270">
        <f>ROUND(CB61,0)</f>
        <v>0</v>
      </c>
      <c r="E811" s="270">
        <f>ROUND(CB62,0)</f>
        <v>0</v>
      </c>
      <c r="F811" s="270">
        <f>ROUND(CB63,0)</f>
        <v>0</v>
      </c>
      <c r="G811" s="270">
        <f>ROUND(CB64,0)</f>
        <v>0</v>
      </c>
      <c r="H811" s="270">
        <f>ROUND(CB65,0)</f>
        <v>0</v>
      </c>
      <c r="I811" s="270">
        <f>ROUND(CB66,0)</f>
        <v>112544</v>
      </c>
      <c r="J811" s="270">
        <f>ROUND(CB67,0)</f>
        <v>0</v>
      </c>
      <c r="K811" s="270">
        <f>ROUND(CB68,0)</f>
        <v>0</v>
      </c>
      <c r="L811" s="270">
        <f>ROUND(CB69,0)</f>
        <v>0</v>
      </c>
      <c r="M811" s="270">
        <f>ROUND(CB70,0)</f>
        <v>0</v>
      </c>
      <c r="N811" s="270"/>
      <c r="O811" s="270"/>
      <c r="P811" s="270">
        <f>IF(CB76&gt;0,ROUND(CB76,0),0)</f>
        <v>0</v>
      </c>
      <c r="Q811" s="270">
        <f>IF(CB77&gt;0,ROUND(CB77,0),0)</f>
        <v>0</v>
      </c>
      <c r="R811" s="270">
        <f>IF(CB78&gt;0,ROUND(CB78,0),0)</f>
        <v>0</v>
      </c>
      <c r="S811" s="270">
        <f>IF(CB79&gt;0,ROUND(CB79,0),0)</f>
        <v>0</v>
      </c>
      <c r="T811" s="272">
        <f>IF(CB80&gt;0,ROUND(CB80,2),0)</f>
        <v>0</v>
      </c>
      <c r="U811" s="270"/>
      <c r="V811" s="271"/>
      <c r="W811" s="270"/>
      <c r="X811" s="270"/>
      <c r="Y811" s="270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  <c r="CA811" s="271"/>
      <c r="CB811" s="271"/>
      <c r="CC811" s="271"/>
      <c r="CD811" s="271"/>
      <c r="CE811" s="271"/>
    </row>
    <row r="812" spans="1:83" ht="12.6" customHeight="1" x14ac:dyDescent="0.2">
      <c r="A812" s="207" t="str">
        <f>RIGHT($C$83,3)&amp;"*"&amp;RIGHT($C$82,4)&amp;"*"&amp;CC$55&amp;"*"&amp;"A"</f>
        <v>142*2019*8790*A</v>
      </c>
      <c r="B812" s="270"/>
      <c r="C812" s="272">
        <f>ROUND(CC60,2)</f>
        <v>0</v>
      </c>
      <c r="D812" s="270">
        <f>ROUND(CC61,0)</f>
        <v>294566</v>
      </c>
      <c r="E812" s="270">
        <f>ROUND(CC62,0)</f>
        <v>3</v>
      </c>
      <c r="F812" s="270">
        <f>ROUND(CC63,0)</f>
        <v>0</v>
      </c>
      <c r="G812" s="270">
        <f>ROUND(CC64,0)</f>
        <v>370462</v>
      </c>
      <c r="H812" s="270">
        <f>ROUND(CC65,0)</f>
        <v>12011</v>
      </c>
      <c r="I812" s="270">
        <f>ROUND(CC66,0)</f>
        <v>26059135</v>
      </c>
      <c r="J812" s="270">
        <f>ROUND(CC67,0)</f>
        <v>0</v>
      </c>
      <c r="K812" s="270">
        <f>ROUND(CC68,0)</f>
        <v>166797</v>
      </c>
      <c r="L812" s="270">
        <f>ROUND(CC69,0)</f>
        <v>1080114</v>
      </c>
      <c r="M812" s="270">
        <f>ROUND(CC70,0)</f>
        <v>0</v>
      </c>
      <c r="N812" s="270"/>
      <c r="O812" s="270"/>
      <c r="P812" s="270">
        <f>IF(CC76&gt;0,ROUND(CC76,0),0)</f>
        <v>0</v>
      </c>
      <c r="Q812" s="270">
        <f>IF(CC77&gt;0,ROUND(CC77,0),0)</f>
        <v>0</v>
      </c>
      <c r="R812" s="270">
        <f>IF(CC78&gt;0,ROUND(CC78,0),0)</f>
        <v>0</v>
      </c>
      <c r="S812" s="270">
        <f>IF(CC79&gt;0,ROUND(CC79,0),0)</f>
        <v>0</v>
      </c>
      <c r="T812" s="272">
        <f>IF(CC80&gt;0,ROUND(CC80,2),0)</f>
        <v>0</v>
      </c>
      <c r="U812" s="270"/>
      <c r="V812" s="271"/>
      <c r="W812" s="270"/>
      <c r="X812" s="270"/>
      <c r="Y812" s="270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  <c r="CA812" s="271"/>
      <c r="CB812" s="271"/>
      <c r="CC812" s="271"/>
      <c r="CD812" s="271"/>
      <c r="CE812" s="271"/>
    </row>
    <row r="813" spans="1:83" ht="12.6" customHeight="1" x14ac:dyDescent="0.2">
      <c r="A813" s="207" t="str">
        <f>RIGHT($C$83,3)&amp;"*"&amp;RIGHT($C$82,4)&amp;"*"&amp;"9000"&amp;"*"&amp;"A"</f>
        <v>142*2019*9000*A</v>
      </c>
      <c r="B813" s="270"/>
      <c r="C813" s="273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3"/>
      <c r="U813" s="270">
        <f>ROUND(CD69,0)</f>
        <v>15452184</v>
      </c>
      <c r="V813" s="271">
        <f>ROUND(CD70,0)</f>
        <v>12302</v>
      </c>
      <c r="W813" s="270">
        <f>ROUND(CE72,0)</f>
        <v>0</v>
      </c>
      <c r="X813" s="270">
        <f>ROUND(C131,0)</f>
        <v>0</v>
      </c>
      <c r="Y813" s="270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  <c r="CA813" s="271"/>
      <c r="CB813" s="271"/>
      <c r="CC813" s="271"/>
      <c r="CD813" s="271"/>
      <c r="CE813" s="271"/>
    </row>
    <row r="814" spans="1:83" ht="12.6" customHeight="1" x14ac:dyDescent="0.2">
      <c r="B814" s="271"/>
      <c r="C814" s="271"/>
      <c r="D814" s="271"/>
      <c r="E814" s="271"/>
      <c r="F814" s="271"/>
      <c r="G814" s="271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  <c r="CA814" s="271"/>
      <c r="CB814" s="271"/>
      <c r="CC814" s="271"/>
      <c r="CD814" s="271"/>
      <c r="CE814" s="271"/>
    </row>
    <row r="815" spans="1:83" ht="12.6" customHeight="1" x14ac:dyDescent="0.2">
      <c r="B815" s="274" t="s">
        <v>1004</v>
      </c>
      <c r="C815" s="275">
        <f t="shared" ref="C815:K815" si="23">SUM(C734:C813)</f>
        <v>2050.13</v>
      </c>
      <c r="D815" s="271">
        <f t="shared" si="23"/>
        <v>193640401</v>
      </c>
      <c r="E815" s="271">
        <f t="shared" si="23"/>
        <v>41619656</v>
      </c>
      <c r="F815" s="271">
        <f t="shared" si="23"/>
        <v>42048899</v>
      </c>
      <c r="G815" s="271">
        <f t="shared" si="23"/>
        <v>107520410</v>
      </c>
      <c r="H815" s="271">
        <f t="shared" si="23"/>
        <v>4642350</v>
      </c>
      <c r="I815" s="271">
        <f t="shared" si="23"/>
        <v>146338610</v>
      </c>
      <c r="J815" s="271">
        <f t="shared" si="23"/>
        <v>46236470</v>
      </c>
      <c r="K815" s="271">
        <f t="shared" si="23"/>
        <v>13217960</v>
      </c>
      <c r="L815" s="271">
        <f>SUM(L734:L813)+SUM(U734:U813)</f>
        <v>23714222</v>
      </c>
      <c r="M815" s="271">
        <f>SUM(M734:M813)+SUM(V734:V813)</f>
        <v>5746465</v>
      </c>
      <c r="N815" s="271">
        <f t="shared" ref="N815:Y815" si="24">SUM(N734:N813)</f>
        <v>2678575332</v>
      </c>
      <c r="O815" s="271">
        <f t="shared" si="24"/>
        <v>1052674088</v>
      </c>
      <c r="P815" s="271">
        <f t="shared" si="24"/>
        <v>577281</v>
      </c>
      <c r="Q815" s="271">
        <f t="shared" si="24"/>
        <v>226987</v>
      </c>
      <c r="R815" s="271">
        <f t="shared" si="24"/>
        <v>115000</v>
      </c>
      <c r="S815" s="271">
        <f t="shared" si="24"/>
        <v>1886548</v>
      </c>
      <c r="T815" s="275">
        <f t="shared" si="24"/>
        <v>522.96999999999991</v>
      </c>
      <c r="U815" s="271">
        <f t="shared" si="24"/>
        <v>15452184</v>
      </c>
      <c r="V815" s="271">
        <f t="shared" si="24"/>
        <v>12302</v>
      </c>
      <c r="W815" s="271">
        <f t="shared" si="24"/>
        <v>0</v>
      </c>
      <c r="X815" s="271">
        <f t="shared" si="24"/>
        <v>0</v>
      </c>
      <c r="Y815" s="271">
        <f t="shared" si="24"/>
        <v>141128987</v>
      </c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  <c r="CA815" s="271"/>
      <c r="CB815" s="271"/>
      <c r="CC815" s="271"/>
      <c r="CD815" s="271"/>
      <c r="CE815" s="271"/>
    </row>
    <row r="816" spans="1:83" ht="12.6" customHeight="1" x14ac:dyDescent="0.2">
      <c r="B816" s="271" t="s">
        <v>1005</v>
      </c>
      <c r="C816" s="275">
        <f>CE60</f>
        <v>2050.1679230769228</v>
      </c>
      <c r="D816" s="271">
        <f>CE61</f>
        <v>193640400.35999998</v>
      </c>
      <c r="E816" s="271">
        <f>CE62</f>
        <v>41619656</v>
      </c>
      <c r="F816" s="271">
        <f>CE63</f>
        <v>42048899.690000005</v>
      </c>
      <c r="G816" s="271">
        <f>CE64</f>
        <v>107520410.71999995</v>
      </c>
      <c r="H816" s="274">
        <f>CE65</f>
        <v>4642352.74</v>
      </c>
      <c r="I816" s="274">
        <f>CE66</f>
        <v>146338607.73560297</v>
      </c>
      <c r="J816" s="274">
        <f>CE67</f>
        <v>46236470</v>
      </c>
      <c r="K816" s="274">
        <f>CE68</f>
        <v>13217957.749999996</v>
      </c>
      <c r="L816" s="274">
        <f>CE69</f>
        <v>23714222.369999997</v>
      </c>
      <c r="M816" s="274">
        <f>CE70</f>
        <v>5746464.2699999977</v>
      </c>
      <c r="N816" s="271">
        <f>CE75</f>
        <v>2678575331.7300005</v>
      </c>
      <c r="O816" s="271">
        <f>CE73</f>
        <v>1052674086.1299999</v>
      </c>
      <c r="P816" s="271">
        <f>CE76</f>
        <v>577281</v>
      </c>
      <c r="Q816" s="271">
        <f>CE77</f>
        <v>226987</v>
      </c>
      <c r="R816" s="271">
        <f>CE78</f>
        <v>115002.92000000003</v>
      </c>
      <c r="S816" s="271">
        <f>CE79</f>
        <v>1886548</v>
      </c>
      <c r="T816" s="275">
        <f>CE80</f>
        <v>522.98605288461533</v>
      </c>
      <c r="U816" s="271" t="s">
        <v>1006</v>
      </c>
      <c r="V816" s="271" t="s">
        <v>1006</v>
      </c>
      <c r="W816" s="271" t="s">
        <v>1006</v>
      </c>
      <c r="X816" s="271" t="s">
        <v>1006</v>
      </c>
      <c r="Y816" s="271">
        <f>M716</f>
        <v>141128986.16615051</v>
      </c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  <c r="CA816" s="271"/>
      <c r="CB816" s="271"/>
      <c r="CC816" s="271"/>
      <c r="CD816" s="271"/>
      <c r="CE816" s="271"/>
    </row>
    <row r="817" spans="2:15" ht="12.6" customHeight="1" x14ac:dyDescent="0.2">
      <c r="B817" s="180" t="s">
        <v>471</v>
      </c>
      <c r="C817" s="197" t="s">
        <v>1007</v>
      </c>
      <c r="D817" s="180">
        <f>C378</f>
        <v>193640399.63999999</v>
      </c>
      <c r="E817" s="180">
        <f>C379</f>
        <v>41619655.539999999</v>
      </c>
      <c r="F817" s="180">
        <f>C380</f>
        <v>42048900.119999997</v>
      </c>
      <c r="G817" s="235">
        <f>C381</f>
        <v>107520410.94</v>
      </c>
      <c r="H817" s="235">
        <f>C382</f>
        <v>4642352.87</v>
      </c>
      <c r="I817" s="235">
        <f>C383</f>
        <v>146338607.73999998</v>
      </c>
      <c r="J817" s="235">
        <f>C384</f>
        <v>46236466.659999996</v>
      </c>
      <c r="K817" s="235">
        <f>C385</f>
        <v>13217957.82</v>
      </c>
      <c r="L817" s="235">
        <f>C386+C387+C388+C389</f>
        <v>23714221.810000002</v>
      </c>
      <c r="M817" s="235">
        <f>C370</f>
        <v>5746464.5700000003</v>
      </c>
      <c r="N817" s="180">
        <f>D361</f>
        <v>2678575332.3199997</v>
      </c>
      <c r="O817" s="180">
        <f>C359</f>
        <v>1052674086.54</v>
      </c>
    </row>
  </sheetData>
  <mergeCells count="1">
    <mergeCell ref="B220:C220"/>
  </mergeCells>
  <phoneticPr fontId="0" type="noConversion"/>
  <hyperlinks>
    <hyperlink ref="F16" r:id="rId1" xr:uid="{00000000-0004-0000-0C00-000000000000}"/>
    <hyperlink ref="C17" r:id="rId2" xr:uid="{00000000-0004-0000-0C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32"/>
  <sheetViews>
    <sheetView topLeftCell="B1" workbookViewId="0">
      <pane ySplit="3" topLeftCell="A79" activePane="bottomLeft" state="frozen"/>
      <selection pane="bottomLeft" activeCell="D106" sqref="D106"/>
    </sheetView>
  </sheetViews>
  <sheetFormatPr defaultRowHeight="15" x14ac:dyDescent="0.2"/>
  <cols>
    <col min="1" max="1" width="10.77734375" bestFit="1" customWidth="1"/>
    <col min="2" max="2" width="19.21875" customWidth="1"/>
    <col min="3" max="3" width="28.109375" bestFit="1" customWidth="1"/>
    <col min="4" max="4" width="33.21875" bestFit="1" customWidth="1"/>
    <col min="5" max="7" width="33.21875" customWidth="1"/>
    <col min="8" max="8" width="16.88671875" bestFit="1" customWidth="1"/>
    <col min="9" max="9" width="15.77734375" bestFit="1" customWidth="1"/>
    <col min="10" max="10" width="26.109375" bestFit="1" customWidth="1"/>
    <col min="11" max="11" width="27.109375" bestFit="1" customWidth="1"/>
    <col min="12" max="13" width="17.88671875" bestFit="1" customWidth="1"/>
    <col min="14" max="14" width="18.88671875" bestFit="1" customWidth="1"/>
    <col min="15" max="15" width="30.109375" bestFit="1" customWidth="1"/>
    <col min="16" max="18" width="30.109375" customWidth="1"/>
    <col min="19" max="19" width="22" bestFit="1" customWidth="1"/>
    <col min="20" max="20" width="26.109375" bestFit="1" customWidth="1"/>
    <col min="21" max="21" width="26.109375" customWidth="1"/>
    <col min="22" max="22" width="30.109375" customWidth="1"/>
    <col min="23" max="23" width="19.88671875" bestFit="1" customWidth="1"/>
    <col min="24" max="24" width="15.77734375" bestFit="1" customWidth="1"/>
    <col min="25" max="25" width="22" bestFit="1" customWidth="1"/>
    <col min="26" max="26" width="23" bestFit="1" customWidth="1"/>
    <col min="27" max="27" width="30.109375" bestFit="1" customWidth="1"/>
    <col min="28" max="28" width="22" bestFit="1" customWidth="1"/>
  </cols>
  <sheetData>
    <row r="1" spans="1:28" x14ac:dyDescent="0.2">
      <c r="C1" s="283">
        <v>3</v>
      </c>
      <c r="D1" s="283">
        <v>4</v>
      </c>
      <c r="E1" s="283">
        <v>5</v>
      </c>
      <c r="F1" s="289">
        <v>6</v>
      </c>
      <c r="G1" s="289">
        <v>7</v>
      </c>
      <c r="H1" s="289">
        <v>8</v>
      </c>
      <c r="I1" s="283">
        <v>9</v>
      </c>
      <c r="J1" s="283">
        <v>10</v>
      </c>
      <c r="K1" s="283">
        <v>11</v>
      </c>
      <c r="L1" s="283">
        <v>12</v>
      </c>
      <c r="M1" s="283">
        <v>13</v>
      </c>
      <c r="N1" s="283">
        <v>14</v>
      </c>
      <c r="O1" s="283">
        <v>15</v>
      </c>
      <c r="P1" s="289">
        <v>16</v>
      </c>
      <c r="Q1" s="289">
        <v>17</v>
      </c>
      <c r="R1" s="289">
        <v>18</v>
      </c>
      <c r="S1" s="283">
        <v>19</v>
      </c>
      <c r="T1" s="289">
        <v>20</v>
      </c>
      <c r="U1" s="283">
        <v>21</v>
      </c>
      <c r="V1" s="289">
        <v>22</v>
      </c>
      <c r="W1" s="289">
        <v>23</v>
      </c>
      <c r="X1" s="289">
        <v>24</v>
      </c>
      <c r="Y1" t="s">
        <v>1329</v>
      </c>
      <c r="Z1" t="s">
        <v>1329</v>
      </c>
      <c r="AA1" t="s">
        <v>1329</v>
      </c>
      <c r="AB1" t="s">
        <v>1329</v>
      </c>
    </row>
    <row r="2" spans="1:28" ht="25.5" x14ac:dyDescent="0.2">
      <c r="B2" t="s">
        <v>1305</v>
      </c>
      <c r="C2" s="284"/>
      <c r="D2" s="284"/>
      <c r="E2" s="284"/>
      <c r="F2" s="284" t="s">
        <v>1312</v>
      </c>
      <c r="G2" s="284" t="s">
        <v>1312</v>
      </c>
      <c r="H2" s="284" t="s">
        <v>1330</v>
      </c>
      <c r="I2" s="284"/>
      <c r="J2" s="284"/>
      <c r="K2" s="284"/>
      <c r="L2" s="284"/>
      <c r="M2" s="288"/>
      <c r="N2" s="288"/>
      <c r="O2" s="288"/>
      <c r="P2" s="288" t="s">
        <v>1315</v>
      </c>
      <c r="Q2" s="288" t="s">
        <v>1315</v>
      </c>
      <c r="R2" s="288"/>
      <c r="S2" s="288"/>
      <c r="T2" s="288" t="s">
        <v>1315</v>
      </c>
      <c r="U2" s="284" t="s">
        <v>1328</v>
      </c>
      <c r="V2" s="288"/>
      <c r="W2" s="288"/>
      <c r="X2" s="288"/>
      <c r="Y2" t="s">
        <v>1326</v>
      </c>
      <c r="Z2" t="s">
        <v>1326</v>
      </c>
      <c r="AA2" t="s">
        <v>1326</v>
      </c>
      <c r="AB2" t="s">
        <v>1326</v>
      </c>
    </row>
    <row r="3" spans="1:28" ht="25.5" x14ac:dyDescent="0.2">
      <c r="A3" s="285" t="s">
        <v>1302</v>
      </c>
      <c r="B3" s="286" t="s">
        <v>212</v>
      </c>
      <c r="C3" s="284" t="s">
        <v>1303</v>
      </c>
      <c r="D3" s="284" t="s">
        <v>1304</v>
      </c>
      <c r="E3" s="284" t="s">
        <v>1321</v>
      </c>
      <c r="F3" s="284" t="s">
        <v>1324</v>
      </c>
      <c r="G3" s="284" t="s">
        <v>1313</v>
      </c>
      <c r="H3" s="291" t="s">
        <v>1306</v>
      </c>
      <c r="I3" s="287" t="s">
        <v>1308</v>
      </c>
      <c r="J3" s="287" t="s">
        <v>1307</v>
      </c>
      <c r="K3" s="287" t="s">
        <v>1322</v>
      </c>
      <c r="L3" s="284" t="s">
        <v>1309</v>
      </c>
      <c r="M3" s="284" t="s">
        <v>1310</v>
      </c>
      <c r="N3" s="284" t="s">
        <v>1314</v>
      </c>
      <c r="O3" s="284" t="s">
        <v>1311</v>
      </c>
      <c r="P3" s="284" t="s">
        <v>1316</v>
      </c>
      <c r="Q3" s="284" t="s">
        <v>1317</v>
      </c>
      <c r="R3" s="284" t="s">
        <v>1323</v>
      </c>
      <c r="S3" s="284" t="s">
        <v>1318</v>
      </c>
      <c r="T3" s="284" t="s">
        <v>1325</v>
      </c>
      <c r="U3" s="290" t="s">
        <v>1327</v>
      </c>
      <c r="V3" s="284" t="s">
        <v>1319</v>
      </c>
      <c r="W3" s="284" t="s">
        <v>1320</v>
      </c>
      <c r="X3" s="290" t="s">
        <v>1291</v>
      </c>
      <c r="Y3" t="s">
        <v>1288</v>
      </c>
      <c r="Z3" t="s">
        <v>1289</v>
      </c>
      <c r="AA3" t="s">
        <v>1290</v>
      </c>
      <c r="AB3" t="s">
        <v>1300</v>
      </c>
    </row>
    <row r="4" spans="1:28" x14ac:dyDescent="0.2">
      <c r="A4" s="292">
        <v>6010</v>
      </c>
      <c r="B4" s="293"/>
      <c r="C4" s="294">
        <v>39803770.270000003</v>
      </c>
      <c r="D4" s="294">
        <v>180852.16</v>
      </c>
      <c r="E4" s="294"/>
      <c r="F4" s="294">
        <v>39984622.43</v>
      </c>
      <c r="G4" s="294">
        <v>39984622.43</v>
      </c>
      <c r="H4" s="294">
        <v>5500545.54</v>
      </c>
      <c r="I4" s="294">
        <v>1357591.0599999998</v>
      </c>
      <c r="J4" s="294">
        <v>1481688.5</v>
      </c>
      <c r="K4" s="294">
        <v>91372.160000000003</v>
      </c>
      <c r="L4" s="294">
        <v>740809.02</v>
      </c>
      <c r="M4" s="294">
        <v>1148.8400000000001</v>
      </c>
      <c r="N4" s="294">
        <v>20202.900000000001</v>
      </c>
      <c r="O4" s="294">
        <v>157157.37</v>
      </c>
      <c r="P4" s="294"/>
      <c r="Q4" s="294"/>
      <c r="R4" s="294">
        <v>1903.5</v>
      </c>
      <c r="S4" s="294">
        <v>1903.5</v>
      </c>
      <c r="T4" s="294"/>
      <c r="U4" s="294">
        <v>6370289.6100000003</v>
      </c>
      <c r="V4" s="294"/>
      <c r="W4" s="294">
        <v>29762459.470000003</v>
      </c>
      <c r="X4" s="294">
        <v>869744.07000000007</v>
      </c>
      <c r="Y4" s="281"/>
      <c r="Z4" s="281"/>
      <c r="AA4" s="281"/>
      <c r="AB4" s="281">
        <v>50206785.390000001</v>
      </c>
    </row>
    <row r="5" spans="1:28" x14ac:dyDescent="0.2">
      <c r="A5" s="292">
        <v>6070</v>
      </c>
      <c r="B5" s="293"/>
      <c r="C5" s="294">
        <v>221202881.27999991</v>
      </c>
      <c r="D5" s="294">
        <v>23071082.07</v>
      </c>
      <c r="E5" s="294"/>
      <c r="F5" s="294">
        <v>244273963.3499999</v>
      </c>
      <c r="G5" s="294">
        <v>244273963.3499999</v>
      </c>
      <c r="H5" s="294">
        <v>32879492.210000008</v>
      </c>
      <c r="I5" s="294">
        <v>9064291.3400000017</v>
      </c>
      <c r="J5" s="294">
        <v>5322231.3499999996</v>
      </c>
      <c r="K5" s="294">
        <v>578023.65</v>
      </c>
      <c r="L5" s="294">
        <v>2069958.3199999998</v>
      </c>
      <c r="M5" s="294">
        <v>16843.359999999997</v>
      </c>
      <c r="N5" s="294">
        <v>42810.039999999994</v>
      </c>
      <c r="O5" s="294">
        <v>246334.22</v>
      </c>
      <c r="P5" s="294"/>
      <c r="Q5" s="294"/>
      <c r="R5" s="294">
        <v>145922.38</v>
      </c>
      <c r="S5" s="294">
        <v>145922.38</v>
      </c>
      <c r="T5" s="294"/>
      <c r="U5" s="294">
        <v>37260445.050000012</v>
      </c>
      <c r="V5" s="294"/>
      <c r="W5" s="294">
        <v>189527103.6399999</v>
      </c>
      <c r="X5" s="294">
        <v>4380952.84</v>
      </c>
      <c r="Y5" s="281"/>
      <c r="Z5" s="281"/>
      <c r="AA5" s="281"/>
      <c r="AB5" s="281">
        <v>299020823.05999994</v>
      </c>
    </row>
    <row r="6" spans="1:28" x14ac:dyDescent="0.2">
      <c r="A6" s="292">
        <v>6140</v>
      </c>
      <c r="B6" s="293"/>
      <c r="C6" s="294"/>
      <c r="D6" s="294"/>
      <c r="E6" s="294"/>
      <c r="F6" s="294">
        <v>0</v>
      </c>
      <c r="G6" s="294">
        <v>0</v>
      </c>
      <c r="H6" s="294"/>
      <c r="I6" s="294"/>
      <c r="J6" s="294"/>
      <c r="K6" s="294"/>
      <c r="L6" s="294"/>
      <c r="M6" s="294">
        <v>316.27</v>
      </c>
      <c r="N6" s="294">
        <v>398.81</v>
      </c>
      <c r="O6" s="294"/>
      <c r="P6" s="294"/>
      <c r="Q6" s="294"/>
      <c r="R6" s="294"/>
      <c r="S6" s="294"/>
      <c r="T6" s="294"/>
      <c r="U6" s="294">
        <v>0</v>
      </c>
      <c r="V6" s="294"/>
      <c r="W6" s="294">
        <v>-715.07999999999993</v>
      </c>
      <c r="X6" s="294"/>
      <c r="Y6" s="281"/>
      <c r="Z6" s="281"/>
      <c r="AA6" s="281"/>
      <c r="AB6" s="281">
        <v>715.07999999999993</v>
      </c>
    </row>
    <row r="7" spans="1:28" x14ac:dyDescent="0.2">
      <c r="A7" s="292">
        <v>7010</v>
      </c>
      <c r="B7" s="293"/>
      <c r="C7" s="294">
        <v>58976022.239999995</v>
      </c>
      <c r="D7" s="294">
        <v>3552385.26</v>
      </c>
      <c r="E7" s="294">
        <v>1318.22</v>
      </c>
      <c r="F7" s="294">
        <v>62528407.499999993</v>
      </c>
      <c r="G7" s="294">
        <v>62528407.499999993</v>
      </c>
      <c r="H7" s="294">
        <v>6953955.5800000001</v>
      </c>
      <c r="I7" s="294">
        <v>1735072.8900000001</v>
      </c>
      <c r="J7" s="294">
        <v>1602459.6700000002</v>
      </c>
      <c r="K7" s="294">
        <v>1206914.98</v>
      </c>
      <c r="L7" s="294">
        <v>729974.62999999989</v>
      </c>
      <c r="M7" s="294">
        <v>7770.8</v>
      </c>
      <c r="N7" s="294">
        <v>11176.75</v>
      </c>
      <c r="O7" s="294">
        <v>237414.8</v>
      </c>
      <c r="P7" s="294"/>
      <c r="Q7" s="294"/>
      <c r="R7" s="294">
        <v>32278.51</v>
      </c>
      <c r="S7" s="294">
        <v>32278.51</v>
      </c>
      <c r="T7" s="294"/>
      <c r="U7" s="294">
        <v>7199109.29</v>
      </c>
      <c r="V7" s="294"/>
      <c r="W7" s="294">
        <v>49767553.399999999</v>
      </c>
      <c r="X7" s="294">
        <v>245153.71000000002</v>
      </c>
      <c r="Y7" s="281"/>
      <c r="Z7" s="281"/>
      <c r="AA7" s="281"/>
      <c r="AB7" s="281">
        <v>75291898.039999992</v>
      </c>
    </row>
    <row r="8" spans="1:28" x14ac:dyDescent="0.2">
      <c r="A8" s="292">
        <v>7020</v>
      </c>
      <c r="B8" s="293"/>
      <c r="C8" s="294">
        <v>211206944.19999999</v>
      </c>
      <c r="D8" s="294">
        <v>210767062.53000003</v>
      </c>
      <c r="E8" s="294">
        <v>9058.5</v>
      </c>
      <c r="F8" s="294">
        <v>421974006.73000002</v>
      </c>
      <c r="G8" s="294">
        <v>421974006.73000002</v>
      </c>
      <c r="H8" s="294">
        <v>7225633.0099999988</v>
      </c>
      <c r="I8" s="294">
        <v>1935984.9600000004</v>
      </c>
      <c r="J8" s="294">
        <v>3286425.86</v>
      </c>
      <c r="K8" s="294">
        <v>2291437.27</v>
      </c>
      <c r="L8" s="294">
        <v>21878939.760000002</v>
      </c>
      <c r="M8" s="294">
        <v>5218.6500000000005</v>
      </c>
      <c r="N8" s="294">
        <v>1249480.82</v>
      </c>
      <c r="O8" s="294">
        <v>3422544.4</v>
      </c>
      <c r="P8" s="294"/>
      <c r="Q8" s="294"/>
      <c r="R8" s="294">
        <v>108136.71</v>
      </c>
      <c r="S8" s="294">
        <v>108136.71</v>
      </c>
      <c r="T8" s="294"/>
      <c r="U8" s="294">
        <v>9198352.6599999983</v>
      </c>
      <c r="V8" s="294"/>
      <c r="W8" s="294">
        <v>378606544.14000016</v>
      </c>
      <c r="X8" s="294">
        <v>1972719.65</v>
      </c>
      <c r="Y8" s="281"/>
      <c r="Z8" s="281"/>
      <c r="AA8" s="281"/>
      <c r="AB8" s="281">
        <v>465359586.31999987</v>
      </c>
    </row>
    <row r="9" spans="1:28" x14ac:dyDescent="0.2">
      <c r="A9" s="292">
        <v>7030</v>
      </c>
      <c r="B9" s="293"/>
      <c r="C9" s="294">
        <v>15260116.159999998</v>
      </c>
      <c r="D9" s="294">
        <v>36829100.350000001</v>
      </c>
      <c r="E9" s="294"/>
      <c r="F9" s="294">
        <v>52089216.509999998</v>
      </c>
      <c r="G9" s="294">
        <v>52089216.509999998</v>
      </c>
      <c r="H9" s="294">
        <v>4774320.25</v>
      </c>
      <c r="I9" s="294">
        <v>1166101.1200000003</v>
      </c>
      <c r="J9" s="294"/>
      <c r="K9" s="294">
        <v>21984.98</v>
      </c>
      <c r="L9" s="294">
        <v>457950.76000000007</v>
      </c>
      <c r="M9" s="294">
        <v>2297.2000000000003</v>
      </c>
      <c r="N9" s="294">
        <v>2706.04</v>
      </c>
      <c r="O9" s="294">
        <v>9408.7899999999991</v>
      </c>
      <c r="P9" s="294"/>
      <c r="Q9" s="294"/>
      <c r="R9" s="294">
        <v>11484.279999999999</v>
      </c>
      <c r="S9" s="294">
        <v>11484.279999999999</v>
      </c>
      <c r="T9" s="294"/>
      <c r="U9" s="294">
        <v>4949765.4400000004</v>
      </c>
      <c r="V9" s="294"/>
      <c r="W9" s="294">
        <v>45467517.900000006</v>
      </c>
      <c r="X9" s="294">
        <v>175445.19</v>
      </c>
      <c r="Y9" s="281"/>
      <c r="Z9" s="281"/>
      <c r="AA9" s="281"/>
      <c r="AB9" s="281">
        <v>58710915.11999999</v>
      </c>
    </row>
    <row r="10" spans="1:28" x14ac:dyDescent="0.2">
      <c r="A10" s="292">
        <v>7050</v>
      </c>
      <c r="B10" s="293"/>
      <c r="C10" s="294"/>
      <c r="D10" s="294"/>
      <c r="E10" s="294"/>
      <c r="F10" s="294">
        <v>0</v>
      </c>
      <c r="G10" s="294">
        <v>0</v>
      </c>
      <c r="H10" s="294">
        <v>1168197.76</v>
      </c>
      <c r="I10" s="294">
        <v>451179.23</v>
      </c>
      <c r="J10" s="294"/>
      <c r="K10" s="294">
        <v>139095.57432500002</v>
      </c>
      <c r="L10" s="294">
        <v>-254561.17999999947</v>
      </c>
      <c r="M10" s="294"/>
      <c r="N10" s="294">
        <v>93710.36</v>
      </c>
      <c r="O10" s="294">
        <v>105239.15000000001</v>
      </c>
      <c r="P10" s="294"/>
      <c r="Q10" s="294"/>
      <c r="R10" s="294">
        <v>22972.11</v>
      </c>
      <c r="S10" s="294">
        <v>22972.11</v>
      </c>
      <c r="T10" s="294"/>
      <c r="U10" s="294">
        <v>1168197.76</v>
      </c>
      <c r="V10" s="294"/>
      <c r="W10" s="294">
        <v>-1725833.0043250006</v>
      </c>
      <c r="X10" s="294"/>
      <c r="Y10" s="281"/>
      <c r="Z10" s="281"/>
      <c r="AA10" s="281"/>
      <c r="AB10" s="281">
        <v>1725833.0043250006</v>
      </c>
    </row>
    <row r="11" spans="1:28" x14ac:dyDescent="0.2">
      <c r="A11" s="292">
        <v>7060</v>
      </c>
      <c r="B11" s="296" t="s">
        <v>1332</v>
      </c>
      <c r="C11" s="294"/>
      <c r="D11" s="294"/>
      <c r="E11" s="294"/>
      <c r="F11" s="294">
        <v>0</v>
      </c>
      <c r="G11" s="294">
        <v>0</v>
      </c>
      <c r="H11" s="294"/>
      <c r="I11" s="294"/>
      <c r="J11" s="294"/>
      <c r="K11" s="294">
        <v>0</v>
      </c>
      <c r="L11" s="294"/>
      <c r="M11" s="294"/>
      <c r="N11" s="294"/>
      <c r="O11" s="294"/>
      <c r="P11" s="294"/>
      <c r="Q11" s="294"/>
      <c r="R11" s="294"/>
      <c r="S11" s="294"/>
      <c r="T11" s="294"/>
      <c r="U11" s="294">
        <v>0</v>
      </c>
      <c r="V11" s="294"/>
      <c r="W11" s="294">
        <v>0</v>
      </c>
      <c r="X11" s="294"/>
      <c r="Y11" s="281"/>
      <c r="Z11" s="281"/>
      <c r="AA11" s="281"/>
      <c r="AB11" s="281">
        <v>0</v>
      </c>
    </row>
    <row r="12" spans="1:28" x14ac:dyDescent="0.2">
      <c r="A12" s="292">
        <v>7070</v>
      </c>
      <c r="B12" s="293"/>
      <c r="C12" s="294">
        <v>68906934.230000004</v>
      </c>
      <c r="D12" s="294">
        <v>38613515.379999995</v>
      </c>
      <c r="E12" s="294">
        <v>227251.84</v>
      </c>
      <c r="F12" s="294">
        <v>107520449.61</v>
      </c>
      <c r="G12" s="294">
        <v>107520449.61</v>
      </c>
      <c r="H12" s="294">
        <v>4016878.8100000005</v>
      </c>
      <c r="I12" s="294">
        <v>1254349.9100000001</v>
      </c>
      <c r="J12" s="294">
        <v>56853.950000000004</v>
      </c>
      <c r="K12" s="294">
        <v>4434904.78</v>
      </c>
      <c r="L12" s="294">
        <v>4417202.1399999997</v>
      </c>
      <c r="M12" s="294">
        <v>282.09999999999997</v>
      </c>
      <c r="N12" s="294">
        <v>72417.239999999991</v>
      </c>
      <c r="O12" s="294">
        <v>73026.210000000006</v>
      </c>
      <c r="P12" s="294"/>
      <c r="Q12" s="294"/>
      <c r="R12" s="294">
        <v>120689.70999999999</v>
      </c>
      <c r="S12" s="294">
        <v>120689.70999999999</v>
      </c>
      <c r="T12" s="294"/>
      <c r="U12" s="294">
        <v>4556409.370000001</v>
      </c>
      <c r="V12" s="294"/>
      <c r="W12" s="294">
        <v>92761566.040000021</v>
      </c>
      <c r="X12" s="294">
        <v>539530.56000000006</v>
      </c>
      <c r="Y12" s="281"/>
      <c r="Z12" s="281"/>
      <c r="AA12" s="281"/>
      <c r="AB12" s="281">
        <v>122733836.85999998</v>
      </c>
    </row>
    <row r="13" spans="1:28" x14ac:dyDescent="0.2">
      <c r="A13" s="292">
        <v>7110</v>
      </c>
      <c r="B13" s="293"/>
      <c r="C13" s="294">
        <v>23204151.43</v>
      </c>
      <c r="D13" s="294">
        <v>13102001.069999998</v>
      </c>
      <c r="E13" s="294"/>
      <c r="F13" s="294">
        <v>36306152.5</v>
      </c>
      <c r="G13" s="294">
        <v>36306152.5</v>
      </c>
      <c r="H13" s="294">
        <v>447808.89</v>
      </c>
      <c r="I13" s="294">
        <v>111001.63</v>
      </c>
      <c r="J13" s="294">
        <v>62884.19999999999</v>
      </c>
      <c r="K13" s="294">
        <v>198714.27</v>
      </c>
      <c r="L13" s="294">
        <v>201895.51</v>
      </c>
      <c r="M13" s="294">
        <v>14.609999999999998</v>
      </c>
      <c r="N13" s="294"/>
      <c r="O13" s="294">
        <v>164379.12000000002</v>
      </c>
      <c r="P13" s="294"/>
      <c r="Q13" s="294"/>
      <c r="R13" s="294"/>
      <c r="S13" s="294"/>
      <c r="T13" s="294"/>
      <c r="U13" s="294">
        <v>447808.89</v>
      </c>
      <c r="V13" s="294"/>
      <c r="W13" s="294">
        <v>35119454.269999996</v>
      </c>
      <c r="X13" s="294"/>
      <c r="Y13" s="281"/>
      <c r="Z13" s="281"/>
      <c r="AA13" s="281"/>
      <c r="AB13" s="281">
        <v>37492850.730000004</v>
      </c>
    </row>
    <row r="14" spans="1:28" x14ac:dyDescent="0.2">
      <c r="A14" s="292">
        <v>7120</v>
      </c>
      <c r="B14" s="293"/>
      <c r="C14" s="294">
        <v>7016612.0300000012</v>
      </c>
      <c r="D14" s="294">
        <v>14154411.440000001</v>
      </c>
      <c r="E14" s="294"/>
      <c r="F14" s="294">
        <v>21171023.470000003</v>
      </c>
      <c r="G14" s="294">
        <v>21171023.470000003</v>
      </c>
      <c r="H14" s="294">
        <v>397672.36</v>
      </c>
      <c r="I14" s="294">
        <v>92171.76999999999</v>
      </c>
      <c r="J14" s="294"/>
      <c r="K14" s="294">
        <v>58929.790000000008</v>
      </c>
      <c r="L14" s="294">
        <v>71461.05</v>
      </c>
      <c r="M14" s="294">
        <v>738.34999999999991</v>
      </c>
      <c r="N14" s="294">
        <v>1791.5</v>
      </c>
      <c r="O14" s="294">
        <v>7428.5700000000006</v>
      </c>
      <c r="P14" s="294"/>
      <c r="Q14" s="294"/>
      <c r="R14" s="294">
        <v>659.23</v>
      </c>
      <c r="S14" s="294">
        <v>659.23</v>
      </c>
      <c r="T14" s="294"/>
      <c r="U14" s="294">
        <v>599331.78</v>
      </c>
      <c r="V14" s="294"/>
      <c r="W14" s="294">
        <v>20338511.43</v>
      </c>
      <c r="X14" s="294">
        <v>201659.42</v>
      </c>
      <c r="Y14" s="281"/>
      <c r="Z14" s="281"/>
      <c r="AA14" s="281"/>
      <c r="AB14" s="281">
        <v>22003535.510000005</v>
      </c>
    </row>
    <row r="15" spans="1:28" x14ac:dyDescent="0.2">
      <c r="A15" s="292">
        <v>7140</v>
      </c>
      <c r="B15" s="293"/>
      <c r="C15" s="294">
        <v>177825251.30999997</v>
      </c>
      <c r="D15" s="294">
        <v>291202978.75</v>
      </c>
      <c r="E15" s="294">
        <v>11319.81</v>
      </c>
      <c r="F15" s="294">
        <v>469028230.05999994</v>
      </c>
      <c r="G15" s="294">
        <v>469028230.05999994</v>
      </c>
      <c r="H15" s="294">
        <v>12701190.609999994</v>
      </c>
      <c r="I15" s="294">
        <v>3420904.01</v>
      </c>
      <c r="J15" s="294">
        <v>1241882.98</v>
      </c>
      <c r="K15" s="294">
        <v>3914129.8699999982</v>
      </c>
      <c r="L15" s="294">
        <v>16003606.710000001</v>
      </c>
      <c r="M15" s="294">
        <v>285957.25000000006</v>
      </c>
      <c r="N15" s="294">
        <v>1058104.2600000002</v>
      </c>
      <c r="O15" s="294">
        <v>1750169.0900000003</v>
      </c>
      <c r="P15" s="294"/>
      <c r="Q15" s="294"/>
      <c r="R15" s="294">
        <v>79693.25</v>
      </c>
      <c r="S15" s="294">
        <v>79693.25</v>
      </c>
      <c r="T15" s="294"/>
      <c r="U15" s="294">
        <v>13328433.779999994</v>
      </c>
      <c r="V15" s="294"/>
      <c r="W15" s="294">
        <v>427956668.66999996</v>
      </c>
      <c r="X15" s="294">
        <v>627243.17000000004</v>
      </c>
      <c r="Y15" s="281"/>
      <c r="Z15" s="281"/>
      <c r="AA15" s="281"/>
      <c r="AB15" s="281">
        <v>510122431.06999993</v>
      </c>
    </row>
    <row r="16" spans="1:28" x14ac:dyDescent="0.2">
      <c r="A16" s="292">
        <v>7160</v>
      </c>
      <c r="B16" s="293"/>
      <c r="C16" s="294">
        <v>5811664.0700000003</v>
      </c>
      <c r="D16" s="294">
        <v>11598172.32</v>
      </c>
      <c r="E16" s="294"/>
      <c r="F16" s="294">
        <v>17409836.390000001</v>
      </c>
      <c r="G16" s="294">
        <v>17409836.390000001</v>
      </c>
      <c r="H16" s="294">
        <v>360518.72</v>
      </c>
      <c r="I16" s="294">
        <v>86748.38</v>
      </c>
      <c r="J16" s="294"/>
      <c r="K16" s="294">
        <v>75312.489999999991</v>
      </c>
      <c r="L16" s="294">
        <v>491580.69999999995</v>
      </c>
      <c r="M16" s="294"/>
      <c r="N16" s="294">
        <v>401.86999999999995</v>
      </c>
      <c r="O16" s="294">
        <v>134761.16</v>
      </c>
      <c r="P16" s="294"/>
      <c r="Q16" s="294"/>
      <c r="R16" s="294">
        <v>142.23000000000002</v>
      </c>
      <c r="S16" s="294">
        <v>142.23000000000002</v>
      </c>
      <c r="T16" s="294"/>
      <c r="U16" s="294">
        <v>360518.72</v>
      </c>
      <c r="V16" s="294"/>
      <c r="W16" s="294">
        <v>16260370.840000004</v>
      </c>
      <c r="X16" s="294"/>
      <c r="Y16" s="281"/>
      <c r="Z16" s="281"/>
      <c r="AA16" s="281"/>
      <c r="AB16" s="281">
        <v>18559301.939999998</v>
      </c>
    </row>
    <row r="17" spans="1:28" x14ac:dyDescent="0.2">
      <c r="A17" s="292">
        <v>7170</v>
      </c>
      <c r="B17" s="293"/>
      <c r="C17" s="294">
        <v>151028761.21000007</v>
      </c>
      <c r="D17" s="294">
        <v>106127689.60000001</v>
      </c>
      <c r="E17" s="294"/>
      <c r="F17" s="294">
        <v>257156450.81000006</v>
      </c>
      <c r="G17" s="294">
        <v>257156450.81000006</v>
      </c>
      <c r="H17" s="294">
        <v>4968473.5</v>
      </c>
      <c r="I17" s="294">
        <v>1191533.79</v>
      </c>
      <c r="J17" s="294"/>
      <c r="K17" s="294">
        <v>548590.28999999992</v>
      </c>
      <c r="L17" s="294">
        <v>13435710.710000001</v>
      </c>
      <c r="M17" s="294">
        <v>1131.79</v>
      </c>
      <c r="N17" s="294">
        <v>40686.969999999994</v>
      </c>
      <c r="O17" s="294">
        <v>293593.46999999997</v>
      </c>
      <c r="P17" s="294"/>
      <c r="Q17" s="294"/>
      <c r="R17" s="294">
        <v>65055.18</v>
      </c>
      <c r="S17" s="294">
        <v>65055.18</v>
      </c>
      <c r="T17" s="294"/>
      <c r="U17" s="294">
        <v>4968473.5</v>
      </c>
      <c r="V17" s="294"/>
      <c r="W17" s="294">
        <v>236611675.11000007</v>
      </c>
      <c r="X17" s="294"/>
      <c r="Y17" s="281"/>
      <c r="Z17" s="281"/>
      <c r="AA17" s="281"/>
      <c r="AB17" s="281">
        <v>277701226.51000017</v>
      </c>
    </row>
    <row r="18" spans="1:28" x14ac:dyDescent="0.2">
      <c r="A18" s="292">
        <v>7180</v>
      </c>
      <c r="B18" s="293"/>
      <c r="C18" s="294">
        <v>41236474.899999999</v>
      </c>
      <c r="D18" s="294">
        <v>9804891.6899999995</v>
      </c>
      <c r="E18" s="294"/>
      <c r="F18" s="294">
        <v>51041366.589999996</v>
      </c>
      <c r="G18" s="294">
        <v>51041366.589999996</v>
      </c>
      <c r="H18" s="294">
        <v>4147694.8199999994</v>
      </c>
      <c r="I18" s="294">
        <v>1148777.8799999999</v>
      </c>
      <c r="J18" s="294">
        <v>39487.5</v>
      </c>
      <c r="K18" s="294">
        <v>124249.65</v>
      </c>
      <c r="L18" s="294">
        <v>604957.19000000018</v>
      </c>
      <c r="M18" s="294">
        <v>4743.9700000000012</v>
      </c>
      <c r="N18" s="294">
        <v>312312.03999999998</v>
      </c>
      <c r="O18" s="294">
        <v>157193.4</v>
      </c>
      <c r="P18" s="294"/>
      <c r="Q18" s="294"/>
      <c r="R18" s="294">
        <v>19081.540000000005</v>
      </c>
      <c r="S18" s="294">
        <v>19081.540000000005</v>
      </c>
      <c r="T18" s="294"/>
      <c r="U18" s="294">
        <v>4147694.8199999994</v>
      </c>
      <c r="V18" s="294"/>
      <c r="W18" s="294">
        <v>44482868.600000001</v>
      </c>
      <c r="X18" s="294"/>
      <c r="Y18" s="281"/>
      <c r="Z18" s="281"/>
      <c r="AA18" s="281"/>
      <c r="AB18" s="281">
        <v>57599864.579999991</v>
      </c>
    </row>
    <row r="19" spans="1:28" x14ac:dyDescent="0.2">
      <c r="A19" s="292">
        <v>7190</v>
      </c>
      <c r="B19" s="293"/>
      <c r="C19" s="294">
        <v>3805030.09</v>
      </c>
      <c r="D19" s="294">
        <v>207248.34999999998</v>
      </c>
      <c r="E19" s="294">
        <v>12488.15</v>
      </c>
      <c r="F19" s="294">
        <v>4012278.44</v>
      </c>
      <c r="G19" s="294">
        <v>4012278.44</v>
      </c>
      <c r="H19" s="294"/>
      <c r="I19" s="294"/>
      <c r="J19" s="294"/>
      <c r="K19" s="294">
        <v>1058412.8700000001</v>
      </c>
      <c r="L19" s="294">
        <v>17448.019999999997</v>
      </c>
      <c r="M19" s="294"/>
      <c r="N19" s="294"/>
      <c r="O19" s="294"/>
      <c r="P19" s="294"/>
      <c r="Q19" s="294"/>
      <c r="R19" s="294"/>
      <c r="S19" s="294"/>
      <c r="T19" s="294"/>
      <c r="U19" s="294">
        <v>0</v>
      </c>
      <c r="V19" s="294"/>
      <c r="W19" s="294">
        <v>2948905.6999999997</v>
      </c>
      <c r="X19" s="294"/>
      <c r="Y19" s="281"/>
      <c r="Z19" s="281"/>
      <c r="AA19" s="281"/>
      <c r="AB19" s="281">
        <v>5100627.4800000004</v>
      </c>
    </row>
    <row r="20" spans="1:28" x14ac:dyDescent="0.2">
      <c r="A20" s="292">
        <v>7200</v>
      </c>
      <c r="B20" s="293"/>
      <c r="C20" s="294">
        <v>5454932.4399999995</v>
      </c>
      <c r="D20" s="294">
        <v>7669402.3600000013</v>
      </c>
      <c r="E20" s="294">
        <v>3505.2299999999996</v>
      </c>
      <c r="F20" s="294">
        <v>13124334.800000001</v>
      </c>
      <c r="G20" s="294">
        <v>13124334.800000001</v>
      </c>
      <c r="H20" s="294">
        <v>2247426.8800000004</v>
      </c>
      <c r="I20" s="294">
        <v>615075.56000000006</v>
      </c>
      <c r="J20" s="294"/>
      <c r="K20" s="294">
        <v>446733.97</v>
      </c>
      <c r="L20" s="294">
        <v>21618.81</v>
      </c>
      <c r="M20" s="294">
        <v>10493.47</v>
      </c>
      <c r="N20" s="294">
        <v>326102.04000000004</v>
      </c>
      <c r="O20" s="294">
        <v>10345.73</v>
      </c>
      <c r="P20" s="294"/>
      <c r="Q20" s="294"/>
      <c r="R20" s="294">
        <v>7848.4600000000009</v>
      </c>
      <c r="S20" s="294">
        <v>7848.4600000000009</v>
      </c>
      <c r="T20" s="294"/>
      <c r="U20" s="294">
        <v>2247426.8800000004</v>
      </c>
      <c r="V20" s="294"/>
      <c r="W20" s="294">
        <v>9442195.1099999957</v>
      </c>
      <c r="X20" s="294"/>
      <c r="Y20" s="281"/>
      <c r="Z20" s="281"/>
      <c r="AA20" s="281"/>
      <c r="AB20" s="281">
        <v>16813484.950000007</v>
      </c>
    </row>
    <row r="21" spans="1:28" x14ac:dyDescent="0.2">
      <c r="A21" s="292">
        <v>7230</v>
      </c>
      <c r="B21" s="293"/>
      <c r="C21" s="294">
        <v>54646880.149999999</v>
      </c>
      <c r="D21" s="294">
        <v>206281095.30999997</v>
      </c>
      <c r="E21" s="294">
        <v>91000</v>
      </c>
      <c r="F21" s="294">
        <v>260927975.45999998</v>
      </c>
      <c r="G21" s="294">
        <v>260927975.45999998</v>
      </c>
      <c r="H21" s="294">
        <v>8261210.0800000001</v>
      </c>
      <c r="I21" s="294">
        <v>2212636.19</v>
      </c>
      <c r="J21" s="294">
        <v>5638321</v>
      </c>
      <c r="K21" s="294">
        <v>403209.9361689408</v>
      </c>
      <c r="L21" s="294">
        <v>1683083.5699999996</v>
      </c>
      <c r="M21" s="294">
        <v>2678.71</v>
      </c>
      <c r="N21" s="294">
        <v>24717.440000000002</v>
      </c>
      <c r="O21" s="294">
        <v>145340.87</v>
      </c>
      <c r="P21" s="294"/>
      <c r="Q21" s="294"/>
      <c r="R21" s="294">
        <v>80682.36</v>
      </c>
      <c r="S21" s="294">
        <v>80682.36</v>
      </c>
      <c r="T21" s="294"/>
      <c r="U21" s="294">
        <v>10723414.469999999</v>
      </c>
      <c r="V21" s="294"/>
      <c r="W21" s="294">
        <v>240104890.91383103</v>
      </c>
      <c r="X21" s="294">
        <v>2462204.3899999997</v>
      </c>
      <c r="Y21" s="281"/>
      <c r="Z21" s="281"/>
      <c r="AA21" s="281"/>
      <c r="AB21" s="281">
        <v>281933060.0061689</v>
      </c>
    </row>
    <row r="22" spans="1:28" x14ac:dyDescent="0.2">
      <c r="A22" s="292">
        <v>7260</v>
      </c>
      <c r="B22" s="293"/>
      <c r="C22" s="294">
        <v>1073443.8199999998</v>
      </c>
      <c r="D22" s="294">
        <v>269019550.50999999</v>
      </c>
      <c r="E22" s="294">
        <v>4055980.94</v>
      </c>
      <c r="F22" s="294">
        <v>270092994.32999998</v>
      </c>
      <c r="G22" s="294">
        <v>270092994.32999998</v>
      </c>
      <c r="H22" s="294">
        <v>62838541.880000003</v>
      </c>
      <c r="I22" s="294">
        <v>11481772.949999999</v>
      </c>
      <c r="J22" s="294">
        <v>25773185.43</v>
      </c>
      <c r="K22" s="294">
        <v>44736728.960000001</v>
      </c>
      <c r="L22" s="294">
        <v>3708260.63</v>
      </c>
      <c r="M22" s="294">
        <v>927679.02</v>
      </c>
      <c r="N22" s="294">
        <v>8513056.2200000007</v>
      </c>
      <c r="O22" s="294">
        <v>4877720.97</v>
      </c>
      <c r="P22" s="294"/>
      <c r="Q22" s="294"/>
      <c r="R22" s="294">
        <v>3074901.9799999995</v>
      </c>
      <c r="S22" s="294">
        <v>3074901.9799999995</v>
      </c>
      <c r="T22" s="294"/>
      <c r="U22" s="294">
        <v>63562727.18</v>
      </c>
      <c r="V22" s="294">
        <v>-18344.400000000001</v>
      </c>
      <c r="W22" s="294">
        <v>-34893013.910000011</v>
      </c>
      <c r="X22" s="294">
        <v>724185.3</v>
      </c>
      <c r="Y22" s="281">
        <v>139869564.44</v>
      </c>
      <c r="Z22" s="281">
        <v>1029838.9800000001</v>
      </c>
      <c r="AA22" s="281">
        <v>-1504896.82</v>
      </c>
      <c r="AB22" s="281">
        <v>580181170.81000018</v>
      </c>
    </row>
    <row r="23" spans="1:28" x14ac:dyDescent="0.2">
      <c r="A23" s="292">
        <v>7310</v>
      </c>
      <c r="B23" s="293"/>
      <c r="C23" s="294">
        <v>3626879.7</v>
      </c>
      <c r="D23" s="294">
        <v>3298096.92</v>
      </c>
      <c r="E23" s="294">
        <v>2961.67</v>
      </c>
      <c r="F23" s="294">
        <v>6924976.6200000001</v>
      </c>
      <c r="G23" s="294">
        <v>6924976.6200000001</v>
      </c>
      <c r="H23" s="294">
        <v>902692.48</v>
      </c>
      <c r="I23" s="294">
        <v>226008.37</v>
      </c>
      <c r="J23" s="294"/>
      <c r="K23" s="294">
        <v>111474.82</v>
      </c>
      <c r="L23" s="294">
        <v>8757.65</v>
      </c>
      <c r="M23" s="294">
        <v>1287.1500000000001</v>
      </c>
      <c r="N23" s="294">
        <v>151994.31999999998</v>
      </c>
      <c r="O23" s="294"/>
      <c r="P23" s="294"/>
      <c r="Q23" s="294"/>
      <c r="R23" s="294">
        <v>1480.44</v>
      </c>
      <c r="S23" s="294">
        <v>1480.44</v>
      </c>
      <c r="T23" s="294"/>
      <c r="U23" s="294">
        <v>902692.48</v>
      </c>
      <c r="V23" s="294"/>
      <c r="W23" s="294">
        <v>5524243.0599999987</v>
      </c>
      <c r="X23" s="294"/>
      <c r="Y23" s="281"/>
      <c r="Z23" s="281"/>
      <c r="AA23" s="281"/>
      <c r="AB23" s="281">
        <v>8331633.5200000014</v>
      </c>
    </row>
    <row r="24" spans="1:28" x14ac:dyDescent="0.2">
      <c r="A24" s="292">
        <v>7320</v>
      </c>
      <c r="B24" s="293"/>
      <c r="C24" s="294">
        <v>1585841.9799999995</v>
      </c>
      <c r="D24" s="294">
        <v>1854787.7899999996</v>
      </c>
      <c r="E24" s="294">
        <v>2000.08</v>
      </c>
      <c r="F24" s="294">
        <v>3440629.7699999991</v>
      </c>
      <c r="G24" s="294">
        <v>3440629.7699999991</v>
      </c>
      <c r="H24" s="294">
        <v>435574.75</v>
      </c>
      <c r="I24" s="294">
        <v>111203.86</v>
      </c>
      <c r="J24" s="294"/>
      <c r="K24" s="294">
        <v>69728.600000000006</v>
      </c>
      <c r="L24" s="294">
        <v>7470.1499999999987</v>
      </c>
      <c r="M24" s="294">
        <v>190.76999999999998</v>
      </c>
      <c r="N24" s="294">
        <v>95746.78</v>
      </c>
      <c r="O24" s="294"/>
      <c r="P24" s="294"/>
      <c r="Q24" s="294"/>
      <c r="R24" s="294">
        <v>1335.82</v>
      </c>
      <c r="S24" s="294">
        <v>1335.82</v>
      </c>
      <c r="T24" s="294"/>
      <c r="U24" s="294">
        <v>435574.75</v>
      </c>
      <c r="V24" s="294"/>
      <c r="W24" s="294">
        <v>2721379.1199999996</v>
      </c>
      <c r="X24" s="294"/>
      <c r="Y24" s="281"/>
      <c r="Z24" s="281"/>
      <c r="AA24" s="281"/>
      <c r="AB24" s="281">
        <v>4163880.5799999987</v>
      </c>
    </row>
    <row r="25" spans="1:28" x14ac:dyDescent="0.2">
      <c r="A25" s="292">
        <v>7380</v>
      </c>
      <c r="B25" s="293"/>
      <c r="C25" s="294">
        <v>805266</v>
      </c>
      <c r="D25" s="294">
        <v>393340809.79000008</v>
      </c>
      <c r="E25" s="294">
        <v>1301689.73</v>
      </c>
      <c r="F25" s="294">
        <v>394146075.79000008</v>
      </c>
      <c r="G25" s="294">
        <v>394146075.79000008</v>
      </c>
      <c r="H25" s="294">
        <v>6717643.9099999983</v>
      </c>
      <c r="I25" s="294">
        <v>2007858.1800000002</v>
      </c>
      <c r="J25" s="294">
        <v>21375</v>
      </c>
      <c r="K25" s="294">
        <v>1640659.1499999997</v>
      </c>
      <c r="L25" s="294">
        <v>38339707.13000001</v>
      </c>
      <c r="M25" s="294">
        <v>109356.51000000001</v>
      </c>
      <c r="N25" s="294">
        <v>650062.00000000012</v>
      </c>
      <c r="O25" s="294">
        <v>672958.4800000001</v>
      </c>
      <c r="P25" s="294"/>
      <c r="Q25" s="294"/>
      <c r="R25" s="294">
        <v>55695.01</v>
      </c>
      <c r="S25" s="294">
        <v>55695.01</v>
      </c>
      <c r="T25" s="294"/>
      <c r="U25" s="294">
        <v>6717993.4999999981</v>
      </c>
      <c r="V25" s="294"/>
      <c r="W25" s="294">
        <v>345232100.56000012</v>
      </c>
      <c r="X25" s="294">
        <v>349.59000000000003</v>
      </c>
      <c r="Y25" s="281"/>
      <c r="Z25" s="281"/>
      <c r="AA25" s="281"/>
      <c r="AB25" s="281">
        <v>445663430.48000008</v>
      </c>
    </row>
    <row r="26" spans="1:28" x14ac:dyDescent="0.2">
      <c r="A26" s="292">
        <v>7400</v>
      </c>
      <c r="B26" s="293"/>
      <c r="C26" s="294"/>
      <c r="D26" s="294"/>
      <c r="E26" s="294"/>
      <c r="F26" s="294">
        <v>0</v>
      </c>
      <c r="G26" s="294">
        <v>0</v>
      </c>
      <c r="H26" s="294"/>
      <c r="I26" s="294"/>
      <c r="J26" s="294"/>
      <c r="K26" s="294">
        <v>129810.49500000002</v>
      </c>
      <c r="L26" s="294"/>
      <c r="M26" s="294"/>
      <c r="N26" s="294"/>
      <c r="O26" s="294"/>
      <c r="P26" s="294"/>
      <c r="Q26" s="294"/>
      <c r="R26" s="294"/>
      <c r="S26" s="294"/>
      <c r="T26" s="294"/>
      <c r="U26" s="294">
        <v>0</v>
      </c>
      <c r="V26" s="294"/>
      <c r="W26" s="294">
        <v>-129810.49500000002</v>
      </c>
      <c r="X26" s="294"/>
      <c r="Y26" s="281"/>
      <c r="Z26" s="281"/>
      <c r="AA26" s="281"/>
      <c r="AB26" s="281">
        <v>129810.49500000002</v>
      </c>
    </row>
    <row r="27" spans="1:28" x14ac:dyDescent="0.2">
      <c r="A27" s="292">
        <v>7490</v>
      </c>
      <c r="B27" s="293"/>
      <c r="C27" s="294"/>
      <c r="D27" s="294"/>
      <c r="E27" s="294">
        <v>15408.13</v>
      </c>
      <c r="F27" s="294">
        <v>0</v>
      </c>
      <c r="G27" s="294">
        <v>0</v>
      </c>
      <c r="H27" s="294">
        <v>2079729.0100000002</v>
      </c>
      <c r="I27" s="294">
        <v>560378.71</v>
      </c>
      <c r="J27" s="294">
        <v>-41151.519999999997</v>
      </c>
      <c r="K27" s="294">
        <v>98322.16</v>
      </c>
      <c r="L27" s="294">
        <v>902413.23</v>
      </c>
      <c r="M27" s="294">
        <v>166.47</v>
      </c>
      <c r="N27" s="294">
        <v>1908.3</v>
      </c>
      <c r="O27" s="294"/>
      <c r="P27" s="294"/>
      <c r="Q27" s="294"/>
      <c r="R27" s="294">
        <v>2936.6600000000003</v>
      </c>
      <c r="S27" s="294">
        <v>2936.6600000000003</v>
      </c>
      <c r="T27" s="294"/>
      <c r="U27" s="294">
        <v>2128561.35</v>
      </c>
      <c r="V27" s="294"/>
      <c r="W27" s="294">
        <v>-3638127.2300000004</v>
      </c>
      <c r="X27" s="294">
        <v>48832.340000000004</v>
      </c>
      <c r="Y27" s="281"/>
      <c r="Z27" s="281"/>
      <c r="AA27" s="281"/>
      <c r="AB27" s="281">
        <v>3668943.49</v>
      </c>
    </row>
    <row r="28" spans="1:28" x14ac:dyDescent="0.2">
      <c r="A28" s="292">
        <v>8320</v>
      </c>
      <c r="B28" s="293"/>
      <c r="C28" s="294"/>
      <c r="D28" s="294"/>
      <c r="E28" s="294">
        <v>1765836.77</v>
      </c>
      <c r="F28" s="294">
        <v>0</v>
      </c>
      <c r="G28" s="294">
        <v>0</v>
      </c>
      <c r="H28" s="294">
        <v>3209052.42</v>
      </c>
      <c r="I28" s="294">
        <v>1322351.3700000001</v>
      </c>
      <c r="J28" s="294"/>
      <c r="K28" s="294">
        <v>1137446.0000000002</v>
      </c>
      <c r="L28" s="294">
        <v>1916182.9799999997</v>
      </c>
      <c r="M28" s="294">
        <v>1472.8300000000002</v>
      </c>
      <c r="N28" s="294">
        <v>24417.970000000005</v>
      </c>
      <c r="O28" s="294">
        <v>187842.06</v>
      </c>
      <c r="P28" s="294"/>
      <c r="Q28" s="294"/>
      <c r="R28" s="294">
        <v>39301.060000000005</v>
      </c>
      <c r="S28" s="294">
        <v>39301.060000000005</v>
      </c>
      <c r="T28" s="294"/>
      <c r="U28" s="294">
        <v>3209052.42</v>
      </c>
      <c r="V28" s="294"/>
      <c r="W28" s="294">
        <v>-6072229.9199999981</v>
      </c>
      <c r="X28" s="294"/>
      <c r="Y28" s="281"/>
      <c r="Z28" s="281"/>
      <c r="AA28" s="281"/>
      <c r="AB28" s="281">
        <v>9603903.459999999</v>
      </c>
    </row>
    <row r="29" spans="1:28" x14ac:dyDescent="0.2">
      <c r="A29" s="292">
        <v>8350</v>
      </c>
      <c r="B29" s="293"/>
      <c r="C29" s="294"/>
      <c r="D29" s="294"/>
      <c r="E29" s="294"/>
      <c r="F29" s="294">
        <v>0</v>
      </c>
      <c r="G29" s="294">
        <v>0</v>
      </c>
      <c r="H29" s="294">
        <v>104846.75999999998</v>
      </c>
      <c r="I29" s="294">
        <v>47029.5</v>
      </c>
      <c r="J29" s="294"/>
      <c r="K29" s="294">
        <v>9840.6500000000015</v>
      </c>
      <c r="L29" s="294"/>
      <c r="M29" s="294"/>
      <c r="N29" s="294"/>
      <c r="O29" s="294"/>
      <c r="P29" s="294"/>
      <c r="Q29" s="294"/>
      <c r="R29" s="294"/>
      <c r="S29" s="294"/>
      <c r="T29" s="294"/>
      <c r="U29" s="294">
        <v>104846.75999999998</v>
      </c>
      <c r="V29" s="294"/>
      <c r="W29" s="294">
        <v>-161716.90999999997</v>
      </c>
      <c r="X29" s="294"/>
      <c r="Y29" s="281"/>
      <c r="Z29" s="281"/>
      <c r="AA29" s="281"/>
      <c r="AB29" s="281">
        <v>161716.90999999997</v>
      </c>
    </row>
    <row r="30" spans="1:28" x14ac:dyDescent="0.2">
      <c r="A30" s="292">
        <v>8370</v>
      </c>
      <c r="B30" s="293"/>
      <c r="C30" s="294"/>
      <c r="D30" s="294"/>
      <c r="E30" s="294"/>
      <c r="F30" s="294">
        <v>0</v>
      </c>
      <c r="G30" s="294">
        <v>0</v>
      </c>
      <c r="H30" s="294">
        <v>651215.46</v>
      </c>
      <c r="I30" s="294">
        <v>291711.71000000002</v>
      </c>
      <c r="J30" s="294"/>
      <c r="K30" s="294">
        <v>286856.44</v>
      </c>
      <c r="L30" s="294">
        <v>17019.710000000003</v>
      </c>
      <c r="M30" s="294">
        <v>2765.12</v>
      </c>
      <c r="N30" s="294">
        <v>1291.7800000000002</v>
      </c>
      <c r="O30" s="294">
        <v>6602.56</v>
      </c>
      <c r="P30" s="294"/>
      <c r="Q30" s="294"/>
      <c r="R30" s="294"/>
      <c r="S30" s="294"/>
      <c r="T30" s="294"/>
      <c r="U30" s="294">
        <v>651215.46</v>
      </c>
      <c r="V30" s="294"/>
      <c r="W30" s="294">
        <v>-1257462.78</v>
      </c>
      <c r="X30" s="294"/>
      <c r="Y30" s="281"/>
      <c r="Z30" s="281"/>
      <c r="AA30" s="281"/>
      <c r="AB30" s="281">
        <v>1257462.78</v>
      </c>
    </row>
    <row r="31" spans="1:28" x14ac:dyDescent="0.2">
      <c r="A31" s="292">
        <v>8420</v>
      </c>
      <c r="B31" s="293"/>
      <c r="C31" s="294"/>
      <c r="D31" s="294"/>
      <c r="E31" s="294"/>
      <c r="F31" s="294">
        <v>0</v>
      </c>
      <c r="G31" s="294">
        <v>0</v>
      </c>
      <c r="H31" s="294"/>
      <c r="I31" s="294"/>
      <c r="J31" s="294"/>
      <c r="K31" s="294"/>
      <c r="L31" s="294"/>
      <c r="M31" s="294"/>
      <c r="N31" s="294">
        <v>473458.06000000006</v>
      </c>
      <c r="O31" s="294"/>
      <c r="P31" s="294"/>
      <c r="Q31" s="294"/>
      <c r="R31" s="294"/>
      <c r="S31" s="294"/>
      <c r="T31" s="294"/>
      <c r="U31" s="294">
        <v>0</v>
      </c>
      <c r="V31" s="294"/>
      <c r="W31" s="294">
        <v>-473458.06000000006</v>
      </c>
      <c r="X31" s="294"/>
      <c r="Y31" s="281"/>
      <c r="Z31" s="281"/>
      <c r="AA31" s="281"/>
      <c r="AB31" s="281">
        <v>473458.06000000006</v>
      </c>
    </row>
    <row r="32" spans="1:28" x14ac:dyDescent="0.2">
      <c r="A32" s="292">
        <v>8430</v>
      </c>
      <c r="B32" s="293"/>
      <c r="C32" s="294"/>
      <c r="D32" s="294"/>
      <c r="E32" s="294"/>
      <c r="F32" s="294">
        <v>0</v>
      </c>
      <c r="G32" s="294">
        <v>0</v>
      </c>
      <c r="H32" s="294">
        <v>1270097.5399999998</v>
      </c>
      <c r="I32" s="294">
        <v>384047.8600000001</v>
      </c>
      <c r="J32" s="294"/>
      <c r="K32" s="294">
        <v>9143802.8919999991</v>
      </c>
      <c r="L32" s="294">
        <v>-44075.789999999994</v>
      </c>
      <c r="M32" s="294">
        <v>2677995.4500000002</v>
      </c>
      <c r="N32" s="294">
        <v>636774.41</v>
      </c>
      <c r="O32" s="294">
        <v>511232.85999999987</v>
      </c>
      <c r="P32" s="294"/>
      <c r="Q32" s="294"/>
      <c r="R32" s="294">
        <v>176906.56</v>
      </c>
      <c r="S32" s="294">
        <v>176906.56</v>
      </c>
      <c r="T32" s="294"/>
      <c r="U32" s="294">
        <v>1270097.5399999998</v>
      </c>
      <c r="V32" s="294"/>
      <c r="W32" s="294">
        <v>-14756781.781999998</v>
      </c>
      <c r="X32" s="294"/>
      <c r="Y32" s="281"/>
      <c r="Z32" s="281"/>
      <c r="AA32" s="281"/>
      <c r="AB32" s="281">
        <v>14756781.781999998</v>
      </c>
    </row>
    <row r="33" spans="1:28" x14ac:dyDescent="0.2">
      <c r="A33" s="292">
        <v>8460</v>
      </c>
      <c r="B33" s="293"/>
      <c r="C33" s="294"/>
      <c r="D33" s="294"/>
      <c r="E33" s="294"/>
      <c r="F33" s="294">
        <v>0</v>
      </c>
      <c r="G33" s="294">
        <v>0</v>
      </c>
      <c r="H33" s="294">
        <v>3053297.84</v>
      </c>
      <c r="I33" s="294">
        <v>1311123.3500000001</v>
      </c>
      <c r="J33" s="294"/>
      <c r="K33" s="294">
        <v>124130.56000000001</v>
      </c>
      <c r="L33" s="294">
        <v>231247.4</v>
      </c>
      <c r="M33" s="294">
        <v>5961.29</v>
      </c>
      <c r="N33" s="294">
        <v>7720.3400000000011</v>
      </c>
      <c r="O33" s="294">
        <v>2710.1299999999997</v>
      </c>
      <c r="P33" s="294"/>
      <c r="Q33" s="294"/>
      <c r="R33" s="294">
        <v>7988.8500000000013</v>
      </c>
      <c r="S33" s="294">
        <v>7988.8500000000013</v>
      </c>
      <c r="T33" s="294"/>
      <c r="U33" s="294">
        <v>3053297.84</v>
      </c>
      <c r="V33" s="294"/>
      <c r="W33" s="294">
        <v>-4744179.7599999988</v>
      </c>
      <c r="X33" s="294"/>
      <c r="Y33" s="281"/>
      <c r="Z33" s="281"/>
      <c r="AA33" s="281"/>
      <c r="AB33" s="281">
        <v>4744179.7599999988</v>
      </c>
    </row>
    <row r="34" spans="1:28" x14ac:dyDescent="0.2">
      <c r="A34" s="292">
        <v>8490</v>
      </c>
      <c r="B34" s="293"/>
      <c r="C34" s="294"/>
      <c r="D34" s="294"/>
      <c r="E34" s="294">
        <v>146168.03</v>
      </c>
      <c r="F34" s="294">
        <v>0</v>
      </c>
      <c r="G34" s="294">
        <v>0</v>
      </c>
      <c r="H34" s="294"/>
      <c r="I34" s="294">
        <v>50</v>
      </c>
      <c r="J34" s="294"/>
      <c r="K34" s="294">
        <v>1460.2</v>
      </c>
      <c r="L34" s="294">
        <v>93225.75</v>
      </c>
      <c r="M34" s="294"/>
      <c r="N34" s="294">
        <v>21575.77</v>
      </c>
      <c r="O34" s="294"/>
      <c r="P34" s="294"/>
      <c r="Q34" s="294"/>
      <c r="R34" s="294">
        <v>499.37</v>
      </c>
      <c r="S34" s="294">
        <v>499.37</v>
      </c>
      <c r="T34" s="294"/>
      <c r="U34" s="294">
        <v>0</v>
      </c>
      <c r="V34" s="294"/>
      <c r="W34" s="294">
        <v>29356.940000000002</v>
      </c>
      <c r="X34" s="294"/>
      <c r="Y34" s="281"/>
      <c r="Z34" s="281"/>
      <c r="AA34" s="281"/>
      <c r="AB34" s="281">
        <v>262979.12</v>
      </c>
    </row>
    <row r="35" spans="1:28" x14ac:dyDescent="0.2">
      <c r="A35" s="292">
        <v>8530</v>
      </c>
      <c r="B35" s="293"/>
      <c r="C35" s="294"/>
      <c r="D35" s="294"/>
      <c r="E35" s="294"/>
      <c r="F35" s="294">
        <v>0</v>
      </c>
      <c r="G35" s="294">
        <v>0</v>
      </c>
      <c r="H35" s="294"/>
      <c r="I35" s="294"/>
      <c r="J35" s="294"/>
      <c r="K35" s="294">
        <v>7982201.4377212506</v>
      </c>
      <c r="L35" s="294">
        <v>658.41</v>
      </c>
      <c r="M35" s="294"/>
      <c r="N35" s="294">
        <v>15978.629999999997</v>
      </c>
      <c r="O35" s="294">
        <v>3945.12</v>
      </c>
      <c r="P35" s="294"/>
      <c r="Q35" s="294"/>
      <c r="R35" s="294"/>
      <c r="S35" s="294"/>
      <c r="T35" s="294"/>
      <c r="U35" s="294">
        <v>0</v>
      </c>
      <c r="V35" s="294"/>
      <c r="W35" s="294">
        <v>-8002783.5977212507</v>
      </c>
      <c r="X35" s="294"/>
      <c r="Y35" s="281"/>
      <c r="Z35" s="281"/>
      <c r="AA35" s="281"/>
      <c r="AB35" s="281">
        <v>8002783.5977212507</v>
      </c>
    </row>
    <row r="36" spans="1:28" x14ac:dyDescent="0.2">
      <c r="A36" s="292">
        <v>8560</v>
      </c>
      <c r="B36" s="293"/>
      <c r="C36" s="294"/>
      <c r="D36" s="294"/>
      <c r="E36" s="294"/>
      <c r="F36" s="294">
        <v>0</v>
      </c>
      <c r="G36" s="294">
        <v>0</v>
      </c>
      <c r="H36" s="294"/>
      <c r="I36" s="294"/>
      <c r="J36" s="294"/>
      <c r="K36" s="294">
        <v>3833278.9687513174</v>
      </c>
      <c r="L36" s="294">
        <v>25473.949999999997</v>
      </c>
      <c r="M36" s="294">
        <v>154.88999999999999</v>
      </c>
      <c r="N36" s="294">
        <v>16414.64</v>
      </c>
      <c r="O36" s="294">
        <v>939.11</v>
      </c>
      <c r="P36" s="294"/>
      <c r="Q36" s="294"/>
      <c r="R36" s="294">
        <v>62.01</v>
      </c>
      <c r="S36" s="294">
        <v>62.01</v>
      </c>
      <c r="T36" s="294"/>
      <c r="U36" s="294">
        <v>0</v>
      </c>
      <c r="V36" s="294"/>
      <c r="W36" s="294">
        <v>-3876323.5687513174</v>
      </c>
      <c r="X36" s="294"/>
      <c r="Y36" s="281"/>
      <c r="Z36" s="281"/>
      <c r="AA36" s="281"/>
      <c r="AB36" s="281">
        <v>3876323.5687513174</v>
      </c>
    </row>
    <row r="37" spans="1:28" x14ac:dyDescent="0.2">
      <c r="A37" s="292">
        <v>8610</v>
      </c>
      <c r="B37" s="293" t="s">
        <v>1331</v>
      </c>
      <c r="C37" s="297">
        <v>0</v>
      </c>
      <c r="D37" s="297">
        <v>4245764.25</v>
      </c>
      <c r="E37" s="294">
        <v>467947.37</v>
      </c>
      <c r="F37" s="294">
        <v>4245764.25</v>
      </c>
      <c r="G37" s="294">
        <v>4245764.25</v>
      </c>
      <c r="H37" s="294">
        <v>6781152.4900000002</v>
      </c>
      <c r="I37" s="294">
        <v>1635441.2499999998</v>
      </c>
      <c r="J37" s="294"/>
      <c r="K37" s="294">
        <v>611713.21818249999</v>
      </c>
      <c r="L37" s="294">
        <v>328691.45</v>
      </c>
      <c r="M37" s="294">
        <v>40299.380000000005</v>
      </c>
      <c r="N37" s="294">
        <v>595822.72</v>
      </c>
      <c r="O37" s="294">
        <v>131812.84</v>
      </c>
      <c r="P37" s="294"/>
      <c r="Q37" s="294"/>
      <c r="R37" s="294">
        <v>976733.24000000011</v>
      </c>
      <c r="S37" s="294">
        <v>976733.24000000011</v>
      </c>
      <c r="T37" s="294"/>
      <c r="U37" s="294">
        <v>6781152.4900000002</v>
      </c>
      <c r="V37" s="294">
        <v>-1368.4799999999998</v>
      </c>
      <c r="W37" s="294">
        <v>-9034763.1781825013</v>
      </c>
      <c r="X37" s="294"/>
      <c r="Y37" s="281">
        <v>2578960.38</v>
      </c>
      <c r="Z37" s="281">
        <v>20479</v>
      </c>
      <c r="AA37" s="281">
        <v>-48737.31</v>
      </c>
      <c r="AB37" s="281">
        <v>18364711.798182499</v>
      </c>
    </row>
    <row r="38" spans="1:28" x14ac:dyDescent="0.2">
      <c r="A38" s="292">
        <v>8650</v>
      </c>
      <c r="B38" s="293"/>
      <c r="C38" s="294"/>
      <c r="D38" s="294"/>
      <c r="E38" s="294"/>
      <c r="F38" s="294">
        <v>0</v>
      </c>
      <c r="G38" s="294">
        <v>0</v>
      </c>
      <c r="H38" s="294">
        <v>9.35</v>
      </c>
      <c r="I38" s="294">
        <v>1670.2299999967217</v>
      </c>
      <c r="J38" s="294"/>
      <c r="K38" s="294"/>
      <c r="L38" s="294">
        <v>11155.27</v>
      </c>
      <c r="M38" s="294"/>
      <c r="N38" s="294"/>
      <c r="O38" s="294"/>
      <c r="P38" s="294"/>
      <c r="Q38" s="294"/>
      <c r="R38" s="294">
        <v>273831.60000000003</v>
      </c>
      <c r="S38" s="294">
        <v>273831.60000000003</v>
      </c>
      <c r="T38" s="294"/>
      <c r="U38" s="294">
        <v>9.35</v>
      </c>
      <c r="V38" s="294">
        <v>-4571295.8699999992</v>
      </c>
      <c r="W38" s="294">
        <v>4284629.4200000027</v>
      </c>
      <c r="X38" s="294"/>
      <c r="Y38" s="281"/>
      <c r="Z38" s="281"/>
      <c r="AA38" s="281"/>
      <c r="AB38" s="281">
        <v>-4284629.4200000027</v>
      </c>
    </row>
    <row r="39" spans="1:28" x14ac:dyDescent="0.2">
      <c r="A39" s="292">
        <v>8690</v>
      </c>
      <c r="B39" s="293"/>
      <c r="C39" s="294"/>
      <c r="D39" s="294"/>
      <c r="E39" s="294">
        <v>2791.59</v>
      </c>
      <c r="F39" s="294">
        <v>0</v>
      </c>
      <c r="G39" s="294">
        <v>0</v>
      </c>
      <c r="H39" s="294"/>
      <c r="I39" s="294"/>
      <c r="J39" s="294"/>
      <c r="K39" s="294">
        <v>5151917.5093459487</v>
      </c>
      <c r="L39" s="294">
        <v>1846.47</v>
      </c>
      <c r="M39" s="294"/>
      <c r="N39" s="294">
        <v>11330.820000000002</v>
      </c>
      <c r="O39" s="294">
        <v>40371.429999999993</v>
      </c>
      <c r="P39" s="294"/>
      <c r="Q39" s="294"/>
      <c r="R39" s="294"/>
      <c r="S39" s="294"/>
      <c r="T39" s="294"/>
      <c r="U39" s="294">
        <v>0</v>
      </c>
      <c r="V39" s="294"/>
      <c r="W39" s="294">
        <v>-5202674.6393459495</v>
      </c>
      <c r="X39" s="294"/>
      <c r="Y39" s="281"/>
      <c r="Z39" s="281"/>
      <c r="AA39" s="281"/>
      <c r="AB39" s="281">
        <v>5208257.8193459492</v>
      </c>
    </row>
    <row r="40" spans="1:28" x14ac:dyDescent="0.2">
      <c r="A40" s="292">
        <v>8700</v>
      </c>
      <c r="B40" s="293"/>
      <c r="C40" s="294"/>
      <c r="D40" s="294"/>
      <c r="E40" s="294">
        <v>386391.15</v>
      </c>
      <c r="F40" s="294">
        <v>0</v>
      </c>
      <c r="G40" s="294">
        <v>0</v>
      </c>
      <c r="H40" s="294"/>
      <c r="I40" s="294">
        <v>213.62</v>
      </c>
      <c r="J40" s="294">
        <v>23695.160000000003</v>
      </c>
      <c r="K40" s="294">
        <v>242626.12380825001</v>
      </c>
      <c r="L40" s="294"/>
      <c r="M40" s="294"/>
      <c r="N40" s="294"/>
      <c r="O40" s="294"/>
      <c r="P40" s="294"/>
      <c r="Q40" s="294"/>
      <c r="R40" s="294"/>
      <c r="S40" s="294"/>
      <c r="T40" s="294"/>
      <c r="U40" s="294">
        <v>0</v>
      </c>
      <c r="V40" s="294"/>
      <c r="W40" s="294">
        <v>119856.24619174999</v>
      </c>
      <c r="X40" s="294"/>
      <c r="Y40" s="281"/>
      <c r="Z40" s="281"/>
      <c r="AA40" s="281"/>
      <c r="AB40" s="281">
        <v>652926.05380825</v>
      </c>
    </row>
    <row r="41" spans="1:28" x14ac:dyDescent="0.2">
      <c r="A41" s="292">
        <v>8710</v>
      </c>
      <c r="B41" s="293"/>
      <c r="C41" s="294"/>
      <c r="D41" s="294"/>
      <c r="E41" s="294"/>
      <c r="F41" s="294">
        <v>0</v>
      </c>
      <c r="G41" s="294">
        <v>0</v>
      </c>
      <c r="H41" s="294"/>
      <c r="I41" s="294"/>
      <c r="J41" s="294"/>
      <c r="K41" s="294">
        <v>4797647.6230057497</v>
      </c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v>0</v>
      </c>
      <c r="V41" s="294"/>
      <c r="W41" s="294">
        <v>-4797647.6230057497</v>
      </c>
      <c r="X41" s="294"/>
      <c r="Y41" s="281"/>
      <c r="Z41" s="281"/>
      <c r="AA41" s="281"/>
      <c r="AB41" s="281">
        <v>4797647.6230057497</v>
      </c>
    </row>
    <row r="42" spans="1:28" x14ac:dyDescent="0.2">
      <c r="A42" s="292">
        <v>8720</v>
      </c>
      <c r="B42" s="293"/>
      <c r="C42" s="294"/>
      <c r="D42" s="294"/>
      <c r="E42" s="294">
        <v>352490.05</v>
      </c>
      <c r="F42" s="294">
        <v>0</v>
      </c>
      <c r="G42" s="294">
        <v>0</v>
      </c>
      <c r="H42" s="294">
        <v>3725831.96</v>
      </c>
      <c r="I42" s="294">
        <v>983396.27999999991</v>
      </c>
      <c r="J42" s="294"/>
      <c r="K42" s="294">
        <v>1433728.46</v>
      </c>
      <c r="L42" s="294">
        <v>17518.330000000002</v>
      </c>
      <c r="M42" s="294">
        <v>2515.9400000000005</v>
      </c>
      <c r="N42" s="294">
        <v>36652.35</v>
      </c>
      <c r="O42" s="294">
        <v>157150.69</v>
      </c>
      <c r="P42" s="294"/>
      <c r="Q42" s="294"/>
      <c r="R42" s="294">
        <v>71450.970000000016</v>
      </c>
      <c r="S42" s="294">
        <v>71450.970000000016</v>
      </c>
      <c r="T42" s="294"/>
      <c r="U42" s="294">
        <v>3788900.25</v>
      </c>
      <c r="V42" s="294"/>
      <c r="W42" s="294">
        <v>-6138823.2200000007</v>
      </c>
      <c r="X42" s="294">
        <v>63068.29</v>
      </c>
      <c r="Y42" s="281"/>
      <c r="Z42" s="281"/>
      <c r="AA42" s="281"/>
      <c r="AB42" s="281">
        <v>6843803.3200000003</v>
      </c>
    </row>
    <row r="43" spans="1:28" x14ac:dyDescent="0.2">
      <c r="A43" s="292">
        <v>8730</v>
      </c>
      <c r="B43" s="293"/>
      <c r="C43" s="294"/>
      <c r="D43" s="294"/>
      <c r="E43" s="294"/>
      <c r="F43" s="294">
        <v>0</v>
      </c>
      <c r="G43" s="294">
        <v>0</v>
      </c>
      <c r="H43" s="294">
        <v>2241523.75</v>
      </c>
      <c r="I43" s="294">
        <v>639648.14000000013</v>
      </c>
      <c r="J43" s="294"/>
      <c r="K43" s="294">
        <v>9265</v>
      </c>
      <c r="L43" s="294">
        <v>24229.18</v>
      </c>
      <c r="M43" s="294">
        <v>41</v>
      </c>
      <c r="N43" s="294"/>
      <c r="O43" s="294">
        <v>9157.15</v>
      </c>
      <c r="P43" s="294"/>
      <c r="Q43" s="294"/>
      <c r="R43" s="294">
        <v>1631.16</v>
      </c>
      <c r="S43" s="294">
        <v>1631.16</v>
      </c>
      <c r="T43" s="294"/>
      <c r="U43" s="294">
        <v>2258056.37</v>
      </c>
      <c r="V43" s="294"/>
      <c r="W43" s="294">
        <v>-2942028.0000000005</v>
      </c>
      <c r="X43" s="294">
        <v>16532.62</v>
      </c>
      <c r="Y43" s="281"/>
      <c r="Z43" s="281"/>
      <c r="AA43" s="281"/>
      <c r="AB43" s="281">
        <v>2942028.0000000005</v>
      </c>
    </row>
    <row r="44" spans="1:28" x14ac:dyDescent="0.2">
      <c r="A44" s="292">
        <v>8740</v>
      </c>
      <c r="B44" s="293"/>
      <c r="C44" s="294"/>
      <c r="D44" s="294"/>
      <c r="E44" s="294">
        <v>35.000000000000007</v>
      </c>
      <c r="F44" s="294">
        <v>0</v>
      </c>
      <c r="G44" s="294">
        <v>0</v>
      </c>
      <c r="H44" s="294">
        <v>1030414.31</v>
      </c>
      <c r="I44" s="294">
        <v>267472.57</v>
      </c>
      <c r="J44" s="294"/>
      <c r="K44" s="294">
        <v>130636.28000000001</v>
      </c>
      <c r="L44" s="294">
        <v>21809.97</v>
      </c>
      <c r="M44" s="294"/>
      <c r="N44" s="294">
        <v>43155.679999999993</v>
      </c>
      <c r="O44" s="294">
        <v>3955.16</v>
      </c>
      <c r="P44" s="294"/>
      <c r="Q44" s="294"/>
      <c r="R44" s="294">
        <v>16067.099999999999</v>
      </c>
      <c r="S44" s="294">
        <v>16067.099999999999</v>
      </c>
      <c r="T44" s="294"/>
      <c r="U44" s="294">
        <v>1030414.31</v>
      </c>
      <c r="V44" s="294"/>
      <c r="W44" s="294">
        <v>-1513476.07</v>
      </c>
      <c r="X44" s="294"/>
      <c r="Y44" s="281"/>
      <c r="Z44" s="281"/>
      <c r="AA44" s="281"/>
      <c r="AB44" s="281">
        <v>1513546.07</v>
      </c>
    </row>
    <row r="45" spans="1:28" x14ac:dyDescent="0.2">
      <c r="A45" s="292">
        <v>8790</v>
      </c>
      <c r="B45" s="293"/>
      <c r="C45" s="294"/>
      <c r="D45" s="294"/>
      <c r="E45" s="294">
        <v>74975</v>
      </c>
      <c r="F45" s="294">
        <v>0</v>
      </c>
      <c r="G45" s="294">
        <v>0</v>
      </c>
      <c r="H45" s="294"/>
      <c r="I45" s="294"/>
      <c r="J45" s="294"/>
      <c r="K45" s="294">
        <v>31903580.723662749</v>
      </c>
      <c r="L45" s="294">
        <v>-210841.97999999995</v>
      </c>
      <c r="M45" s="294"/>
      <c r="N45" s="294">
        <v>579492.39999999991</v>
      </c>
      <c r="O45" s="294">
        <v>91681.48</v>
      </c>
      <c r="P45" s="294"/>
      <c r="Q45" s="294"/>
      <c r="R45" s="294">
        <v>372.78</v>
      </c>
      <c r="S45" s="294">
        <v>372.78</v>
      </c>
      <c r="T45" s="294"/>
      <c r="U45" s="294">
        <v>0</v>
      </c>
      <c r="V45" s="294">
        <v>-9647365.4800000004</v>
      </c>
      <c r="W45" s="294">
        <v>-22641944.923662744</v>
      </c>
      <c r="X45" s="294"/>
      <c r="Y45" s="281"/>
      <c r="Z45" s="281"/>
      <c r="AA45" s="281"/>
      <c r="AB45" s="281">
        <v>22791894.923662744</v>
      </c>
    </row>
    <row r="46" spans="1:28" x14ac:dyDescent="0.2">
      <c r="A46" s="292">
        <v>8900</v>
      </c>
      <c r="B46" s="293" t="s">
        <v>211</v>
      </c>
      <c r="C46" s="298"/>
      <c r="D46" s="298"/>
      <c r="E46" s="302">
        <v>11946085.300000001</v>
      </c>
      <c r="F46" s="294">
        <v>0</v>
      </c>
      <c r="G46" s="294">
        <v>0</v>
      </c>
      <c r="H46" s="294">
        <v>2419004</v>
      </c>
      <c r="I46" s="302"/>
      <c r="J46" s="298">
        <v>1376877.7800000003</v>
      </c>
      <c r="K46" s="298">
        <v>28186650.809999999</v>
      </c>
      <c r="L46" s="298">
        <v>175268.53</v>
      </c>
      <c r="M46" s="298">
        <v>12652.239999999998</v>
      </c>
      <c r="N46" s="298">
        <v>26153.75</v>
      </c>
      <c r="O46" s="302">
        <v>24357064.879999995</v>
      </c>
      <c r="P46" s="294"/>
      <c r="Q46" s="294"/>
      <c r="R46" s="294">
        <v>7840468.6799999988</v>
      </c>
      <c r="S46" s="302">
        <v>7840468.6799999988</v>
      </c>
      <c r="T46" s="294"/>
      <c r="U46" s="298">
        <v>2476682</v>
      </c>
      <c r="V46" s="298">
        <v>1800000</v>
      </c>
      <c r="W46" s="294">
        <v>-2039347264.54</v>
      </c>
      <c r="X46" s="294">
        <v>57678</v>
      </c>
      <c r="Y46" s="281">
        <v>1954104312.0699999</v>
      </c>
      <c r="Z46" s="281">
        <v>25320118.240000002</v>
      </c>
      <c r="AA46" s="281">
        <v>-5617100.8600000013</v>
      </c>
      <c r="AB46" s="281">
        <v>2052005233.4200001</v>
      </c>
    </row>
    <row r="47" spans="1:28" x14ac:dyDescent="0.2">
      <c r="A47" s="292">
        <v>7150</v>
      </c>
      <c r="B47" s="293"/>
      <c r="C47" s="294">
        <v>2622770.1800000002</v>
      </c>
      <c r="D47" s="294">
        <v>43752212</v>
      </c>
      <c r="E47" s="294">
        <v>1725</v>
      </c>
      <c r="F47" s="294">
        <v>46374982.18</v>
      </c>
      <c r="G47" s="294">
        <v>46374982.18</v>
      </c>
      <c r="H47" s="294">
        <v>1967695.04</v>
      </c>
      <c r="I47" s="294">
        <v>508297.63</v>
      </c>
      <c r="J47" s="294">
        <v>146013.26</v>
      </c>
      <c r="K47" s="294">
        <v>1612777.7299999997</v>
      </c>
      <c r="L47" s="294">
        <v>57206.34</v>
      </c>
      <c r="M47" s="294">
        <v>38.15</v>
      </c>
      <c r="N47" s="294">
        <v>9520.36</v>
      </c>
      <c r="O47" s="294">
        <v>138924.56999999998</v>
      </c>
      <c r="P47" s="294"/>
      <c r="Q47" s="294"/>
      <c r="R47" s="294">
        <v>5459.5499999999993</v>
      </c>
      <c r="S47" s="294">
        <v>5459.5499999999993</v>
      </c>
      <c r="T47" s="294"/>
      <c r="U47" s="294">
        <v>1968095.04</v>
      </c>
      <c r="V47" s="294"/>
      <c r="W47" s="294">
        <v>41930374.550000004</v>
      </c>
      <c r="X47" s="294">
        <v>400</v>
      </c>
      <c r="Y47" s="281"/>
      <c r="Z47" s="281"/>
      <c r="AA47" s="281"/>
      <c r="AB47" s="281">
        <v>50823039.809999995</v>
      </c>
    </row>
    <row r="48" spans="1:28" x14ac:dyDescent="0.2">
      <c r="A48" s="292">
        <v>7040</v>
      </c>
      <c r="B48" s="293"/>
      <c r="C48" s="294">
        <v>7092955.6000000006</v>
      </c>
      <c r="D48" s="294">
        <v>13695580.390000001</v>
      </c>
      <c r="E48" s="294"/>
      <c r="F48" s="294">
        <v>20788535.990000002</v>
      </c>
      <c r="G48" s="294">
        <v>20788535.990000002</v>
      </c>
      <c r="H48" s="294">
        <v>237634.45</v>
      </c>
      <c r="I48" s="294">
        <v>71174.679999999993</v>
      </c>
      <c r="J48" s="294">
        <v>376619.52000000002</v>
      </c>
      <c r="K48" s="294">
        <v>377316.61</v>
      </c>
      <c r="L48" s="294">
        <v>346257.83</v>
      </c>
      <c r="M48" s="294"/>
      <c r="N48" s="294">
        <v>2688.7999999999997</v>
      </c>
      <c r="O48" s="294"/>
      <c r="P48" s="294"/>
      <c r="Q48" s="294"/>
      <c r="R48" s="294">
        <v>595</v>
      </c>
      <c r="S48" s="294">
        <v>595</v>
      </c>
      <c r="T48" s="294"/>
      <c r="U48" s="294">
        <v>320500.61</v>
      </c>
      <c r="V48" s="294"/>
      <c r="W48" s="294">
        <v>19293382.940000005</v>
      </c>
      <c r="X48" s="294">
        <v>82866.16</v>
      </c>
      <c r="Y48" s="281"/>
      <c r="Z48" s="281"/>
      <c r="AA48" s="281"/>
      <c r="AB48" s="281">
        <v>22283689.039999999</v>
      </c>
    </row>
    <row r="49" spans="1:28" x14ac:dyDescent="0.2">
      <c r="A49" s="292">
        <v>8470</v>
      </c>
      <c r="B49" s="293"/>
      <c r="C49" s="294"/>
      <c r="D49" s="294"/>
      <c r="E49" s="294"/>
      <c r="F49" s="294">
        <v>0</v>
      </c>
      <c r="G49" s="294">
        <v>0</v>
      </c>
      <c r="H49" s="294"/>
      <c r="I49" s="294"/>
      <c r="J49" s="294"/>
      <c r="K49" s="294"/>
      <c r="L49" s="294">
        <v>195.28</v>
      </c>
      <c r="M49" s="294">
        <v>265636.55</v>
      </c>
      <c r="N49" s="294">
        <v>2456.3799999999997</v>
      </c>
      <c r="O49" s="294">
        <v>81471.680000000008</v>
      </c>
      <c r="P49" s="294"/>
      <c r="Q49" s="294"/>
      <c r="R49" s="294"/>
      <c r="S49" s="294"/>
      <c r="T49" s="294"/>
      <c r="U49" s="294">
        <v>0</v>
      </c>
      <c r="V49" s="294"/>
      <c r="W49" s="294">
        <v>-349759.89</v>
      </c>
      <c r="X49" s="294"/>
      <c r="Y49" s="281"/>
      <c r="Z49" s="281"/>
      <c r="AA49" s="281"/>
      <c r="AB49" s="281">
        <v>349759.89</v>
      </c>
    </row>
    <row r="50" spans="1:28" x14ac:dyDescent="0.2">
      <c r="A50" s="295" t="s">
        <v>1300</v>
      </c>
      <c r="B50" s="295"/>
      <c r="C50" s="299">
        <v>1102193583.29</v>
      </c>
      <c r="D50" s="299">
        <v>1702368690.2900002</v>
      </c>
      <c r="E50" s="299">
        <v>20878427.560000002</v>
      </c>
      <c r="F50" s="299"/>
      <c r="G50" s="299"/>
      <c r="H50" s="299">
        <v>195716976.41999993</v>
      </c>
      <c r="I50" s="299">
        <v>47694269.979999997</v>
      </c>
      <c r="J50" s="299">
        <v>46408849.639999993</v>
      </c>
      <c r="K50" s="299">
        <v>159355617.95197168</v>
      </c>
      <c r="L50" s="299">
        <v>108551313.59000003</v>
      </c>
      <c r="M50" s="299">
        <v>4387848.1300000008</v>
      </c>
      <c r="N50" s="299">
        <v>15174691.560000004</v>
      </c>
      <c r="O50" s="299">
        <v>38189877.519999996</v>
      </c>
      <c r="P50" s="299"/>
      <c r="Q50" s="299"/>
      <c r="R50" s="299">
        <v>13244267.289999999</v>
      </c>
      <c r="S50" s="299">
        <v>13244267.289999999</v>
      </c>
      <c r="T50" s="299"/>
      <c r="U50" s="299">
        <f>SUM(U4:U49)</f>
        <v>208185541.71999997</v>
      </c>
      <c r="V50" s="299">
        <v>-12438374.23</v>
      </c>
      <c r="W50" s="299">
        <v>66592789.888028353</v>
      </c>
      <c r="X50" s="299">
        <v>12468565.299999999</v>
      </c>
      <c r="Y50" s="281">
        <v>2096552836.8899999</v>
      </c>
      <c r="Z50" s="281">
        <v>26370436.220000003</v>
      </c>
      <c r="AA50" s="281">
        <v>-7170734.9900000012</v>
      </c>
      <c r="AB50" s="281">
        <v>5569947142.411973</v>
      </c>
    </row>
    <row r="51" spans="1:28" x14ac:dyDescent="0.2">
      <c r="A51" s="295"/>
      <c r="B51" s="29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81"/>
      <c r="Z51" s="281"/>
      <c r="AA51" s="281"/>
      <c r="AB51" s="281"/>
    </row>
    <row r="52" spans="1:28" x14ac:dyDescent="0.2">
      <c r="A52" s="295"/>
      <c r="B52" s="295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81"/>
      <c r="Z52" s="281"/>
      <c r="AA52" s="281"/>
      <c r="AB52" s="281"/>
    </row>
    <row r="53" spans="1:28" ht="38.25" x14ac:dyDescent="0.2">
      <c r="A53" s="295"/>
      <c r="B53" s="300" t="s">
        <v>1333</v>
      </c>
      <c r="C53" s="300" t="s">
        <v>1334</v>
      </c>
      <c r="D53" s="300" t="s">
        <v>1335</v>
      </c>
      <c r="E53" s="301" t="s">
        <v>1336</v>
      </c>
      <c r="F53" s="294"/>
      <c r="G53" s="294"/>
      <c r="H53" s="294"/>
      <c r="I53" s="301" t="s">
        <v>1338</v>
      </c>
      <c r="J53" s="300" t="s">
        <v>1339</v>
      </c>
      <c r="K53" s="300" t="s">
        <v>1340</v>
      </c>
      <c r="L53" s="300" t="s">
        <v>1340</v>
      </c>
      <c r="M53" s="300" t="s">
        <v>1340</v>
      </c>
      <c r="N53" s="300" t="s">
        <v>1340</v>
      </c>
      <c r="O53" s="301" t="s">
        <v>1341</v>
      </c>
      <c r="P53" s="294"/>
      <c r="Q53" s="294"/>
      <c r="R53" s="294"/>
      <c r="S53" s="301" t="s">
        <v>1342</v>
      </c>
      <c r="T53" s="294"/>
      <c r="U53" s="300" t="s">
        <v>1337</v>
      </c>
      <c r="V53" s="304" t="s">
        <v>1393</v>
      </c>
      <c r="W53" s="294"/>
      <c r="X53" s="303"/>
      <c r="Y53" s="281"/>
      <c r="Z53" s="281"/>
      <c r="AA53" s="281"/>
      <c r="AB53" s="281"/>
    </row>
    <row r="54" spans="1:28" x14ac:dyDescent="0.2">
      <c r="A54" s="295"/>
      <c r="B54" s="295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81"/>
      <c r="Z54" s="281"/>
      <c r="AA54" s="281"/>
      <c r="AB54" s="281"/>
    </row>
    <row r="55" spans="1:28" hidden="1" x14ac:dyDescent="0.2">
      <c r="A55" s="295"/>
      <c r="B55" s="295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81"/>
      <c r="Z55" s="281"/>
      <c r="AA55" s="281"/>
      <c r="AB55" s="281"/>
    </row>
    <row r="56" spans="1:28" hidden="1" x14ac:dyDescent="0.2">
      <c r="A56" s="295"/>
      <c r="B56" s="295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81"/>
      <c r="Z56" s="281"/>
      <c r="AA56" s="281"/>
      <c r="AB56" s="281"/>
    </row>
    <row r="57" spans="1:28" hidden="1" x14ac:dyDescent="0.2">
      <c r="A57" s="295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4"/>
      <c r="X57" s="295"/>
    </row>
    <row r="58" spans="1:28" hidden="1" x14ac:dyDescent="0.2">
      <c r="A58" s="295"/>
      <c r="B58" s="295"/>
      <c r="C58" s="294">
        <v>0</v>
      </c>
      <c r="D58" s="294">
        <v>0</v>
      </c>
      <c r="E58" s="294">
        <v>0</v>
      </c>
      <c r="F58" s="294"/>
      <c r="G58" s="294"/>
      <c r="H58" s="294">
        <v>0</v>
      </c>
      <c r="I58" s="294">
        <v>0</v>
      </c>
      <c r="J58" s="294">
        <v>0</v>
      </c>
      <c r="K58" s="294">
        <v>0</v>
      </c>
      <c r="L58" s="294">
        <v>0</v>
      </c>
      <c r="M58" s="294">
        <v>0</v>
      </c>
      <c r="N58" s="294">
        <v>0</v>
      </c>
      <c r="O58" s="294">
        <v>0</v>
      </c>
      <c r="P58" s="294"/>
      <c r="Q58" s="294"/>
      <c r="R58" s="294">
        <v>0</v>
      </c>
      <c r="S58" s="294">
        <v>0</v>
      </c>
      <c r="T58" s="294"/>
      <c r="U58" s="294"/>
      <c r="V58" s="294">
        <v>0</v>
      </c>
      <c r="W58" s="294">
        <v>0</v>
      </c>
      <c r="X58" s="294">
        <v>0</v>
      </c>
      <c r="Y58" s="281">
        <v>0</v>
      </c>
      <c r="Z58" s="281">
        <v>0</v>
      </c>
      <c r="AA58" s="281">
        <v>0</v>
      </c>
      <c r="AB58" s="281"/>
    </row>
    <row r="59" spans="1:28" hidden="1" x14ac:dyDescent="0.2"/>
    <row r="60" spans="1:28" hidden="1" x14ac:dyDescent="0.2"/>
    <row r="61" spans="1:28" hidden="1" x14ac:dyDescent="0.2"/>
    <row r="62" spans="1:28" hidden="1" x14ac:dyDescent="0.2"/>
    <row r="63" spans="1:28" hidden="1" x14ac:dyDescent="0.2"/>
    <row r="65" spans="1:10" ht="15.75" thickBot="1" x14ac:dyDescent="0.25">
      <c r="A65" s="305">
        <v>1</v>
      </c>
      <c r="B65" s="305">
        <v>2</v>
      </c>
      <c r="C65" s="283">
        <v>3</v>
      </c>
      <c r="D65" s="283">
        <v>4</v>
      </c>
      <c r="F65" s="305">
        <v>1</v>
      </c>
      <c r="G65" s="305">
        <v>2</v>
      </c>
      <c r="H65" s="283">
        <v>3</v>
      </c>
      <c r="I65" s="305">
        <v>4</v>
      </c>
      <c r="J65" s="305">
        <v>5</v>
      </c>
    </row>
    <row r="66" spans="1:10" x14ac:dyDescent="0.2">
      <c r="A66" s="306"/>
      <c r="B66" s="306"/>
      <c r="C66" s="307"/>
      <c r="D66" s="307"/>
      <c r="F66" s="306"/>
      <c r="G66" s="306"/>
      <c r="H66" s="306"/>
      <c r="I66" s="307"/>
      <c r="J66" s="307"/>
    </row>
    <row r="67" spans="1:10" ht="15.75" thickBot="1" x14ac:dyDescent="0.25">
      <c r="A67" s="308" t="s">
        <v>1302</v>
      </c>
      <c r="B67" s="309" t="s">
        <v>1392</v>
      </c>
      <c r="C67" s="310" t="s">
        <v>1343</v>
      </c>
      <c r="D67" s="311" t="s">
        <v>1344</v>
      </c>
      <c r="F67" s="308" t="s">
        <v>1302</v>
      </c>
      <c r="G67" s="309" t="s">
        <v>212</v>
      </c>
      <c r="H67" s="308" t="s">
        <v>1188</v>
      </c>
      <c r="I67" s="309" t="s">
        <v>1355</v>
      </c>
      <c r="J67" s="309" t="s">
        <v>1356</v>
      </c>
    </row>
    <row r="68" spans="1:10" x14ac:dyDescent="0.2">
      <c r="A68" s="312">
        <v>6010</v>
      </c>
      <c r="B68" s="313"/>
      <c r="C68" s="314">
        <v>36.788572796934865</v>
      </c>
      <c r="D68" s="315">
        <v>52.859554597701141</v>
      </c>
      <c r="F68" s="312">
        <v>6010</v>
      </c>
      <c r="G68" s="7" t="s">
        <v>283</v>
      </c>
      <c r="H68">
        <v>1753.3996555775955</v>
      </c>
      <c r="I68" s="327">
        <v>8800</v>
      </c>
      <c r="J68" s="328">
        <v>1.5139446343565649E-2</v>
      </c>
    </row>
    <row r="69" spans="1:10" x14ac:dyDescent="0.2">
      <c r="A69" s="312">
        <v>6070</v>
      </c>
      <c r="B69" s="313"/>
      <c r="C69" s="316">
        <v>220.00319444444443</v>
      </c>
      <c r="D69" s="317">
        <v>391.56507183908042</v>
      </c>
      <c r="F69" s="312">
        <v>6030</v>
      </c>
      <c r="G69" s="7" t="s">
        <v>284</v>
      </c>
      <c r="H69">
        <v>0</v>
      </c>
      <c r="I69" s="327"/>
      <c r="J69" s="328">
        <v>0</v>
      </c>
    </row>
    <row r="70" spans="1:10" x14ac:dyDescent="0.2">
      <c r="A70" s="312">
        <v>7010</v>
      </c>
      <c r="B70" s="313"/>
      <c r="C70" s="316">
        <v>48.905287356321843</v>
      </c>
      <c r="D70" s="317">
        <v>68.567677203065131</v>
      </c>
      <c r="F70" s="312">
        <v>6070</v>
      </c>
      <c r="G70" s="7" t="s">
        <v>665</v>
      </c>
      <c r="H70">
        <v>17990.278966147853</v>
      </c>
      <c r="I70" s="327">
        <v>90290</v>
      </c>
      <c r="J70" s="328">
        <v>0.15533416026824345</v>
      </c>
    </row>
    <row r="71" spans="1:10" x14ac:dyDescent="0.2">
      <c r="A71" s="312">
        <v>7020</v>
      </c>
      <c r="B71" s="313"/>
      <c r="C71" s="316">
        <v>27.713711685823757</v>
      </c>
      <c r="D71" s="317">
        <v>81.319003831417632</v>
      </c>
      <c r="F71" s="312">
        <v>6100</v>
      </c>
      <c r="G71" s="7" t="s">
        <v>1357</v>
      </c>
      <c r="H71">
        <v>0</v>
      </c>
      <c r="I71" s="327"/>
      <c r="J71" s="328">
        <v>0</v>
      </c>
    </row>
    <row r="72" spans="1:10" x14ac:dyDescent="0.2">
      <c r="A72" s="312">
        <v>7030</v>
      </c>
      <c r="B72" s="313"/>
      <c r="C72" s="316">
        <v>30.36102011494253</v>
      </c>
      <c r="D72" s="317">
        <v>44.674501915708809</v>
      </c>
      <c r="F72" s="312">
        <v>6120</v>
      </c>
      <c r="G72" s="7" t="s">
        <v>1358</v>
      </c>
      <c r="H72">
        <v>0</v>
      </c>
      <c r="I72" s="327"/>
      <c r="J72" s="328">
        <v>0</v>
      </c>
    </row>
    <row r="73" spans="1:10" x14ac:dyDescent="0.2">
      <c r="A73" s="312">
        <v>7040</v>
      </c>
      <c r="B73" s="313"/>
      <c r="C73" s="316">
        <v>2.5108572796934867</v>
      </c>
      <c r="D73" s="317">
        <v>3.2688026819923373</v>
      </c>
      <c r="F73" s="312">
        <v>6140</v>
      </c>
      <c r="G73" s="7" t="s">
        <v>671</v>
      </c>
      <c r="H73">
        <v>0</v>
      </c>
      <c r="I73" s="327"/>
      <c r="J73" s="328">
        <v>0</v>
      </c>
    </row>
    <row r="74" spans="1:10" x14ac:dyDescent="0.2">
      <c r="A74" s="312">
        <v>7050</v>
      </c>
      <c r="B74" s="313"/>
      <c r="C74" s="316">
        <v>0</v>
      </c>
      <c r="D74" s="317">
        <v>23.646384099616856</v>
      </c>
      <c r="F74" s="312">
        <v>6150</v>
      </c>
      <c r="G74" s="7" t="s">
        <v>1045</v>
      </c>
      <c r="H74">
        <v>0</v>
      </c>
      <c r="I74" s="327"/>
      <c r="J74" s="328">
        <v>0</v>
      </c>
    </row>
    <row r="75" spans="1:10" x14ac:dyDescent="0.2">
      <c r="A75" s="312">
        <v>7070</v>
      </c>
      <c r="B75" s="313"/>
      <c r="C75" s="316">
        <v>0</v>
      </c>
      <c r="D75" s="317">
        <v>58.76726053639846</v>
      </c>
      <c r="F75" s="312">
        <v>6170</v>
      </c>
      <c r="G75" s="329" t="s">
        <v>1359</v>
      </c>
      <c r="H75">
        <v>0</v>
      </c>
      <c r="I75" s="330">
        <v>0</v>
      </c>
      <c r="J75" s="328">
        <v>0</v>
      </c>
    </row>
    <row r="76" spans="1:10" x14ac:dyDescent="0.2">
      <c r="A76" s="312">
        <v>7110</v>
      </c>
      <c r="B76" s="313"/>
      <c r="C76" s="316">
        <v>0</v>
      </c>
      <c r="D76" s="317">
        <v>4.306149425287356</v>
      </c>
      <c r="F76" s="312">
        <v>6200</v>
      </c>
      <c r="G76" s="7" t="s">
        <v>288</v>
      </c>
      <c r="H76">
        <v>0</v>
      </c>
      <c r="I76" s="327"/>
      <c r="J76" s="328">
        <v>0</v>
      </c>
    </row>
    <row r="77" spans="1:10" x14ac:dyDescent="0.2">
      <c r="A77" s="312">
        <v>7120</v>
      </c>
      <c r="B77" s="313"/>
      <c r="C77" s="316">
        <v>0</v>
      </c>
      <c r="D77" s="317">
        <v>3.3901724137931035</v>
      </c>
      <c r="F77" s="312">
        <v>6210</v>
      </c>
      <c r="G77" s="7" t="s">
        <v>289</v>
      </c>
      <c r="H77">
        <v>0</v>
      </c>
      <c r="I77" s="327"/>
      <c r="J77" s="328">
        <v>0</v>
      </c>
    </row>
    <row r="78" spans="1:10" x14ac:dyDescent="0.2">
      <c r="A78" s="312">
        <v>7140</v>
      </c>
      <c r="B78" s="313"/>
      <c r="C78" s="316">
        <v>18.808328544061304</v>
      </c>
      <c r="D78" s="317">
        <v>143.12750957854405</v>
      </c>
      <c r="F78" s="312">
        <v>6330</v>
      </c>
      <c r="G78" s="7" t="s">
        <v>1360</v>
      </c>
      <c r="H78">
        <v>0</v>
      </c>
      <c r="I78" s="327"/>
      <c r="J78" s="328">
        <v>0</v>
      </c>
    </row>
    <row r="79" spans="1:10" x14ac:dyDescent="0.2">
      <c r="A79" s="312">
        <v>7150</v>
      </c>
      <c r="B79" s="313"/>
      <c r="C79" s="316">
        <v>2.2849760536398467</v>
      </c>
      <c r="D79" s="317">
        <v>20.010407088122605</v>
      </c>
      <c r="F79" s="312">
        <v>6400</v>
      </c>
      <c r="G79" s="7" t="s">
        <v>680</v>
      </c>
      <c r="H79">
        <v>0</v>
      </c>
      <c r="I79" s="327"/>
      <c r="J79" s="328">
        <v>0</v>
      </c>
    </row>
    <row r="80" spans="1:10" x14ac:dyDescent="0.2">
      <c r="A80" s="312">
        <v>7160</v>
      </c>
      <c r="B80" s="313"/>
      <c r="C80" s="316">
        <v>0</v>
      </c>
      <c r="D80" s="317">
        <v>3.2354741379310346</v>
      </c>
      <c r="F80" s="312">
        <v>7010</v>
      </c>
      <c r="G80" s="329" t="s">
        <v>1361</v>
      </c>
      <c r="H80">
        <v>3196</v>
      </c>
      <c r="I80" s="330">
        <f>1241+14800</f>
        <v>16041</v>
      </c>
      <c r="J80" s="328">
        <v>2.76E-2</v>
      </c>
    </row>
    <row r="81" spans="1:10" x14ac:dyDescent="0.2">
      <c r="A81" s="312">
        <v>7170</v>
      </c>
      <c r="B81" s="313"/>
      <c r="C81" s="316">
        <v>0</v>
      </c>
      <c r="D81" s="317">
        <v>45.317083333333329</v>
      </c>
      <c r="F81" s="312">
        <v>7020</v>
      </c>
      <c r="G81" s="7" t="s">
        <v>684</v>
      </c>
      <c r="H81">
        <v>11713.506699101781</v>
      </c>
      <c r="I81" s="327">
        <v>58788</v>
      </c>
      <c r="J81" s="328">
        <v>0.10113838314153833</v>
      </c>
    </row>
    <row r="82" spans="1:10" x14ac:dyDescent="0.2">
      <c r="A82" s="312">
        <v>7180</v>
      </c>
      <c r="B82" s="313"/>
      <c r="C82" s="316">
        <v>1.5444971264367815</v>
      </c>
      <c r="D82" s="317">
        <v>48.91247605363985</v>
      </c>
      <c r="F82" s="312">
        <v>7030</v>
      </c>
      <c r="G82" s="7" t="s">
        <v>686</v>
      </c>
      <c r="H82">
        <v>1718.9294123486268</v>
      </c>
      <c r="I82" s="327">
        <v>8627</v>
      </c>
      <c r="J82" s="328">
        <v>1.4841818591584188E-2</v>
      </c>
    </row>
    <row r="83" spans="1:10" x14ac:dyDescent="0.2">
      <c r="A83" s="312">
        <v>7200</v>
      </c>
      <c r="B83" s="313"/>
      <c r="C83" s="316">
        <v>0</v>
      </c>
      <c r="D83" s="317">
        <v>25.360153256704979</v>
      </c>
      <c r="F83" s="312">
        <v>7040</v>
      </c>
      <c r="G83" s="7" t="s">
        <v>1362</v>
      </c>
      <c r="H83">
        <v>23.112995459886488</v>
      </c>
      <c r="I83" s="327">
        <v>116</v>
      </c>
      <c r="J83" s="328">
        <v>1.9956542907427447E-4</v>
      </c>
    </row>
    <row r="84" spans="1:10" x14ac:dyDescent="0.2">
      <c r="A84" s="312">
        <v>7230</v>
      </c>
      <c r="B84" s="343"/>
      <c r="C84" s="344">
        <v>48.765124521072792</v>
      </c>
      <c r="D84" s="345">
        <v>93.463103448275859</v>
      </c>
      <c r="F84" s="312">
        <v>7050</v>
      </c>
      <c r="G84" s="7" t="s">
        <v>689</v>
      </c>
      <c r="H84">
        <v>1677.48542048952</v>
      </c>
      <c r="I84" s="327">
        <v>8419</v>
      </c>
      <c r="J84" s="328">
        <v>1.4483977132554454E-2</v>
      </c>
    </row>
    <row r="85" spans="1:10" x14ac:dyDescent="0.2">
      <c r="A85" s="312">
        <v>7260</v>
      </c>
      <c r="B85" s="318" t="s">
        <v>121</v>
      </c>
      <c r="C85" s="319">
        <f>53.1415118258179</f>
        <v>53.141511825817901</v>
      </c>
      <c r="D85" s="320">
        <f>17.535584+474.68</f>
        <v>492.21558400000004</v>
      </c>
      <c r="F85" s="312">
        <v>7060</v>
      </c>
      <c r="G85" s="7" t="s">
        <v>691</v>
      </c>
      <c r="H85">
        <v>0</v>
      </c>
      <c r="I85" s="327"/>
      <c r="J85" s="328">
        <v>0</v>
      </c>
    </row>
    <row r="86" spans="1:10" x14ac:dyDescent="0.2">
      <c r="A86" s="312">
        <v>7310</v>
      </c>
      <c r="B86" s="313"/>
      <c r="C86" s="316">
        <v>0</v>
      </c>
      <c r="D86" s="317">
        <v>8.7385584291187737</v>
      </c>
      <c r="F86" s="312">
        <v>7070</v>
      </c>
      <c r="G86" s="7" t="s">
        <v>1363</v>
      </c>
      <c r="H86">
        <v>2664.7689765562232</v>
      </c>
      <c r="I86" s="327">
        <f>12266+1108</f>
        <v>13374</v>
      </c>
      <c r="J86" s="328">
        <v>2.3008517658959886E-2</v>
      </c>
    </row>
    <row r="87" spans="1:10" x14ac:dyDescent="0.2">
      <c r="A87" s="312">
        <v>7320</v>
      </c>
      <c r="B87" s="313"/>
      <c r="C87" s="316">
        <v>0</v>
      </c>
      <c r="D87" s="317">
        <v>4.325210727969349</v>
      </c>
      <c r="F87" s="312">
        <v>7110</v>
      </c>
      <c r="G87" s="7" t="s">
        <v>1345</v>
      </c>
      <c r="H87">
        <v>0</v>
      </c>
      <c r="I87" s="327"/>
      <c r="J87" s="328">
        <v>0</v>
      </c>
    </row>
    <row r="88" spans="1:10" x14ac:dyDescent="0.2">
      <c r="A88" s="312">
        <v>7380</v>
      </c>
      <c r="B88" s="313"/>
      <c r="C88" s="316">
        <v>31.363146551724135</v>
      </c>
      <c r="D88" s="317">
        <v>90.833304597701158</v>
      </c>
      <c r="F88" s="312">
        <v>7120</v>
      </c>
      <c r="G88" s="7" t="s">
        <v>1364</v>
      </c>
      <c r="H88">
        <v>436.75591420751016</v>
      </c>
      <c r="I88" s="327">
        <v>2192</v>
      </c>
      <c r="J88" s="328">
        <v>3.7710984528518073E-3</v>
      </c>
    </row>
    <row r="89" spans="1:10" x14ac:dyDescent="0.2">
      <c r="A89" s="312">
        <v>7490</v>
      </c>
      <c r="B89" s="313"/>
      <c r="C89" s="316">
        <v>12.668400383141762</v>
      </c>
      <c r="D89" s="317">
        <v>23.770680076628349</v>
      </c>
      <c r="F89" s="312">
        <v>7130</v>
      </c>
      <c r="G89" s="7" t="s">
        <v>698</v>
      </c>
      <c r="H89">
        <v>0</v>
      </c>
      <c r="I89" s="327"/>
      <c r="J89" s="328">
        <v>0</v>
      </c>
    </row>
    <row r="90" spans="1:10" x14ac:dyDescent="0.2">
      <c r="A90" s="312">
        <v>8320</v>
      </c>
      <c r="B90" s="313"/>
      <c r="C90" s="321">
        <v>0</v>
      </c>
      <c r="D90" s="317">
        <v>72.762270114942538</v>
      </c>
      <c r="F90" s="312">
        <v>7140</v>
      </c>
      <c r="G90" s="7" t="s">
        <v>1346</v>
      </c>
      <c r="H90">
        <v>4597.2943469479387</v>
      </c>
      <c r="I90" s="327">
        <v>23073</v>
      </c>
      <c r="J90" s="328">
        <v>3.9694596077851162E-2</v>
      </c>
    </row>
    <row r="91" spans="1:10" x14ac:dyDescent="0.2">
      <c r="A91" s="312">
        <v>8350</v>
      </c>
      <c r="B91" s="313"/>
      <c r="C91" s="321">
        <v>0</v>
      </c>
      <c r="D91" s="317">
        <v>2.669784482758621</v>
      </c>
      <c r="F91" s="312">
        <v>7150</v>
      </c>
      <c r="G91" s="7" t="s">
        <v>1347</v>
      </c>
      <c r="H91">
        <v>2345.7697892176175</v>
      </c>
      <c r="I91" s="327">
        <v>11773</v>
      </c>
      <c r="J91" s="328">
        <v>2.0254170659408908E-2</v>
      </c>
    </row>
    <row r="92" spans="1:10" x14ac:dyDescent="0.2">
      <c r="A92" s="312">
        <v>8370</v>
      </c>
      <c r="B92" s="313"/>
      <c r="C92" s="321">
        <v>1.3170498084291188E-3</v>
      </c>
      <c r="D92" s="317">
        <v>16.5933908045977</v>
      </c>
      <c r="F92" s="312">
        <v>7160</v>
      </c>
      <c r="G92" s="7" t="s">
        <v>703</v>
      </c>
      <c r="H92">
        <v>0</v>
      </c>
      <c r="I92" s="327"/>
      <c r="J92" s="328">
        <v>0</v>
      </c>
    </row>
    <row r="93" spans="1:10" x14ac:dyDescent="0.2">
      <c r="A93" s="312">
        <v>8430</v>
      </c>
      <c r="B93" s="313"/>
      <c r="C93" s="321">
        <v>0</v>
      </c>
      <c r="D93" s="317">
        <v>17.695852490421458</v>
      </c>
      <c r="F93" s="312">
        <v>7170</v>
      </c>
      <c r="G93" s="7" t="s">
        <v>1365</v>
      </c>
      <c r="H93">
        <v>1106.2357827007741</v>
      </c>
      <c r="I93" s="327">
        <v>5552</v>
      </c>
      <c r="J93" s="328">
        <v>9.5516143294859645E-3</v>
      </c>
    </row>
    <row r="94" spans="1:10" x14ac:dyDescent="0.2">
      <c r="A94" s="312">
        <v>8460</v>
      </c>
      <c r="B94" s="313"/>
      <c r="C94" s="321">
        <v>0</v>
      </c>
      <c r="D94" s="317">
        <v>73.606283524904214</v>
      </c>
      <c r="F94" s="312">
        <v>7180</v>
      </c>
      <c r="G94" s="7" t="s">
        <v>706</v>
      </c>
      <c r="H94">
        <v>1516.0929521920368</v>
      </c>
      <c r="I94" s="327">
        <v>7609</v>
      </c>
      <c r="J94" s="328">
        <v>1.3090459912294435E-2</v>
      </c>
    </row>
    <row r="95" spans="1:10" x14ac:dyDescent="0.2">
      <c r="A95" s="312">
        <v>8610</v>
      </c>
      <c r="B95" s="313"/>
      <c r="C95" s="321">
        <v>3.7905220306513412</v>
      </c>
      <c r="D95" s="317">
        <v>65.558069923371647</v>
      </c>
      <c r="F95" s="312">
        <v>7190</v>
      </c>
      <c r="G95" s="7" t="s">
        <v>1366</v>
      </c>
      <c r="H95">
        <v>161.39246829748322</v>
      </c>
      <c r="I95" s="327">
        <v>810</v>
      </c>
      <c r="J95" s="328">
        <v>1.39351722026002E-3</v>
      </c>
    </row>
    <row r="96" spans="1:10" x14ac:dyDescent="0.2">
      <c r="A96" s="312">
        <v>8720</v>
      </c>
      <c r="B96" s="313"/>
      <c r="C96" s="321">
        <v>27.55971743295019</v>
      </c>
      <c r="D96" s="317">
        <v>40.922437739463604</v>
      </c>
      <c r="F96" s="312">
        <v>7200</v>
      </c>
      <c r="G96" s="7" t="s">
        <v>709</v>
      </c>
      <c r="H96">
        <v>4353.611644814825</v>
      </c>
      <c r="I96" s="327">
        <v>21850</v>
      </c>
      <c r="J96" s="328">
        <v>3.7590557114421524E-2</v>
      </c>
    </row>
    <row r="97" spans="1:10" x14ac:dyDescent="0.2">
      <c r="A97" s="312">
        <v>8730</v>
      </c>
      <c r="B97" s="313"/>
      <c r="C97" s="321">
        <v>8.0482519157088124</v>
      </c>
      <c r="D97" s="317">
        <v>28.890215517241376</v>
      </c>
      <c r="F97" s="312">
        <v>7220</v>
      </c>
      <c r="G97" s="7" t="s">
        <v>711</v>
      </c>
      <c r="H97">
        <v>0</v>
      </c>
      <c r="I97" s="327"/>
      <c r="J97" s="328">
        <v>0</v>
      </c>
    </row>
    <row r="98" spans="1:10" x14ac:dyDescent="0.2">
      <c r="A98" s="312">
        <v>8740</v>
      </c>
      <c r="B98" s="313"/>
      <c r="C98" s="321">
        <v>5.8919013409961689</v>
      </c>
      <c r="D98" s="317">
        <v>10.39432950191571</v>
      </c>
      <c r="F98" s="312">
        <v>7230</v>
      </c>
      <c r="G98" s="7" t="s">
        <v>713</v>
      </c>
      <c r="H98">
        <v>5680.6163841496873</v>
      </c>
      <c r="I98" s="327">
        <v>28510</v>
      </c>
      <c r="J98" s="328">
        <v>4.90483653698928E-2</v>
      </c>
    </row>
    <row r="99" spans="1:10" x14ac:dyDescent="0.2">
      <c r="A99" s="312"/>
      <c r="B99" s="313"/>
      <c r="C99" s="346"/>
      <c r="D99" s="317"/>
      <c r="F99" s="312">
        <v>7240</v>
      </c>
      <c r="G99" s="7" t="s">
        <v>1367</v>
      </c>
      <c r="H99">
        <v>0</v>
      </c>
      <c r="I99" s="327"/>
      <c r="J99" s="328">
        <v>0</v>
      </c>
    </row>
    <row r="100" spans="1:10" x14ac:dyDescent="0.2">
      <c r="A100" s="312"/>
      <c r="B100" s="313"/>
      <c r="C100" s="346"/>
      <c r="D100" s="317"/>
      <c r="F100" s="312">
        <v>7250</v>
      </c>
      <c r="G100" s="7" t="s">
        <v>716</v>
      </c>
      <c r="H100">
        <v>0</v>
      </c>
      <c r="I100" s="327"/>
      <c r="J100" s="328">
        <v>0</v>
      </c>
    </row>
    <row r="101" spans="1:10" x14ac:dyDescent="0.2">
      <c r="A101" s="312"/>
      <c r="B101" s="313"/>
      <c r="C101" s="346"/>
      <c r="D101" s="317"/>
      <c r="F101" s="312">
        <v>7260</v>
      </c>
      <c r="G101" s="7" t="s">
        <v>1368</v>
      </c>
      <c r="H101">
        <v>0</v>
      </c>
      <c r="I101" s="327"/>
      <c r="J101" s="328">
        <v>0</v>
      </c>
    </row>
    <row r="102" spans="1:10" x14ac:dyDescent="0.2">
      <c r="A102" s="312"/>
      <c r="B102" s="313"/>
      <c r="C102" s="346"/>
      <c r="D102" s="317"/>
      <c r="F102" s="312">
        <v>7310</v>
      </c>
      <c r="G102" s="7" t="s">
        <v>719</v>
      </c>
      <c r="H102">
        <v>932.68906679076417</v>
      </c>
      <c r="I102" s="327">
        <v>4681</v>
      </c>
      <c r="J102" s="328">
        <v>8.0531532197989555E-3</v>
      </c>
    </row>
    <row r="103" spans="1:10" ht="15.75" thickBot="1" x14ac:dyDescent="0.25">
      <c r="A103" s="312"/>
      <c r="B103" s="313"/>
      <c r="C103" s="347"/>
      <c r="D103" s="322"/>
      <c r="F103" s="312">
        <v>7320</v>
      </c>
      <c r="G103" s="7" t="s">
        <v>721</v>
      </c>
      <c r="H103">
        <v>306.84493972607925</v>
      </c>
      <c r="I103" s="327">
        <v>1540</v>
      </c>
      <c r="J103" s="328">
        <v>2.6494031101239887E-3</v>
      </c>
    </row>
    <row r="104" spans="1:10" ht="15.75" thickBot="1" x14ac:dyDescent="0.25">
      <c r="A104" s="323" t="s">
        <v>1300</v>
      </c>
      <c r="B104" s="323"/>
      <c r="C104" s="324">
        <f>SUM(C68:C103)</f>
        <v>580.1503384541702</v>
      </c>
      <c r="D104" s="324">
        <f>SUM(D68:D103)</f>
        <v>2060.7667573716481</v>
      </c>
      <c r="F104" s="312">
        <v>7330</v>
      </c>
      <c r="G104" s="7" t="s">
        <v>723</v>
      </c>
      <c r="H104">
        <v>0</v>
      </c>
      <c r="I104" s="327"/>
      <c r="J104" s="328">
        <v>0</v>
      </c>
    </row>
    <row r="105" spans="1:10" ht="17.25" x14ac:dyDescent="0.35">
      <c r="C105" s="325" t="s">
        <v>1351</v>
      </c>
      <c r="D105" t="s">
        <v>1399</v>
      </c>
      <c r="F105" s="312">
        <v>7340</v>
      </c>
      <c r="G105" s="7" t="s">
        <v>1369</v>
      </c>
      <c r="H105">
        <v>0</v>
      </c>
      <c r="I105" s="327"/>
      <c r="J105" s="328">
        <v>0</v>
      </c>
    </row>
    <row r="106" spans="1:10" ht="17.25" x14ac:dyDescent="0.35">
      <c r="C106" s="326" t="s">
        <v>1352</v>
      </c>
      <c r="F106" s="312">
        <v>7350</v>
      </c>
      <c r="G106" s="7" t="s">
        <v>727</v>
      </c>
      <c r="H106">
        <v>0</v>
      </c>
      <c r="I106" s="327"/>
      <c r="J106" s="328">
        <v>0</v>
      </c>
    </row>
    <row r="107" spans="1:10" ht="17.25" x14ac:dyDescent="0.35">
      <c r="C107" s="325" t="s">
        <v>1353</v>
      </c>
      <c r="F107" s="312">
        <v>7380</v>
      </c>
      <c r="G107" s="7" t="s">
        <v>1348</v>
      </c>
      <c r="H107">
        <v>12646.793515775129</v>
      </c>
      <c r="I107" s="327">
        <f>10823+15470+1518+33287+614+1760</f>
        <v>63472</v>
      </c>
      <c r="J107" s="328">
        <v>0.10919669753622714</v>
      </c>
    </row>
    <row r="108" spans="1:10" ht="17.25" x14ac:dyDescent="0.35">
      <c r="C108" s="325" t="s">
        <v>1354</v>
      </c>
      <c r="F108" s="312">
        <v>7390</v>
      </c>
      <c r="G108" s="7" t="s">
        <v>731</v>
      </c>
      <c r="H108">
        <v>0</v>
      </c>
      <c r="I108" s="327"/>
      <c r="J108" s="328">
        <v>0</v>
      </c>
    </row>
    <row r="109" spans="1:10" x14ac:dyDescent="0.2">
      <c r="F109" s="312">
        <v>7400</v>
      </c>
      <c r="G109" s="7" t="s">
        <v>733</v>
      </c>
      <c r="H109">
        <v>0</v>
      </c>
      <c r="I109" s="327">
        <v>0</v>
      </c>
      <c r="J109" s="328">
        <v>0</v>
      </c>
    </row>
    <row r="110" spans="1:10" x14ac:dyDescent="0.2">
      <c r="F110" s="312">
        <v>7410</v>
      </c>
      <c r="G110" s="7" t="s">
        <v>1370</v>
      </c>
      <c r="H110">
        <v>0</v>
      </c>
      <c r="I110" s="327"/>
      <c r="J110" s="328">
        <v>0</v>
      </c>
    </row>
    <row r="111" spans="1:10" x14ac:dyDescent="0.2">
      <c r="F111" s="312">
        <v>7420</v>
      </c>
      <c r="G111" s="7" t="s">
        <v>1371</v>
      </c>
      <c r="H111">
        <v>0</v>
      </c>
      <c r="I111" s="327"/>
      <c r="J111" s="328">
        <v>0</v>
      </c>
    </row>
    <row r="112" spans="1:10" x14ac:dyDescent="0.2">
      <c r="F112" s="312">
        <v>7430</v>
      </c>
      <c r="G112" s="7" t="s">
        <v>1372</v>
      </c>
      <c r="H112">
        <v>0</v>
      </c>
      <c r="I112" s="327"/>
      <c r="J112" s="328">
        <v>0</v>
      </c>
    </row>
    <row r="113" spans="6:10" x14ac:dyDescent="0.2">
      <c r="F113" s="312">
        <v>7490</v>
      </c>
      <c r="G113" s="7" t="s">
        <v>740</v>
      </c>
      <c r="H113">
        <v>631.42312596879549</v>
      </c>
      <c r="I113" s="327">
        <f>2298+493+378</f>
        <v>3169</v>
      </c>
      <c r="J113" s="328">
        <v>5.4519210753135846E-3</v>
      </c>
    </row>
    <row r="114" spans="6:10" x14ac:dyDescent="0.2">
      <c r="F114" s="312">
        <v>8200</v>
      </c>
      <c r="G114" s="7" t="s">
        <v>1349</v>
      </c>
      <c r="H114">
        <v>0</v>
      </c>
      <c r="I114" s="327"/>
      <c r="J114" s="328">
        <v>0</v>
      </c>
    </row>
    <row r="115" spans="6:10" x14ac:dyDescent="0.2">
      <c r="F115" s="331">
        <v>8310</v>
      </c>
      <c r="G115" s="332" t="s">
        <v>603</v>
      </c>
      <c r="H115">
        <v>0</v>
      </c>
      <c r="I115" s="327"/>
      <c r="J115" s="328">
        <v>0</v>
      </c>
    </row>
    <row r="116" spans="6:10" x14ac:dyDescent="0.2">
      <c r="F116" s="331">
        <v>8320</v>
      </c>
      <c r="G116" s="332" t="s">
        <v>1373</v>
      </c>
      <c r="H116">
        <v>820.71058878683141</v>
      </c>
      <c r="I116" s="327">
        <f>4119+15033</f>
        <v>19152</v>
      </c>
      <c r="J116" s="328">
        <v>7.0862931237666944E-3</v>
      </c>
    </row>
    <row r="117" spans="6:10" x14ac:dyDescent="0.2">
      <c r="F117" s="331">
        <v>8330</v>
      </c>
      <c r="G117" s="332" t="s">
        <v>1374</v>
      </c>
      <c r="H117">
        <v>2995.324661624772</v>
      </c>
      <c r="I117" s="327">
        <v>0</v>
      </c>
      <c r="J117" s="328">
        <v>2.5862647373048001E-2</v>
      </c>
    </row>
    <row r="118" spans="6:10" x14ac:dyDescent="0.2">
      <c r="F118" s="312">
        <v>8350</v>
      </c>
      <c r="G118" s="7" t="s">
        <v>625</v>
      </c>
      <c r="H118">
        <v>740.81135448153407</v>
      </c>
      <c r="I118" s="327">
        <v>3718</v>
      </c>
      <c r="J118" s="328">
        <v>6.3964160801564867E-3</v>
      </c>
    </row>
    <row r="119" spans="6:10" x14ac:dyDescent="0.2">
      <c r="F119" s="312">
        <v>8360</v>
      </c>
      <c r="G119" s="7" t="s">
        <v>629</v>
      </c>
      <c r="H119">
        <v>227.94195522508738</v>
      </c>
      <c r="I119" s="327">
        <v>1144</v>
      </c>
      <c r="J119" s="328">
        <v>1.9681280246635342E-3</v>
      </c>
    </row>
    <row r="120" spans="6:10" x14ac:dyDescent="0.2">
      <c r="F120" s="312">
        <v>8370</v>
      </c>
      <c r="G120" s="7" t="s">
        <v>631</v>
      </c>
      <c r="H120">
        <v>0</v>
      </c>
      <c r="I120" s="327"/>
      <c r="J120" s="328">
        <v>0</v>
      </c>
    </row>
    <row r="121" spans="6:10" x14ac:dyDescent="0.2">
      <c r="F121" s="331">
        <v>8420</v>
      </c>
      <c r="G121" s="332" t="s">
        <v>1375</v>
      </c>
      <c r="H121">
        <v>10483.33744074541</v>
      </c>
      <c r="I121" s="327">
        <v>52614</v>
      </c>
      <c r="J121" s="328">
        <v>9.0516685218223078E-2</v>
      </c>
    </row>
    <row r="122" spans="6:10" x14ac:dyDescent="0.2">
      <c r="F122" s="331">
        <v>8430</v>
      </c>
      <c r="G122" s="332" t="s">
        <v>1376</v>
      </c>
      <c r="H122">
        <v>16208.785066088842</v>
      </c>
      <c r="I122" s="327">
        <v>81349</v>
      </c>
      <c r="J122" s="328">
        <v>0.13995213870485476</v>
      </c>
    </row>
    <row r="123" spans="6:10" x14ac:dyDescent="0.2">
      <c r="F123" s="331">
        <v>8460</v>
      </c>
      <c r="G123" s="332" t="s">
        <v>1377</v>
      </c>
      <c r="H123">
        <v>2162.2605752645527</v>
      </c>
      <c r="I123" s="327">
        <v>10852</v>
      </c>
      <c r="J123" s="328">
        <v>1.8669689968224365E-2</v>
      </c>
    </row>
    <row r="124" spans="6:10" x14ac:dyDescent="0.2">
      <c r="F124" s="331">
        <v>8470</v>
      </c>
      <c r="G124" s="332" t="s">
        <v>1378</v>
      </c>
      <c r="H124">
        <v>0</v>
      </c>
      <c r="I124" s="327"/>
      <c r="J124" s="328">
        <v>0</v>
      </c>
    </row>
    <row r="125" spans="6:10" x14ac:dyDescent="0.2">
      <c r="F125" s="312">
        <v>8480</v>
      </c>
      <c r="G125" s="7" t="s">
        <v>637</v>
      </c>
      <c r="H125">
        <v>0</v>
      </c>
      <c r="I125" s="327"/>
      <c r="J125" s="328">
        <v>0</v>
      </c>
    </row>
    <row r="126" spans="6:10" x14ac:dyDescent="0.2">
      <c r="F126" s="312">
        <v>8490</v>
      </c>
      <c r="G126" s="7" t="s">
        <v>633</v>
      </c>
      <c r="H126">
        <v>0</v>
      </c>
      <c r="I126" s="327"/>
      <c r="J126" s="328">
        <v>0</v>
      </c>
    </row>
    <row r="127" spans="6:10" x14ac:dyDescent="0.2">
      <c r="F127" s="331">
        <v>8510</v>
      </c>
      <c r="G127" s="332" t="s">
        <v>1379</v>
      </c>
      <c r="H127">
        <v>0</v>
      </c>
      <c r="I127" s="327"/>
      <c r="J127" s="328">
        <v>0</v>
      </c>
    </row>
    <row r="128" spans="6:10" x14ac:dyDescent="0.2">
      <c r="F128" s="312">
        <v>8530</v>
      </c>
      <c r="G128" s="7" t="s">
        <v>635</v>
      </c>
      <c r="H128">
        <v>0</v>
      </c>
      <c r="I128" s="327"/>
      <c r="J128" s="328">
        <v>0</v>
      </c>
    </row>
    <row r="129" spans="6:10" x14ac:dyDescent="0.2">
      <c r="F129" s="312">
        <v>8560</v>
      </c>
      <c r="G129" s="7" t="s">
        <v>1380</v>
      </c>
      <c r="H129">
        <v>0</v>
      </c>
      <c r="I129" s="327"/>
      <c r="J129" s="328">
        <v>0</v>
      </c>
    </row>
    <row r="130" spans="6:10" x14ac:dyDescent="0.2">
      <c r="F130" s="312">
        <v>8590</v>
      </c>
      <c r="G130" s="7" t="s">
        <v>1381</v>
      </c>
      <c r="H130">
        <v>0</v>
      </c>
      <c r="I130" s="327"/>
      <c r="J130" s="328">
        <v>0</v>
      </c>
    </row>
    <row r="131" spans="6:10" x14ac:dyDescent="0.2">
      <c r="F131" s="331">
        <v>8610</v>
      </c>
      <c r="G131" s="332" t="s">
        <v>608</v>
      </c>
      <c r="H131">
        <v>2152.2980772214987</v>
      </c>
      <c r="I131" s="327">
        <v>10802</v>
      </c>
      <c r="J131" s="328">
        <v>1.8583670386726835E-2</v>
      </c>
    </row>
    <row r="132" spans="6:10" x14ac:dyDescent="0.2">
      <c r="F132" s="331">
        <v>8620</v>
      </c>
      <c r="G132" s="332" t="s">
        <v>1382</v>
      </c>
      <c r="H132">
        <v>0</v>
      </c>
      <c r="I132" s="327"/>
      <c r="J132" s="328">
        <v>0</v>
      </c>
    </row>
    <row r="133" spans="6:10" x14ac:dyDescent="0.2">
      <c r="F133" s="331">
        <v>8630</v>
      </c>
      <c r="G133" s="332" t="s">
        <v>612</v>
      </c>
      <c r="H133">
        <v>0</v>
      </c>
      <c r="I133" s="327"/>
      <c r="J133" s="328">
        <v>0</v>
      </c>
    </row>
    <row r="134" spans="6:10" x14ac:dyDescent="0.2">
      <c r="F134" s="331">
        <v>8640</v>
      </c>
      <c r="G134" s="332" t="s">
        <v>616</v>
      </c>
      <c r="H134">
        <v>0</v>
      </c>
      <c r="I134" s="327"/>
      <c r="J134" s="328">
        <v>0</v>
      </c>
    </row>
    <row r="135" spans="6:10" x14ac:dyDescent="0.2">
      <c r="F135" s="331">
        <v>8650</v>
      </c>
      <c r="G135" s="332" t="s">
        <v>1383</v>
      </c>
      <c r="H135">
        <v>793.41334414886194</v>
      </c>
      <c r="I135" s="333">
        <v>3982</v>
      </c>
      <c r="J135" s="328">
        <v>6.8505994704634561E-3</v>
      </c>
    </row>
    <row r="136" spans="6:10" x14ac:dyDescent="0.2">
      <c r="F136" s="312">
        <v>8660</v>
      </c>
      <c r="G136" s="7" t="s">
        <v>642</v>
      </c>
      <c r="H136">
        <v>847.01158362049534</v>
      </c>
      <c r="I136" s="327">
        <f>2398+1853</f>
        <v>4251</v>
      </c>
      <c r="J136" s="328">
        <v>7.3133848189201791E-3</v>
      </c>
    </row>
    <row r="137" spans="6:10" x14ac:dyDescent="0.2">
      <c r="F137" s="312">
        <v>8670</v>
      </c>
      <c r="G137" s="7" t="s">
        <v>644</v>
      </c>
      <c r="H137">
        <v>0</v>
      </c>
      <c r="I137" s="327"/>
      <c r="J137" s="328">
        <v>0</v>
      </c>
    </row>
    <row r="138" spans="6:10" x14ac:dyDescent="0.2">
      <c r="F138" s="312">
        <v>8680</v>
      </c>
      <c r="G138" s="7" t="s">
        <v>646</v>
      </c>
      <c r="H138">
        <v>535.58389479461096</v>
      </c>
      <c r="I138" s="327">
        <v>2688</v>
      </c>
      <c r="J138" s="328">
        <v>4.6244127013073252E-3</v>
      </c>
    </row>
    <row r="139" spans="6:10" x14ac:dyDescent="0.2">
      <c r="F139" s="312">
        <v>8690</v>
      </c>
      <c r="G139" s="7" t="s">
        <v>648</v>
      </c>
      <c r="H139">
        <v>1501.3484550883161</v>
      </c>
      <c r="I139" s="327">
        <v>7535</v>
      </c>
      <c r="J139" s="328">
        <v>1.2963150931678087E-2</v>
      </c>
    </row>
    <row r="140" spans="6:10" x14ac:dyDescent="0.2">
      <c r="F140" s="312">
        <v>8700</v>
      </c>
      <c r="G140" s="7" t="s">
        <v>650</v>
      </c>
      <c r="H140">
        <v>0</v>
      </c>
      <c r="I140" s="327"/>
      <c r="J140" s="328">
        <v>0</v>
      </c>
    </row>
    <row r="141" spans="6:10" x14ac:dyDescent="0.2">
      <c r="F141" s="312">
        <v>8710</v>
      </c>
      <c r="G141" s="7" t="s">
        <v>1350</v>
      </c>
      <c r="H141">
        <v>0</v>
      </c>
      <c r="I141" s="327"/>
      <c r="J141" s="328">
        <v>0</v>
      </c>
    </row>
    <row r="142" spans="6:10" x14ac:dyDescent="0.2">
      <c r="F142" s="312">
        <v>8720</v>
      </c>
      <c r="G142" s="7" t="s">
        <v>654</v>
      </c>
      <c r="H142">
        <v>525.42214679069536</v>
      </c>
      <c r="I142" s="327">
        <v>2637</v>
      </c>
      <c r="J142" s="328">
        <v>4.5366727281798431E-3</v>
      </c>
    </row>
    <row r="143" spans="6:10" x14ac:dyDescent="0.2">
      <c r="F143" s="312">
        <v>8730</v>
      </c>
      <c r="G143" s="7" t="s">
        <v>656</v>
      </c>
      <c r="H143">
        <v>0</v>
      </c>
      <c r="I143" s="327"/>
      <c r="J143" s="328">
        <v>0</v>
      </c>
    </row>
    <row r="144" spans="6:10" x14ac:dyDescent="0.2">
      <c r="F144" s="334">
        <v>8740</v>
      </c>
      <c r="G144" s="119" t="s">
        <v>658</v>
      </c>
      <c r="H144" s="335">
        <v>369.21017747560052</v>
      </c>
      <c r="I144" s="336">
        <v>1853</v>
      </c>
      <c r="J144" s="337">
        <v>3.1878856902985394E-3</v>
      </c>
    </row>
    <row r="145" spans="6:10" x14ac:dyDescent="0.2">
      <c r="G145" s="338" t="s">
        <v>203</v>
      </c>
      <c r="H145">
        <f>SUM(H68:H144)</f>
        <v>115816.46137782723</v>
      </c>
      <c r="I145" s="339">
        <f>SUM(I68:I144)</f>
        <v>581263</v>
      </c>
      <c r="J145" s="340">
        <f>SUM(J68:J144)</f>
        <v>1.0000031978639616</v>
      </c>
    </row>
    <row r="146" spans="6:10" x14ac:dyDescent="0.2">
      <c r="H146" s="341" t="s">
        <v>1384</v>
      </c>
      <c r="I146">
        <f>-I135</f>
        <v>-3982</v>
      </c>
    </row>
    <row r="147" spans="6:10" x14ac:dyDescent="0.2">
      <c r="H147" s="341" t="s">
        <v>1385</v>
      </c>
      <c r="I147" s="342">
        <f>+I145+I146</f>
        <v>577281</v>
      </c>
    </row>
    <row r="148" spans="6:10" x14ac:dyDescent="0.2">
      <c r="I148" t="s">
        <v>1386</v>
      </c>
    </row>
    <row r="149" spans="6:10" ht="15.75" thickBot="1" x14ac:dyDescent="0.25">
      <c r="G149" t="s">
        <v>1387</v>
      </c>
    </row>
    <row r="150" spans="6:10" x14ac:dyDescent="0.2">
      <c r="F150" s="306"/>
      <c r="G150" s="306"/>
      <c r="H150" s="306"/>
      <c r="I150" s="307"/>
      <c r="J150" s="307"/>
    </row>
    <row r="151" spans="6:10" x14ac:dyDescent="0.2">
      <c r="F151" s="308" t="s">
        <v>1302</v>
      </c>
      <c r="G151" s="309" t="s">
        <v>212</v>
      </c>
      <c r="H151" s="308" t="s">
        <v>1188</v>
      </c>
      <c r="I151" s="309" t="s">
        <v>1355</v>
      </c>
      <c r="J151" s="309" t="s">
        <v>1356</v>
      </c>
    </row>
    <row r="152" spans="6:10" x14ac:dyDescent="0.2">
      <c r="F152" s="312">
        <v>6010</v>
      </c>
      <c r="G152" s="7" t="s">
        <v>283</v>
      </c>
      <c r="H152">
        <v>2532.0644949715784</v>
      </c>
      <c r="I152" s="327">
        <v>8800</v>
      </c>
      <c r="J152" s="328">
        <v>2.1862702229995628E-2</v>
      </c>
    </row>
    <row r="153" spans="6:10" x14ac:dyDescent="0.2">
      <c r="F153" s="312">
        <v>6030</v>
      </c>
      <c r="G153" s="7" t="s">
        <v>284</v>
      </c>
      <c r="H153">
        <v>0</v>
      </c>
      <c r="I153" s="327"/>
      <c r="J153" s="328">
        <v>0</v>
      </c>
    </row>
    <row r="154" spans="6:10" x14ac:dyDescent="0.2">
      <c r="F154" s="312">
        <v>6070</v>
      </c>
      <c r="G154" s="7" t="s">
        <v>665</v>
      </c>
      <c r="H154">
        <v>25979.557187611797</v>
      </c>
      <c r="I154" s="327">
        <v>90290</v>
      </c>
      <c r="J154" s="328">
        <v>0.22431629367571651</v>
      </c>
    </row>
    <row r="155" spans="6:10" x14ac:dyDescent="0.2">
      <c r="F155" s="312">
        <v>6100</v>
      </c>
      <c r="G155" s="7" t="s">
        <v>1357</v>
      </c>
      <c r="H155">
        <v>0</v>
      </c>
      <c r="I155" s="327"/>
      <c r="J155" s="328">
        <v>0</v>
      </c>
    </row>
    <row r="156" spans="6:10" x14ac:dyDescent="0.2">
      <c r="F156" s="312">
        <v>6120</v>
      </c>
      <c r="G156" s="7" t="s">
        <v>1358</v>
      </c>
      <c r="H156">
        <v>0</v>
      </c>
      <c r="I156" s="327"/>
      <c r="J156" s="328">
        <v>0</v>
      </c>
    </row>
    <row r="157" spans="6:10" x14ac:dyDescent="0.2">
      <c r="F157" s="312">
        <v>6140</v>
      </c>
      <c r="G157" s="7" t="s">
        <v>671</v>
      </c>
      <c r="H157">
        <v>0</v>
      </c>
      <c r="I157" s="327"/>
      <c r="J157" s="328">
        <v>0</v>
      </c>
    </row>
    <row r="158" spans="6:10" x14ac:dyDescent="0.2">
      <c r="F158" s="312">
        <v>6150</v>
      </c>
      <c r="G158" s="7" t="s">
        <v>1045</v>
      </c>
      <c r="H158">
        <v>0</v>
      </c>
      <c r="I158" s="327"/>
      <c r="J158" s="328">
        <v>0</v>
      </c>
    </row>
    <row r="159" spans="6:10" x14ac:dyDescent="0.2">
      <c r="F159" s="312">
        <v>6170</v>
      </c>
      <c r="G159" s="329" t="s">
        <v>1359</v>
      </c>
      <c r="H159">
        <v>0</v>
      </c>
      <c r="I159" s="330">
        <v>0</v>
      </c>
      <c r="J159" s="328">
        <v>0</v>
      </c>
    </row>
    <row r="160" spans="6:10" x14ac:dyDescent="0.2">
      <c r="F160" s="312">
        <v>6200</v>
      </c>
      <c r="G160" s="7" t="s">
        <v>288</v>
      </c>
      <c r="H160">
        <v>0</v>
      </c>
      <c r="I160" s="327"/>
      <c r="J160" s="328">
        <v>0</v>
      </c>
    </row>
    <row r="161" spans="6:10" x14ac:dyDescent="0.2">
      <c r="F161" s="312">
        <v>6210</v>
      </c>
      <c r="G161" s="7" t="s">
        <v>289</v>
      </c>
      <c r="H161">
        <v>0</v>
      </c>
      <c r="I161" s="327"/>
      <c r="J161" s="328">
        <v>0</v>
      </c>
    </row>
    <row r="162" spans="6:10" x14ac:dyDescent="0.2">
      <c r="F162" s="312">
        <v>6330</v>
      </c>
      <c r="G162" s="7" t="s">
        <v>1360</v>
      </c>
      <c r="H162">
        <v>0</v>
      </c>
      <c r="I162" s="327"/>
      <c r="J162" s="328">
        <v>0</v>
      </c>
    </row>
    <row r="163" spans="6:10" x14ac:dyDescent="0.2">
      <c r="F163" s="312">
        <v>6400</v>
      </c>
      <c r="G163" s="7" t="s">
        <v>680</v>
      </c>
      <c r="H163">
        <v>0</v>
      </c>
      <c r="I163" s="327"/>
      <c r="J163" s="328">
        <v>0</v>
      </c>
    </row>
    <row r="164" spans="6:10" x14ac:dyDescent="0.2">
      <c r="F164" s="312">
        <v>7010</v>
      </c>
      <c r="G164" s="329" t="s">
        <v>1361</v>
      </c>
      <c r="H164">
        <v>4616</v>
      </c>
      <c r="I164" s="330">
        <v>16041</v>
      </c>
      <c r="J164" s="328">
        <v>3.9899999999999998E-2</v>
      </c>
    </row>
    <row r="165" spans="6:10" x14ac:dyDescent="0.2">
      <c r="F165" s="312">
        <v>7020</v>
      </c>
      <c r="G165" s="7" t="s">
        <v>684</v>
      </c>
      <c r="H165">
        <v>16915.341764816945</v>
      </c>
      <c r="I165" s="327">
        <v>58788</v>
      </c>
      <c r="J165" s="328">
        <v>0.14605278848829351</v>
      </c>
    </row>
    <row r="166" spans="6:10" x14ac:dyDescent="0.2">
      <c r="F166" s="312">
        <v>7030</v>
      </c>
      <c r="G166" s="7" t="s">
        <v>686</v>
      </c>
      <c r="H166">
        <v>2482.2864088772508</v>
      </c>
      <c r="I166" s="327">
        <v>8627</v>
      </c>
      <c r="J166" s="328">
        <v>2.143290137933776E-2</v>
      </c>
    </row>
    <row r="167" spans="6:10" x14ac:dyDescent="0.2">
      <c r="F167" s="312">
        <v>7040</v>
      </c>
      <c r="G167" s="7" t="s">
        <v>1362</v>
      </c>
      <c r="H167">
        <v>33.377213797352617</v>
      </c>
      <c r="I167" s="327">
        <v>116</v>
      </c>
      <c r="J167" s="328">
        <v>2.8819016575903325E-4</v>
      </c>
    </row>
    <row r="168" spans="6:10" x14ac:dyDescent="0.2">
      <c r="F168" s="312">
        <v>7050</v>
      </c>
      <c r="G168" s="7" t="s">
        <v>689</v>
      </c>
      <c r="H168">
        <v>2422.4376117233769</v>
      </c>
      <c r="I168" s="327">
        <v>8419</v>
      </c>
      <c r="J168" s="328">
        <v>2.0916146599356044E-2</v>
      </c>
    </row>
    <row r="169" spans="6:10" x14ac:dyDescent="0.2">
      <c r="F169" s="312">
        <v>7060</v>
      </c>
      <c r="G169" s="7" t="s">
        <v>691</v>
      </c>
      <c r="H169">
        <v>0</v>
      </c>
      <c r="I169" s="327"/>
      <c r="J169" s="328">
        <v>0</v>
      </c>
    </row>
    <row r="170" spans="6:10" x14ac:dyDescent="0.2">
      <c r="F170" s="312">
        <v>7070</v>
      </c>
      <c r="G170" s="7" t="s">
        <v>1363</v>
      </c>
      <c r="H170">
        <v>3848.1625631533966</v>
      </c>
      <c r="I170" s="327">
        <v>13374</v>
      </c>
      <c r="J170" s="328">
        <v>3.3226338593631992E-2</v>
      </c>
    </row>
    <row r="171" spans="6:10" x14ac:dyDescent="0.2">
      <c r="F171" s="312">
        <v>7110</v>
      </c>
      <c r="G171" s="7" t="s">
        <v>1345</v>
      </c>
      <c r="H171">
        <v>0</v>
      </c>
      <c r="I171" s="327"/>
      <c r="J171" s="328">
        <v>0</v>
      </c>
    </row>
    <row r="172" spans="6:10" x14ac:dyDescent="0.2">
      <c r="F172" s="312">
        <v>7120</v>
      </c>
      <c r="G172" s="7" t="s">
        <v>1364</v>
      </c>
      <c r="H172">
        <v>630.71424692928406</v>
      </c>
      <c r="I172" s="327">
        <v>2192</v>
      </c>
      <c r="J172" s="328">
        <v>5.445800373653456E-3</v>
      </c>
    </row>
    <row r="173" spans="6:10" x14ac:dyDescent="0.2">
      <c r="F173" s="312">
        <v>7130</v>
      </c>
      <c r="G173" s="7" t="s">
        <v>698</v>
      </c>
      <c r="H173">
        <v>0</v>
      </c>
      <c r="I173" s="327"/>
      <c r="J173" s="328">
        <v>0</v>
      </c>
    </row>
    <row r="174" spans="6:10" x14ac:dyDescent="0.2">
      <c r="F174" s="312">
        <v>7140</v>
      </c>
      <c r="G174" s="7" t="s">
        <v>1346</v>
      </c>
      <c r="H174">
        <v>6638.9004650544575</v>
      </c>
      <c r="I174" s="327">
        <v>23073</v>
      </c>
      <c r="J174" s="328">
        <v>5.7322514608260128E-2</v>
      </c>
    </row>
    <row r="175" spans="6:10" x14ac:dyDescent="0.2">
      <c r="F175" s="312">
        <v>7150</v>
      </c>
      <c r="G175" s="7" t="s">
        <v>1347</v>
      </c>
      <c r="H175">
        <v>3387.49946582959</v>
      </c>
      <c r="I175" s="327">
        <v>11773</v>
      </c>
      <c r="J175" s="328">
        <v>2.9248817426561196E-2</v>
      </c>
    </row>
    <row r="176" spans="6:10" x14ac:dyDescent="0.2">
      <c r="F176" s="312">
        <v>7160</v>
      </c>
      <c r="G176" s="7" t="s">
        <v>703</v>
      </c>
      <c r="H176">
        <v>0</v>
      </c>
      <c r="I176" s="327"/>
      <c r="J176" s="328">
        <v>0</v>
      </c>
    </row>
    <row r="177" spans="6:10" x14ac:dyDescent="0.2">
      <c r="F177" s="312">
        <v>7170</v>
      </c>
      <c r="G177" s="7" t="s">
        <v>1365</v>
      </c>
      <c r="H177">
        <v>1597.5025086457049</v>
      </c>
      <c r="I177" s="327">
        <v>5552</v>
      </c>
      <c r="J177" s="328">
        <v>1.3793377588742696E-2</v>
      </c>
    </row>
    <row r="178" spans="6:10" x14ac:dyDescent="0.2">
      <c r="F178" s="312">
        <v>7180</v>
      </c>
      <c r="G178" s="7" t="s">
        <v>706</v>
      </c>
      <c r="H178">
        <v>2189.3725843453112</v>
      </c>
      <c r="I178" s="327">
        <v>7609</v>
      </c>
      <c r="J178" s="328">
        <v>1.8903784235004172E-2</v>
      </c>
    </row>
    <row r="179" spans="6:10" x14ac:dyDescent="0.2">
      <c r="F179" s="312">
        <v>7190</v>
      </c>
      <c r="G179" s="7" t="s">
        <v>1366</v>
      </c>
      <c r="H179">
        <v>233.06502737806576</v>
      </c>
      <c r="I179" s="327">
        <v>810</v>
      </c>
      <c r="J179" s="328">
        <v>2.0123623643518705E-3</v>
      </c>
    </row>
    <row r="180" spans="6:10" x14ac:dyDescent="0.2">
      <c r="F180" s="312">
        <v>7200</v>
      </c>
      <c r="G180" s="7" t="s">
        <v>709</v>
      </c>
      <c r="H180">
        <v>6287.0010471737487</v>
      </c>
      <c r="I180" s="327">
        <v>21850</v>
      </c>
      <c r="J180" s="328">
        <v>5.4284095877886872E-2</v>
      </c>
    </row>
    <row r="181" spans="6:10" x14ac:dyDescent="0.2">
      <c r="F181" s="312">
        <v>7220</v>
      </c>
      <c r="G181" s="7" t="s">
        <v>711</v>
      </c>
      <c r="H181">
        <v>0</v>
      </c>
      <c r="I181" s="327"/>
      <c r="J181" s="328">
        <v>0</v>
      </c>
    </row>
    <row r="182" spans="6:10" x14ac:dyDescent="0.2">
      <c r="F182" s="312">
        <v>7230</v>
      </c>
      <c r="G182" s="7" t="s">
        <v>713</v>
      </c>
      <c r="H182">
        <v>8203.3134945045094</v>
      </c>
      <c r="I182" s="327">
        <v>28510</v>
      </c>
      <c r="J182" s="328">
        <v>7.0830186429224465E-2</v>
      </c>
    </row>
    <row r="183" spans="6:10" x14ac:dyDescent="0.2">
      <c r="F183" s="312">
        <v>7240</v>
      </c>
      <c r="G183" s="7" t="s">
        <v>1367</v>
      </c>
      <c r="H183">
        <v>0</v>
      </c>
      <c r="I183" s="327"/>
      <c r="J183" s="328">
        <v>0</v>
      </c>
    </row>
    <row r="184" spans="6:10" x14ac:dyDescent="0.2">
      <c r="F184" s="312">
        <v>7250</v>
      </c>
      <c r="G184" s="7" t="s">
        <v>716</v>
      </c>
      <c r="H184">
        <v>0</v>
      </c>
      <c r="I184" s="327"/>
      <c r="J184" s="328">
        <v>0</v>
      </c>
    </row>
    <row r="185" spans="6:10" x14ac:dyDescent="0.2">
      <c r="F185" s="312">
        <v>7260</v>
      </c>
      <c r="G185" s="7" t="s">
        <v>1368</v>
      </c>
      <c r="H185">
        <v>0</v>
      </c>
      <c r="I185" s="327"/>
      <c r="J185" s="328">
        <v>0</v>
      </c>
    </row>
    <row r="186" spans="6:10" x14ac:dyDescent="0.2">
      <c r="F186" s="312">
        <v>7310</v>
      </c>
      <c r="G186" s="7" t="s">
        <v>719</v>
      </c>
      <c r="H186">
        <v>1346.8856705638589</v>
      </c>
      <c r="I186" s="327">
        <v>4681</v>
      </c>
      <c r="J186" s="328">
        <v>1.1629466947569266E-2</v>
      </c>
    </row>
    <row r="187" spans="6:10" x14ac:dyDescent="0.2">
      <c r="F187" s="312">
        <v>7320</v>
      </c>
      <c r="G187" s="7" t="s">
        <v>721</v>
      </c>
      <c r="H187">
        <v>443.11128662002619</v>
      </c>
      <c r="I187" s="327">
        <v>1540</v>
      </c>
      <c r="J187" s="328">
        <v>3.825972890249235E-3</v>
      </c>
    </row>
    <row r="188" spans="6:10" x14ac:dyDescent="0.2">
      <c r="F188" s="312">
        <v>7330</v>
      </c>
      <c r="G188" s="7" t="s">
        <v>723</v>
      </c>
      <c r="H188">
        <v>0</v>
      </c>
      <c r="I188" s="327"/>
      <c r="J188" s="328">
        <v>0</v>
      </c>
    </row>
    <row r="189" spans="6:10" x14ac:dyDescent="0.2">
      <c r="F189" s="312">
        <v>7340</v>
      </c>
      <c r="G189" s="7" t="s">
        <v>1369</v>
      </c>
      <c r="H189">
        <v>0</v>
      </c>
      <c r="I189" s="327"/>
      <c r="J189" s="328">
        <v>0</v>
      </c>
    </row>
    <row r="190" spans="6:10" x14ac:dyDescent="0.2">
      <c r="F190" s="312">
        <v>7350</v>
      </c>
      <c r="G190" s="7" t="s">
        <v>727</v>
      </c>
      <c r="H190">
        <v>0</v>
      </c>
      <c r="I190" s="327"/>
      <c r="J190" s="328">
        <v>0</v>
      </c>
    </row>
    <row r="191" spans="6:10" x14ac:dyDescent="0.2">
      <c r="F191" s="312">
        <v>7380</v>
      </c>
      <c r="G191" s="7" t="s">
        <v>1348</v>
      </c>
      <c r="H191">
        <v>18263.09063918591</v>
      </c>
      <c r="I191" s="327">
        <v>63472</v>
      </c>
      <c r="J191" s="328">
        <v>0.15768970862980483</v>
      </c>
    </row>
    <row r="192" spans="6:10" x14ac:dyDescent="0.2">
      <c r="F192" s="312">
        <v>7390</v>
      </c>
      <c r="G192" s="7" t="s">
        <v>731</v>
      </c>
      <c r="H192">
        <v>0</v>
      </c>
      <c r="I192" s="327"/>
      <c r="J192" s="328">
        <v>0</v>
      </c>
    </row>
    <row r="193" spans="6:10" x14ac:dyDescent="0.2">
      <c r="F193" s="312">
        <v>7400</v>
      </c>
      <c r="G193" s="7" t="s">
        <v>733</v>
      </c>
      <c r="H193">
        <v>0</v>
      </c>
      <c r="I193" s="327">
        <v>0</v>
      </c>
      <c r="J193" s="328">
        <v>0</v>
      </c>
    </row>
    <row r="194" spans="6:10" x14ac:dyDescent="0.2">
      <c r="F194" s="312">
        <v>7410</v>
      </c>
      <c r="G194" s="7" t="s">
        <v>1370</v>
      </c>
      <c r="H194">
        <v>0</v>
      </c>
      <c r="I194" s="327"/>
      <c r="J194" s="328">
        <v>0</v>
      </c>
    </row>
    <row r="195" spans="6:10" x14ac:dyDescent="0.2">
      <c r="F195" s="312">
        <v>7420</v>
      </c>
      <c r="G195" s="7" t="s">
        <v>1371</v>
      </c>
      <c r="H195">
        <v>0</v>
      </c>
      <c r="I195" s="327"/>
      <c r="J195" s="328">
        <v>0</v>
      </c>
    </row>
    <row r="196" spans="6:10" x14ac:dyDescent="0.2">
      <c r="F196" s="312">
        <v>7430</v>
      </c>
      <c r="G196" s="7" t="s">
        <v>1372</v>
      </c>
      <c r="H196">
        <v>0</v>
      </c>
      <c r="I196" s="327"/>
      <c r="J196" s="328">
        <v>0</v>
      </c>
    </row>
    <row r="197" spans="6:10" x14ac:dyDescent="0.2">
      <c r="F197" s="312">
        <v>7490</v>
      </c>
      <c r="G197" s="7" t="s">
        <v>740</v>
      </c>
      <c r="H197">
        <v>911.8309527914696</v>
      </c>
      <c r="I197" s="327">
        <v>3169</v>
      </c>
      <c r="J197" s="328">
        <v>7.8730572007791079E-3</v>
      </c>
    </row>
    <row r="198" spans="6:10" x14ac:dyDescent="0.2">
      <c r="F198" s="312">
        <v>8200</v>
      </c>
      <c r="G198" s="7" t="s">
        <v>1349</v>
      </c>
      <c r="H198">
        <v>0</v>
      </c>
      <c r="I198" s="327"/>
      <c r="J198" s="328">
        <v>0</v>
      </c>
    </row>
    <row r="199" spans="6:10" x14ac:dyDescent="0.2">
      <c r="F199" s="331">
        <v>8310</v>
      </c>
      <c r="G199" s="332" t="s">
        <v>603</v>
      </c>
      <c r="H199">
        <v>0</v>
      </c>
      <c r="I199" s="327"/>
      <c r="J199" s="328">
        <v>0</v>
      </c>
    </row>
    <row r="200" spans="6:10" x14ac:dyDescent="0.2">
      <c r="F200" s="331">
        <v>8320</v>
      </c>
      <c r="G200" s="332" t="s">
        <v>1373</v>
      </c>
      <c r="H200">
        <v>0</v>
      </c>
      <c r="I200" s="327">
        <v>0</v>
      </c>
      <c r="J200" s="328">
        <v>0</v>
      </c>
    </row>
    <row r="201" spans="6:10" x14ac:dyDescent="0.2">
      <c r="F201" s="331">
        <v>8330</v>
      </c>
      <c r="G201" s="332" t="s">
        <v>1374</v>
      </c>
      <c r="H201">
        <v>0</v>
      </c>
      <c r="I201" s="327">
        <v>0</v>
      </c>
      <c r="J201" s="328">
        <v>0</v>
      </c>
    </row>
    <row r="202" spans="6:10" x14ac:dyDescent="0.2">
      <c r="F202" s="312">
        <v>8350</v>
      </c>
      <c r="G202" s="7" t="s">
        <v>625</v>
      </c>
      <c r="H202">
        <v>1069.7972491254918</v>
      </c>
      <c r="I202" s="327">
        <v>3718</v>
      </c>
      <c r="J202" s="328">
        <v>9.2369916921731521E-3</v>
      </c>
    </row>
    <row r="203" spans="6:10" x14ac:dyDescent="0.2">
      <c r="F203" s="312">
        <v>8360</v>
      </c>
      <c r="G203" s="7" t="s">
        <v>629</v>
      </c>
      <c r="H203">
        <v>329.16838434630517</v>
      </c>
      <c r="I203" s="327">
        <v>1144</v>
      </c>
      <c r="J203" s="328">
        <v>2.8421512898994315E-3</v>
      </c>
    </row>
    <row r="204" spans="6:10" x14ac:dyDescent="0.2">
      <c r="F204" s="312">
        <v>8370</v>
      </c>
      <c r="G204" s="7" t="s">
        <v>631</v>
      </c>
      <c r="H204">
        <v>0</v>
      </c>
      <c r="I204" s="327"/>
      <c r="J204" s="328">
        <v>0</v>
      </c>
    </row>
    <row r="205" spans="6:10" x14ac:dyDescent="0.2">
      <c r="F205" s="331">
        <v>8420</v>
      </c>
      <c r="G205" s="332" t="s">
        <v>1375</v>
      </c>
      <c r="H205">
        <v>0</v>
      </c>
      <c r="I205" s="327">
        <v>0</v>
      </c>
      <c r="J205" s="328">
        <v>0</v>
      </c>
    </row>
    <row r="206" spans="6:10" x14ac:dyDescent="0.2">
      <c r="F206" s="331">
        <v>8430</v>
      </c>
      <c r="G206" s="332" t="s">
        <v>1376</v>
      </c>
      <c r="H206">
        <v>0</v>
      </c>
      <c r="I206" s="327">
        <v>0</v>
      </c>
      <c r="J206" s="328">
        <v>0</v>
      </c>
    </row>
    <row r="207" spans="6:10" x14ac:dyDescent="0.2">
      <c r="F207" s="331">
        <v>8460</v>
      </c>
      <c r="G207" s="332" t="s">
        <v>1377</v>
      </c>
      <c r="H207">
        <v>0</v>
      </c>
      <c r="I207" s="327">
        <v>0</v>
      </c>
      <c r="J207" s="328">
        <v>0</v>
      </c>
    </row>
    <row r="208" spans="6:10" x14ac:dyDescent="0.2">
      <c r="F208" s="331">
        <v>8470</v>
      </c>
      <c r="G208" s="332" t="s">
        <v>1378</v>
      </c>
      <c r="H208">
        <v>0</v>
      </c>
      <c r="I208" s="327"/>
      <c r="J208" s="328">
        <v>0</v>
      </c>
    </row>
    <row r="209" spans="6:10" x14ac:dyDescent="0.2">
      <c r="F209" s="312">
        <v>8480</v>
      </c>
      <c r="G209" s="7" t="s">
        <v>637</v>
      </c>
      <c r="H209">
        <v>0</v>
      </c>
      <c r="I209" s="327"/>
      <c r="J209" s="328">
        <v>0</v>
      </c>
    </row>
    <row r="210" spans="6:10" x14ac:dyDescent="0.2">
      <c r="F210" s="312">
        <v>8490</v>
      </c>
      <c r="G210" s="7" t="s">
        <v>633</v>
      </c>
      <c r="H210">
        <v>0</v>
      </c>
      <c r="I210" s="327"/>
      <c r="J210" s="328">
        <v>0</v>
      </c>
    </row>
    <row r="211" spans="6:10" x14ac:dyDescent="0.2">
      <c r="F211" s="331">
        <v>8510</v>
      </c>
      <c r="G211" s="332" t="s">
        <v>1379</v>
      </c>
      <c r="H211">
        <v>0</v>
      </c>
      <c r="I211" s="327"/>
      <c r="J211" s="328">
        <v>0</v>
      </c>
    </row>
    <row r="212" spans="6:10" x14ac:dyDescent="0.2">
      <c r="F212" s="312">
        <v>8530</v>
      </c>
      <c r="G212" s="7" t="s">
        <v>635</v>
      </c>
      <c r="H212">
        <v>0</v>
      </c>
      <c r="I212" s="327"/>
      <c r="J212" s="328">
        <v>0</v>
      </c>
    </row>
    <row r="213" spans="6:10" x14ac:dyDescent="0.2">
      <c r="F213" s="312">
        <v>8560</v>
      </c>
      <c r="G213" s="7" t="s">
        <v>1380</v>
      </c>
      <c r="H213">
        <v>0</v>
      </c>
      <c r="I213" s="327"/>
      <c r="J213" s="328">
        <v>0</v>
      </c>
    </row>
    <row r="214" spans="6:10" x14ac:dyDescent="0.2">
      <c r="F214" s="312">
        <v>8590</v>
      </c>
      <c r="G214" s="7" t="s">
        <v>1381</v>
      </c>
      <c r="H214">
        <v>0</v>
      </c>
      <c r="I214" s="327"/>
      <c r="J214" s="328">
        <v>0</v>
      </c>
    </row>
    <row r="215" spans="6:10" x14ac:dyDescent="0.2">
      <c r="F215" s="331">
        <v>8610</v>
      </c>
      <c r="G215" s="332" t="s">
        <v>608</v>
      </c>
      <c r="H215">
        <v>0</v>
      </c>
      <c r="I215" s="327">
        <v>0</v>
      </c>
      <c r="J215" s="328">
        <v>0</v>
      </c>
    </row>
    <row r="216" spans="6:10" x14ac:dyDescent="0.2">
      <c r="F216" s="331">
        <v>8620</v>
      </c>
      <c r="G216" s="332" t="s">
        <v>1382</v>
      </c>
      <c r="H216">
        <v>0</v>
      </c>
      <c r="I216" s="327"/>
      <c r="J216" s="328">
        <v>0</v>
      </c>
    </row>
    <row r="217" spans="6:10" x14ac:dyDescent="0.2">
      <c r="F217" s="331">
        <v>8630</v>
      </c>
      <c r="G217" s="332" t="s">
        <v>612</v>
      </c>
      <c r="H217">
        <v>0</v>
      </c>
      <c r="I217" s="327"/>
      <c r="J217" s="328">
        <v>0</v>
      </c>
    </row>
    <row r="218" spans="6:10" x14ac:dyDescent="0.2">
      <c r="F218" s="331">
        <v>8640</v>
      </c>
      <c r="G218" s="332" t="s">
        <v>616</v>
      </c>
      <c r="H218">
        <v>0</v>
      </c>
      <c r="I218" s="327"/>
      <c r="J218" s="328">
        <v>0</v>
      </c>
    </row>
    <row r="219" spans="6:10" x14ac:dyDescent="0.2">
      <c r="F219" s="331">
        <v>8650</v>
      </c>
      <c r="G219" s="332" t="s">
        <v>1383</v>
      </c>
      <c r="H219">
        <v>0</v>
      </c>
      <c r="I219" s="327">
        <v>0</v>
      </c>
      <c r="J219" s="328">
        <v>0</v>
      </c>
    </row>
    <row r="220" spans="6:10" x14ac:dyDescent="0.2">
      <c r="F220" s="312">
        <v>8660</v>
      </c>
      <c r="G220" s="7" t="s">
        <v>642</v>
      </c>
      <c r="H220">
        <v>1223.159791832293</v>
      </c>
      <c r="I220" s="327">
        <v>4251</v>
      </c>
      <c r="J220" s="328">
        <v>1.0561175815876296E-2</v>
      </c>
    </row>
    <row r="221" spans="6:10" x14ac:dyDescent="0.2">
      <c r="F221" s="312">
        <v>8670</v>
      </c>
      <c r="G221" s="7" t="s">
        <v>644</v>
      </c>
      <c r="H221">
        <v>0</v>
      </c>
      <c r="I221" s="327"/>
      <c r="J221" s="328">
        <v>0</v>
      </c>
    </row>
    <row r="222" spans="6:10" x14ac:dyDescent="0.2">
      <c r="F222" s="312">
        <v>8680</v>
      </c>
      <c r="G222" s="7" t="s">
        <v>646</v>
      </c>
      <c r="H222">
        <v>773.43060937313669</v>
      </c>
      <c r="I222" s="327">
        <v>2688</v>
      </c>
      <c r="J222" s="328">
        <v>6.678061772071392E-3</v>
      </c>
    </row>
    <row r="223" spans="6:10" x14ac:dyDescent="0.2">
      <c r="F223" s="312">
        <v>8690</v>
      </c>
      <c r="G223" s="7" t="s">
        <v>648</v>
      </c>
      <c r="H223">
        <v>2168.0802238194137</v>
      </c>
      <c r="I223" s="327">
        <v>7535</v>
      </c>
      <c r="J223" s="328">
        <v>1.8719938784433756E-2</v>
      </c>
    </row>
    <row r="224" spans="6:10" x14ac:dyDescent="0.2">
      <c r="F224" s="312">
        <v>8700</v>
      </c>
      <c r="G224" s="7" t="s">
        <v>650</v>
      </c>
      <c r="H224">
        <v>0</v>
      </c>
      <c r="I224" s="327"/>
      <c r="J224" s="328">
        <v>0</v>
      </c>
    </row>
    <row r="225" spans="6:10" x14ac:dyDescent="0.2">
      <c r="F225" s="312">
        <v>8710</v>
      </c>
      <c r="G225" s="7" t="s">
        <v>1350</v>
      </c>
      <c r="H225">
        <v>0</v>
      </c>
      <c r="I225" s="327"/>
      <c r="J225" s="328">
        <v>0</v>
      </c>
    </row>
    <row r="226" spans="6:10" x14ac:dyDescent="0.2">
      <c r="F226" s="312">
        <v>8720</v>
      </c>
      <c r="G226" s="7" t="s">
        <v>654</v>
      </c>
      <c r="H226">
        <v>758.75614468636945</v>
      </c>
      <c r="I226" s="327">
        <v>2637</v>
      </c>
      <c r="J226" s="328">
        <v>6.551357475056644E-3</v>
      </c>
    </row>
    <row r="227" spans="6:10" x14ac:dyDescent="0.2">
      <c r="F227" s="312">
        <v>8730</v>
      </c>
      <c r="G227" s="7" t="s">
        <v>656</v>
      </c>
      <c r="H227">
        <v>0</v>
      </c>
      <c r="I227" s="327"/>
      <c r="J227" s="328">
        <v>0</v>
      </c>
    </row>
    <row r="228" spans="6:10" x14ac:dyDescent="0.2">
      <c r="F228" s="334">
        <v>8740</v>
      </c>
      <c r="G228" s="119" t="s">
        <v>658</v>
      </c>
      <c r="H228" s="335">
        <v>533.17221695253795</v>
      </c>
      <c r="I228" s="327">
        <v>1853</v>
      </c>
      <c r="J228" s="337">
        <v>4.603589458202488E-3</v>
      </c>
    </row>
    <row r="229" spans="6:10" x14ac:dyDescent="0.2">
      <c r="G229" s="338" t="s">
        <v>203</v>
      </c>
      <c r="H229">
        <f>SUM(H152:H228)</f>
        <v>115817.07925410918</v>
      </c>
      <c r="I229" s="342">
        <f>SUM(I152:I228)</f>
        <v>402512</v>
      </c>
      <c r="J229" s="340"/>
    </row>
    <row r="230" spans="6:10" x14ac:dyDescent="0.2">
      <c r="G230" s="338" t="s">
        <v>1388</v>
      </c>
      <c r="I230" s="341" t="s">
        <v>1389</v>
      </c>
    </row>
    <row r="231" spans="6:10" x14ac:dyDescent="0.2">
      <c r="G231" s="338" t="s">
        <v>1390</v>
      </c>
    </row>
    <row r="232" spans="6:10" x14ac:dyDescent="0.2">
      <c r="G232" s="338" t="s">
        <v>1391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T62"/>
  <sheetViews>
    <sheetView workbookViewId="0">
      <selection sqref="A1:XFD1048576"/>
    </sheetView>
  </sheetViews>
  <sheetFormatPr defaultRowHeight="15" x14ac:dyDescent="0.2"/>
  <cols>
    <col min="1" max="1" width="10.77734375" bestFit="1" customWidth="1"/>
    <col min="2" max="2" width="28.109375" bestFit="1" customWidth="1"/>
    <col min="3" max="3" width="33.21875" bestFit="1" customWidth="1"/>
    <col min="4" max="4" width="22" bestFit="1" customWidth="1"/>
    <col min="5" max="5" width="23" bestFit="1" customWidth="1"/>
    <col min="6" max="6" width="30.109375" bestFit="1" customWidth="1"/>
    <col min="7" max="7" width="16.88671875" bestFit="1" customWidth="1"/>
    <col min="8" max="9" width="15.77734375" bestFit="1" customWidth="1"/>
    <col min="10" max="10" width="26.109375" bestFit="1" customWidth="1"/>
    <col min="11" max="12" width="17.88671875" bestFit="1" customWidth="1"/>
    <col min="13" max="13" width="30.109375" bestFit="1" customWidth="1"/>
    <col min="14" max="14" width="45.44140625" bestFit="1" customWidth="1"/>
    <col min="15" max="15" width="22" bestFit="1" customWidth="1"/>
    <col min="16" max="16" width="27.109375" bestFit="1" customWidth="1"/>
    <col min="17" max="17" width="18.88671875" bestFit="1" customWidth="1"/>
    <col min="18" max="18" width="15.77734375" bestFit="1" customWidth="1"/>
    <col min="19" max="19" width="18.88671875" bestFit="1" customWidth="1"/>
    <col min="20" max="20" width="19.88671875" bestFit="1" customWidth="1"/>
  </cols>
  <sheetData>
    <row r="3" spans="1:20" x14ac:dyDescent="0.2">
      <c r="A3" t="s">
        <v>1283</v>
      </c>
      <c r="B3" t="s">
        <v>1284</v>
      </c>
    </row>
    <row r="4" spans="1:20" x14ac:dyDescent="0.2">
      <c r="A4" t="s">
        <v>1285</v>
      </c>
      <c r="B4" t="s">
        <v>1286</v>
      </c>
      <c r="C4" t="s">
        <v>1287</v>
      </c>
      <c r="D4" t="s">
        <v>1288</v>
      </c>
      <c r="E4" t="s">
        <v>1289</v>
      </c>
      <c r="F4" t="s">
        <v>1290</v>
      </c>
      <c r="G4" t="s">
        <v>473</v>
      </c>
      <c r="H4" t="s">
        <v>1291</v>
      </c>
      <c r="I4" t="s">
        <v>1292</v>
      </c>
      <c r="J4" t="s">
        <v>1293</v>
      </c>
      <c r="K4" t="s">
        <v>1294</v>
      </c>
      <c r="L4" t="s">
        <v>1295</v>
      </c>
      <c r="M4" t="s">
        <v>1296</v>
      </c>
      <c r="N4" t="s">
        <v>1297</v>
      </c>
      <c r="O4" t="s">
        <v>241</v>
      </c>
      <c r="P4" t="s">
        <v>1298</v>
      </c>
      <c r="Q4" t="s">
        <v>1299</v>
      </c>
      <c r="R4" t="s">
        <v>106</v>
      </c>
      <c r="S4" t="s">
        <v>1300</v>
      </c>
      <c r="T4" t="s">
        <v>1301</v>
      </c>
    </row>
    <row r="5" spans="1:20" x14ac:dyDescent="0.2">
      <c r="A5" s="280">
        <v>6010</v>
      </c>
      <c r="B5" s="281">
        <v>39803770.270000003</v>
      </c>
      <c r="C5" s="281">
        <v>180852.16</v>
      </c>
      <c r="D5" s="281"/>
      <c r="E5" s="281"/>
      <c r="F5" s="281"/>
      <c r="G5" s="281">
        <v>5500545.54</v>
      </c>
      <c r="H5" s="281">
        <v>869744.07000000007</v>
      </c>
      <c r="I5" s="281">
        <v>1357591.0599999998</v>
      </c>
      <c r="J5" s="281">
        <v>1481688.5</v>
      </c>
      <c r="K5" s="281">
        <v>740809.02</v>
      </c>
      <c r="L5" s="281">
        <v>1148.8400000000001</v>
      </c>
      <c r="M5" s="281">
        <v>157157.37</v>
      </c>
      <c r="N5" s="281"/>
      <c r="O5" s="281">
        <v>1903.5</v>
      </c>
      <c r="P5" s="281">
        <v>91372.160000000003</v>
      </c>
      <c r="Q5" s="281">
        <v>20202.900000000001</v>
      </c>
      <c r="R5" s="281"/>
      <c r="S5" s="281">
        <v>50206785.390000001</v>
      </c>
      <c r="T5" s="281">
        <v>29762459.470000003</v>
      </c>
    </row>
    <row r="6" spans="1:20" x14ac:dyDescent="0.2">
      <c r="A6" s="280">
        <v>6070</v>
      </c>
      <c r="B6" s="281">
        <v>221202881.27999991</v>
      </c>
      <c r="C6" s="281">
        <v>23071082.07</v>
      </c>
      <c r="D6" s="281"/>
      <c r="E6" s="281"/>
      <c r="F6" s="281"/>
      <c r="G6" s="281">
        <v>32879492.210000008</v>
      </c>
      <c r="H6" s="281">
        <v>4380952.84</v>
      </c>
      <c r="I6" s="281">
        <v>9064291.3400000017</v>
      </c>
      <c r="J6" s="281">
        <v>5322231.3499999996</v>
      </c>
      <c r="K6" s="281">
        <v>2069958.3199999998</v>
      </c>
      <c r="L6" s="281">
        <v>16843.359999999997</v>
      </c>
      <c r="M6" s="281">
        <v>246334.22</v>
      </c>
      <c r="N6" s="281"/>
      <c r="O6" s="281">
        <v>145922.38</v>
      </c>
      <c r="P6" s="281">
        <v>578023.65</v>
      </c>
      <c r="Q6" s="281">
        <v>42810.039999999994</v>
      </c>
      <c r="R6" s="281"/>
      <c r="S6" s="281">
        <v>299020823.05999994</v>
      </c>
      <c r="T6" s="281">
        <v>189527103.6399999</v>
      </c>
    </row>
    <row r="7" spans="1:20" x14ac:dyDescent="0.2">
      <c r="A7" s="280">
        <v>6140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>
        <v>316.27</v>
      </c>
      <c r="M7" s="281"/>
      <c r="N7" s="281"/>
      <c r="O7" s="281"/>
      <c r="P7" s="281"/>
      <c r="Q7" s="281">
        <v>398.81</v>
      </c>
      <c r="R7" s="281"/>
      <c r="S7" s="281">
        <v>715.07999999999993</v>
      </c>
      <c r="T7" s="281">
        <v>-715.07999999999993</v>
      </c>
    </row>
    <row r="8" spans="1:20" x14ac:dyDescent="0.2">
      <c r="A8" s="280">
        <v>7010</v>
      </c>
      <c r="B8" s="281">
        <v>58976022.239999995</v>
      </c>
      <c r="C8" s="281">
        <v>3552385.26</v>
      </c>
      <c r="D8" s="281"/>
      <c r="E8" s="281"/>
      <c r="F8" s="281"/>
      <c r="G8" s="281">
        <v>6953955.5800000001</v>
      </c>
      <c r="H8" s="281">
        <v>245153.71000000002</v>
      </c>
      <c r="I8" s="281">
        <v>1735072.8900000001</v>
      </c>
      <c r="J8" s="281">
        <v>1602459.6700000002</v>
      </c>
      <c r="K8" s="281">
        <v>729974.62999999989</v>
      </c>
      <c r="L8" s="281">
        <v>7770.8</v>
      </c>
      <c r="M8" s="281">
        <v>237414.8</v>
      </c>
      <c r="N8" s="281"/>
      <c r="O8" s="281">
        <v>32278.51</v>
      </c>
      <c r="P8" s="281">
        <v>1206914.98</v>
      </c>
      <c r="Q8" s="281">
        <v>11176.75</v>
      </c>
      <c r="R8" s="281">
        <v>1318.22</v>
      </c>
      <c r="S8" s="281">
        <v>75291898.039999992</v>
      </c>
      <c r="T8" s="281">
        <v>49767553.399999999</v>
      </c>
    </row>
    <row r="9" spans="1:20" x14ac:dyDescent="0.2">
      <c r="A9" s="280">
        <v>7020</v>
      </c>
      <c r="B9" s="281">
        <v>211206944.19999999</v>
      </c>
      <c r="C9" s="281">
        <v>210767062.53000003</v>
      </c>
      <c r="D9" s="281"/>
      <c r="E9" s="281"/>
      <c r="F9" s="281"/>
      <c r="G9" s="281">
        <v>7225633.0099999988</v>
      </c>
      <c r="H9" s="281">
        <v>1972719.65</v>
      </c>
      <c r="I9" s="281">
        <v>1935984.9600000004</v>
      </c>
      <c r="J9" s="281">
        <v>3286425.86</v>
      </c>
      <c r="K9" s="281">
        <v>21878939.760000002</v>
      </c>
      <c r="L9" s="281">
        <v>5218.6500000000005</v>
      </c>
      <c r="M9" s="281">
        <v>3422544.4</v>
      </c>
      <c r="N9" s="281"/>
      <c r="O9" s="281">
        <v>108136.71</v>
      </c>
      <c r="P9" s="281">
        <v>2291437.27</v>
      </c>
      <c r="Q9" s="281">
        <v>1249480.82</v>
      </c>
      <c r="R9" s="281">
        <v>9058.5</v>
      </c>
      <c r="S9" s="281">
        <v>465359586.31999987</v>
      </c>
      <c r="T9" s="281">
        <v>378606544.14000016</v>
      </c>
    </row>
    <row r="10" spans="1:20" x14ac:dyDescent="0.2">
      <c r="A10" s="280">
        <v>7030</v>
      </c>
      <c r="B10" s="281">
        <v>15260116.159999998</v>
      </c>
      <c r="C10" s="281">
        <v>36829100.350000001</v>
      </c>
      <c r="D10" s="281"/>
      <c r="E10" s="281"/>
      <c r="F10" s="281"/>
      <c r="G10" s="281">
        <v>4774320.25</v>
      </c>
      <c r="H10" s="281">
        <v>175445.19</v>
      </c>
      <c r="I10" s="281">
        <v>1166101.1200000003</v>
      </c>
      <c r="J10" s="281"/>
      <c r="K10" s="281">
        <v>457950.76000000007</v>
      </c>
      <c r="L10" s="281">
        <v>2297.2000000000003</v>
      </c>
      <c r="M10" s="281">
        <v>9408.7899999999991</v>
      </c>
      <c r="N10" s="281"/>
      <c r="O10" s="281">
        <v>11484.279999999999</v>
      </c>
      <c r="P10" s="281">
        <v>21984.98</v>
      </c>
      <c r="Q10" s="281">
        <v>2706.04</v>
      </c>
      <c r="R10" s="281"/>
      <c r="S10" s="281">
        <v>58710915.11999999</v>
      </c>
      <c r="T10" s="281">
        <v>45467517.900000006</v>
      </c>
    </row>
    <row r="11" spans="1:20" x14ac:dyDescent="0.2">
      <c r="A11" s="280">
        <v>7050</v>
      </c>
      <c r="B11" s="281"/>
      <c r="C11" s="281"/>
      <c r="D11" s="281"/>
      <c r="E11" s="281"/>
      <c r="F11" s="281"/>
      <c r="G11" s="281">
        <v>1168197.76</v>
      </c>
      <c r="H11" s="281"/>
      <c r="I11" s="281">
        <v>451179.23</v>
      </c>
      <c r="J11" s="281"/>
      <c r="K11" s="281">
        <v>-254561.17999999947</v>
      </c>
      <c r="L11" s="281"/>
      <c r="M11" s="281">
        <v>105239.15000000001</v>
      </c>
      <c r="N11" s="281"/>
      <c r="O11" s="281">
        <v>22972.11</v>
      </c>
      <c r="P11" s="281">
        <v>139095.57432500002</v>
      </c>
      <c r="Q11" s="281">
        <v>93710.36</v>
      </c>
      <c r="R11" s="281"/>
      <c r="S11" s="281">
        <v>1725833.0043250006</v>
      </c>
      <c r="T11" s="281">
        <v>-1725833.0043250006</v>
      </c>
    </row>
    <row r="12" spans="1:20" x14ac:dyDescent="0.2">
      <c r="A12" s="280">
        <v>7060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>
        <v>0</v>
      </c>
      <c r="Q12" s="281"/>
      <c r="R12" s="281"/>
      <c r="S12" s="281">
        <v>0</v>
      </c>
      <c r="T12" s="281">
        <v>0</v>
      </c>
    </row>
    <row r="13" spans="1:20" x14ac:dyDescent="0.2">
      <c r="A13" s="280">
        <v>7070</v>
      </c>
      <c r="B13" s="281">
        <v>68906934.230000004</v>
      </c>
      <c r="C13" s="281">
        <v>38613515.379999995</v>
      </c>
      <c r="D13" s="281"/>
      <c r="E13" s="281"/>
      <c r="F13" s="281"/>
      <c r="G13" s="281">
        <v>4016878.8100000005</v>
      </c>
      <c r="H13" s="281">
        <v>539530.56000000006</v>
      </c>
      <c r="I13" s="281">
        <v>1254349.9100000001</v>
      </c>
      <c r="J13" s="281">
        <v>56853.950000000004</v>
      </c>
      <c r="K13" s="281">
        <v>4417202.1399999997</v>
      </c>
      <c r="L13" s="281">
        <v>282.09999999999997</v>
      </c>
      <c r="M13" s="281">
        <v>73026.210000000006</v>
      </c>
      <c r="N13" s="281"/>
      <c r="O13" s="281">
        <v>120689.70999999999</v>
      </c>
      <c r="P13" s="281">
        <v>4434904.78</v>
      </c>
      <c r="Q13" s="281">
        <v>72417.239999999991</v>
      </c>
      <c r="R13" s="281">
        <v>227251.84</v>
      </c>
      <c r="S13" s="281">
        <v>122733836.85999998</v>
      </c>
      <c r="T13" s="281">
        <v>92761566.040000021</v>
      </c>
    </row>
    <row r="14" spans="1:20" x14ac:dyDescent="0.2">
      <c r="A14" s="280">
        <v>7110</v>
      </c>
      <c r="B14" s="281">
        <v>23204151.43</v>
      </c>
      <c r="C14" s="281">
        <v>13102001.069999998</v>
      </c>
      <c r="D14" s="281"/>
      <c r="E14" s="281"/>
      <c r="F14" s="281"/>
      <c r="G14" s="281">
        <v>447808.89</v>
      </c>
      <c r="H14" s="281"/>
      <c r="I14" s="281">
        <v>111001.63</v>
      </c>
      <c r="J14" s="281">
        <v>62884.19999999999</v>
      </c>
      <c r="K14" s="281">
        <v>201895.51</v>
      </c>
      <c r="L14" s="281">
        <v>14.609999999999998</v>
      </c>
      <c r="M14" s="281">
        <v>164379.12000000002</v>
      </c>
      <c r="N14" s="281"/>
      <c r="O14" s="281"/>
      <c r="P14" s="281">
        <v>198714.27</v>
      </c>
      <c r="Q14" s="281"/>
      <c r="R14" s="281"/>
      <c r="S14" s="281">
        <v>37492850.730000004</v>
      </c>
      <c r="T14" s="281">
        <v>35119454.269999996</v>
      </c>
    </row>
    <row r="15" spans="1:20" x14ac:dyDescent="0.2">
      <c r="A15" s="280">
        <v>7120</v>
      </c>
      <c r="B15" s="281">
        <v>7016612.0300000012</v>
      </c>
      <c r="C15" s="281">
        <v>14154411.440000001</v>
      </c>
      <c r="D15" s="281"/>
      <c r="E15" s="281"/>
      <c r="F15" s="281"/>
      <c r="G15" s="281">
        <v>397672.36</v>
      </c>
      <c r="H15" s="281">
        <v>201659.42</v>
      </c>
      <c r="I15" s="281">
        <v>92171.76999999999</v>
      </c>
      <c r="J15" s="281"/>
      <c r="K15" s="281">
        <v>71461.05</v>
      </c>
      <c r="L15" s="281">
        <v>738.34999999999991</v>
      </c>
      <c r="M15" s="281">
        <v>7428.5700000000006</v>
      </c>
      <c r="N15" s="281"/>
      <c r="O15" s="281">
        <v>659.23</v>
      </c>
      <c r="P15" s="281">
        <v>58929.790000000008</v>
      </c>
      <c r="Q15" s="281">
        <v>1791.5</v>
      </c>
      <c r="R15" s="281"/>
      <c r="S15" s="281">
        <v>22003535.510000005</v>
      </c>
      <c r="T15" s="281">
        <v>20338511.43</v>
      </c>
    </row>
    <row r="16" spans="1:20" x14ac:dyDescent="0.2">
      <c r="A16" s="280">
        <v>7140</v>
      </c>
      <c r="B16" s="281">
        <v>177825251.30999997</v>
      </c>
      <c r="C16" s="281">
        <v>291202978.75</v>
      </c>
      <c r="D16" s="281"/>
      <c r="E16" s="281"/>
      <c r="F16" s="281"/>
      <c r="G16" s="281">
        <v>12701190.609999994</v>
      </c>
      <c r="H16" s="281">
        <v>627243.17000000004</v>
      </c>
      <c r="I16" s="281">
        <v>3420904.01</v>
      </c>
      <c r="J16" s="281">
        <v>1241882.98</v>
      </c>
      <c r="K16" s="281">
        <v>16003606.710000001</v>
      </c>
      <c r="L16" s="281">
        <v>285957.25000000006</v>
      </c>
      <c r="M16" s="281">
        <v>1750169.0900000003</v>
      </c>
      <c r="N16" s="281"/>
      <c r="O16" s="281">
        <v>79693.25</v>
      </c>
      <c r="P16" s="281">
        <v>3914129.8699999982</v>
      </c>
      <c r="Q16" s="281">
        <v>1058104.2600000002</v>
      </c>
      <c r="R16" s="281">
        <v>11319.81</v>
      </c>
      <c r="S16" s="281">
        <v>510122431.06999993</v>
      </c>
      <c r="T16" s="281">
        <v>427956668.66999996</v>
      </c>
    </row>
    <row r="17" spans="1:20" x14ac:dyDescent="0.2">
      <c r="A17" s="280">
        <v>7160</v>
      </c>
      <c r="B17" s="281">
        <v>5811664.0700000003</v>
      </c>
      <c r="C17" s="281">
        <v>11598172.32</v>
      </c>
      <c r="D17" s="281"/>
      <c r="E17" s="281"/>
      <c r="F17" s="281"/>
      <c r="G17" s="281">
        <v>360518.72</v>
      </c>
      <c r="H17" s="281"/>
      <c r="I17" s="281">
        <v>86748.38</v>
      </c>
      <c r="J17" s="281"/>
      <c r="K17" s="281">
        <v>491580.69999999995</v>
      </c>
      <c r="L17" s="281"/>
      <c r="M17" s="281">
        <v>134761.16</v>
      </c>
      <c r="N17" s="281"/>
      <c r="O17" s="281">
        <v>142.23000000000002</v>
      </c>
      <c r="P17" s="281">
        <v>75312.489999999991</v>
      </c>
      <c r="Q17" s="281">
        <v>401.86999999999995</v>
      </c>
      <c r="R17" s="281"/>
      <c r="S17" s="281">
        <v>18559301.939999998</v>
      </c>
      <c r="T17" s="281">
        <v>16260370.840000004</v>
      </c>
    </row>
    <row r="18" spans="1:20" x14ac:dyDescent="0.2">
      <c r="A18" s="280">
        <v>7170</v>
      </c>
      <c r="B18" s="281">
        <v>151028761.21000007</v>
      </c>
      <c r="C18" s="281">
        <v>106127689.60000001</v>
      </c>
      <c r="D18" s="281"/>
      <c r="E18" s="281"/>
      <c r="F18" s="281"/>
      <c r="G18" s="281">
        <v>4968473.5</v>
      </c>
      <c r="H18" s="281"/>
      <c r="I18" s="281">
        <v>1191533.79</v>
      </c>
      <c r="J18" s="281"/>
      <c r="K18" s="281">
        <v>13435710.710000001</v>
      </c>
      <c r="L18" s="281">
        <v>1131.79</v>
      </c>
      <c r="M18" s="281">
        <v>293593.46999999997</v>
      </c>
      <c r="N18" s="281"/>
      <c r="O18" s="281">
        <v>65055.18</v>
      </c>
      <c r="P18" s="281">
        <v>548590.28999999992</v>
      </c>
      <c r="Q18" s="281">
        <v>40686.969999999994</v>
      </c>
      <c r="R18" s="281"/>
      <c r="S18" s="281">
        <v>277701226.51000017</v>
      </c>
      <c r="T18" s="281">
        <v>236611675.11000007</v>
      </c>
    </row>
    <row r="19" spans="1:20" x14ac:dyDescent="0.2">
      <c r="A19" s="280">
        <v>7180</v>
      </c>
      <c r="B19" s="281">
        <v>41236474.899999999</v>
      </c>
      <c r="C19" s="281">
        <v>9804891.6899999995</v>
      </c>
      <c r="D19" s="281"/>
      <c r="E19" s="281"/>
      <c r="F19" s="281"/>
      <c r="G19" s="281">
        <v>4147694.8199999994</v>
      </c>
      <c r="H19" s="281"/>
      <c r="I19" s="281">
        <v>1148777.8799999999</v>
      </c>
      <c r="J19" s="281">
        <v>39487.5</v>
      </c>
      <c r="K19" s="281">
        <v>604957.19000000018</v>
      </c>
      <c r="L19" s="281">
        <v>4743.9700000000012</v>
      </c>
      <c r="M19" s="281">
        <v>157193.4</v>
      </c>
      <c r="N19" s="281"/>
      <c r="O19" s="281">
        <v>19081.540000000005</v>
      </c>
      <c r="P19" s="281">
        <v>124249.65</v>
      </c>
      <c r="Q19" s="281">
        <v>312312.03999999998</v>
      </c>
      <c r="R19" s="281"/>
      <c r="S19" s="281">
        <v>57599864.579999991</v>
      </c>
      <c r="T19" s="281">
        <v>44482868.600000001</v>
      </c>
    </row>
    <row r="20" spans="1:20" x14ac:dyDescent="0.2">
      <c r="A20" s="280">
        <v>7190</v>
      </c>
      <c r="B20" s="281">
        <v>3805030.09</v>
      </c>
      <c r="C20" s="281">
        <v>207248.34999999998</v>
      </c>
      <c r="D20" s="281"/>
      <c r="E20" s="281"/>
      <c r="F20" s="281"/>
      <c r="G20" s="281"/>
      <c r="H20" s="281"/>
      <c r="I20" s="281"/>
      <c r="J20" s="281"/>
      <c r="K20" s="281">
        <v>17448.019999999997</v>
      </c>
      <c r="L20" s="281"/>
      <c r="M20" s="281"/>
      <c r="N20" s="281"/>
      <c r="O20" s="281"/>
      <c r="P20" s="281">
        <v>1058412.8700000001</v>
      </c>
      <c r="Q20" s="281"/>
      <c r="R20" s="281">
        <v>12488.15</v>
      </c>
      <c r="S20" s="281">
        <v>5100627.4800000004</v>
      </c>
      <c r="T20" s="281">
        <v>2948905.6999999997</v>
      </c>
    </row>
    <row r="21" spans="1:20" x14ac:dyDescent="0.2">
      <c r="A21" s="280">
        <v>7200</v>
      </c>
      <c r="B21" s="281">
        <v>5454932.4399999995</v>
      </c>
      <c r="C21" s="281">
        <v>7669402.3600000013</v>
      </c>
      <c r="D21" s="281"/>
      <c r="E21" s="281"/>
      <c r="F21" s="281"/>
      <c r="G21" s="281">
        <v>2247426.8800000004</v>
      </c>
      <c r="H21" s="281"/>
      <c r="I21" s="281">
        <v>615075.56000000006</v>
      </c>
      <c r="J21" s="281"/>
      <c r="K21" s="281">
        <v>21618.81</v>
      </c>
      <c r="L21" s="281">
        <v>10493.47</v>
      </c>
      <c r="M21" s="281">
        <v>10345.73</v>
      </c>
      <c r="N21" s="281"/>
      <c r="O21" s="281">
        <v>7848.4600000000009</v>
      </c>
      <c r="P21" s="281">
        <v>446733.97</v>
      </c>
      <c r="Q21" s="281">
        <v>326102.04000000004</v>
      </c>
      <c r="R21" s="281">
        <v>3505.2299999999996</v>
      </c>
      <c r="S21" s="281">
        <v>16813484.950000007</v>
      </c>
      <c r="T21" s="281">
        <v>9442195.1099999957</v>
      </c>
    </row>
    <row r="22" spans="1:20" x14ac:dyDescent="0.2">
      <c r="A22" s="280">
        <v>7230</v>
      </c>
      <c r="B22" s="281">
        <v>54646880.149999999</v>
      </c>
      <c r="C22" s="281">
        <v>206281095.30999997</v>
      </c>
      <c r="D22" s="281"/>
      <c r="E22" s="281"/>
      <c r="F22" s="281"/>
      <c r="G22" s="281">
        <v>8261210.0800000001</v>
      </c>
      <c r="H22" s="281">
        <v>2462204.3899999997</v>
      </c>
      <c r="I22" s="281">
        <v>2212636.19</v>
      </c>
      <c r="J22" s="281">
        <v>5638321</v>
      </c>
      <c r="K22" s="281">
        <v>1683083.5699999996</v>
      </c>
      <c r="L22" s="281">
        <v>2678.71</v>
      </c>
      <c r="M22" s="281">
        <v>145340.87</v>
      </c>
      <c r="N22" s="281"/>
      <c r="O22" s="281">
        <v>80682.36</v>
      </c>
      <c r="P22" s="281">
        <v>403209.9361689408</v>
      </c>
      <c r="Q22" s="281">
        <v>24717.440000000002</v>
      </c>
      <c r="R22" s="281">
        <v>91000</v>
      </c>
      <c r="S22" s="281">
        <v>281933060.0061689</v>
      </c>
      <c r="T22" s="281">
        <v>240104890.91383103</v>
      </c>
    </row>
    <row r="23" spans="1:20" x14ac:dyDescent="0.2">
      <c r="A23" s="280">
        <v>7260</v>
      </c>
      <c r="B23" s="281">
        <v>1073443.8199999998</v>
      </c>
      <c r="C23" s="281">
        <v>269019550.50999999</v>
      </c>
      <c r="D23" s="281">
        <v>139869564.44</v>
      </c>
      <c r="E23" s="281">
        <v>1029838.9800000001</v>
      </c>
      <c r="F23" s="281">
        <v>-1504896.82</v>
      </c>
      <c r="G23" s="281">
        <v>62838541.880000003</v>
      </c>
      <c r="H23" s="281">
        <v>724185.3</v>
      </c>
      <c r="I23" s="281">
        <v>11481772.949999999</v>
      </c>
      <c r="J23" s="281">
        <v>25773185.43</v>
      </c>
      <c r="K23" s="281">
        <v>3708260.63</v>
      </c>
      <c r="L23" s="281">
        <v>927679.02</v>
      </c>
      <c r="M23" s="281">
        <v>4877720.97</v>
      </c>
      <c r="N23" s="281">
        <v>-18344.400000000001</v>
      </c>
      <c r="O23" s="281">
        <v>3074901.9799999995</v>
      </c>
      <c r="P23" s="281">
        <v>44736728.960000001</v>
      </c>
      <c r="Q23" s="281">
        <v>8513056.2200000007</v>
      </c>
      <c r="R23" s="281">
        <v>4055980.94</v>
      </c>
      <c r="S23" s="281">
        <v>580181170.81000018</v>
      </c>
      <c r="T23" s="281">
        <v>-34893013.910000011</v>
      </c>
    </row>
    <row r="24" spans="1:20" x14ac:dyDescent="0.2">
      <c r="A24" s="280">
        <v>7310</v>
      </c>
      <c r="B24" s="281">
        <v>3626879.7</v>
      </c>
      <c r="C24" s="281">
        <v>3298096.92</v>
      </c>
      <c r="D24" s="281"/>
      <c r="E24" s="281"/>
      <c r="F24" s="281"/>
      <c r="G24" s="281">
        <v>902692.48</v>
      </c>
      <c r="H24" s="281"/>
      <c r="I24" s="281">
        <v>226008.37</v>
      </c>
      <c r="J24" s="281"/>
      <c r="K24" s="281">
        <v>8757.65</v>
      </c>
      <c r="L24" s="281">
        <v>1287.1500000000001</v>
      </c>
      <c r="M24" s="281"/>
      <c r="N24" s="281"/>
      <c r="O24" s="281">
        <v>1480.44</v>
      </c>
      <c r="P24" s="281">
        <v>111474.82</v>
      </c>
      <c r="Q24" s="281">
        <v>151994.31999999998</v>
      </c>
      <c r="R24" s="281">
        <v>2961.67</v>
      </c>
      <c r="S24" s="281">
        <v>8331633.5200000014</v>
      </c>
      <c r="T24" s="281">
        <v>5524243.0599999987</v>
      </c>
    </row>
    <row r="25" spans="1:20" x14ac:dyDescent="0.2">
      <c r="A25" s="280">
        <v>7320</v>
      </c>
      <c r="B25" s="281">
        <v>1585841.9799999995</v>
      </c>
      <c r="C25" s="281">
        <v>1854787.7899999996</v>
      </c>
      <c r="D25" s="281"/>
      <c r="E25" s="281"/>
      <c r="F25" s="281"/>
      <c r="G25" s="281">
        <v>435574.75</v>
      </c>
      <c r="H25" s="281"/>
      <c r="I25" s="281">
        <v>111203.86</v>
      </c>
      <c r="J25" s="281"/>
      <c r="K25" s="281">
        <v>7470.1499999999987</v>
      </c>
      <c r="L25" s="281">
        <v>190.76999999999998</v>
      </c>
      <c r="M25" s="281"/>
      <c r="N25" s="281"/>
      <c r="O25" s="281">
        <v>1335.82</v>
      </c>
      <c r="P25" s="281">
        <v>69728.600000000006</v>
      </c>
      <c r="Q25" s="281">
        <v>95746.78</v>
      </c>
      <c r="R25" s="281">
        <v>2000.08</v>
      </c>
      <c r="S25" s="281">
        <v>4163880.5799999987</v>
      </c>
      <c r="T25" s="281">
        <v>2721379.1199999996</v>
      </c>
    </row>
    <row r="26" spans="1:20" x14ac:dyDescent="0.2">
      <c r="A26" s="280">
        <v>7380</v>
      </c>
      <c r="B26" s="281">
        <v>805266</v>
      </c>
      <c r="C26" s="281">
        <v>393340809.79000008</v>
      </c>
      <c r="D26" s="281"/>
      <c r="E26" s="281"/>
      <c r="F26" s="281"/>
      <c r="G26" s="281">
        <v>6717643.9099999983</v>
      </c>
      <c r="H26" s="281">
        <v>349.59000000000003</v>
      </c>
      <c r="I26" s="281">
        <v>2007858.1800000002</v>
      </c>
      <c r="J26" s="281">
        <v>21375</v>
      </c>
      <c r="K26" s="281">
        <v>38339707.13000001</v>
      </c>
      <c r="L26" s="281">
        <v>109356.51000000001</v>
      </c>
      <c r="M26" s="281">
        <v>672958.4800000001</v>
      </c>
      <c r="N26" s="281"/>
      <c r="O26" s="281">
        <v>55695.01</v>
      </c>
      <c r="P26" s="281">
        <v>1640659.1499999997</v>
      </c>
      <c r="Q26" s="281">
        <v>650062.00000000012</v>
      </c>
      <c r="R26" s="281">
        <v>1301689.73</v>
      </c>
      <c r="S26" s="281">
        <v>445663430.48000008</v>
      </c>
      <c r="T26" s="281">
        <v>345232100.56000012</v>
      </c>
    </row>
    <row r="27" spans="1:20" x14ac:dyDescent="0.2">
      <c r="A27" s="280">
        <v>7400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>
        <v>129810.49500000002</v>
      </c>
      <c r="Q27" s="281"/>
      <c r="R27" s="281"/>
      <c r="S27" s="281">
        <v>129810.49500000002</v>
      </c>
      <c r="T27" s="281">
        <v>-129810.49500000002</v>
      </c>
    </row>
    <row r="28" spans="1:20" x14ac:dyDescent="0.2">
      <c r="A28" s="280">
        <v>7490</v>
      </c>
      <c r="B28" s="281"/>
      <c r="C28" s="281"/>
      <c r="D28" s="281"/>
      <c r="E28" s="281"/>
      <c r="F28" s="281"/>
      <c r="G28" s="281">
        <v>2079729.0100000002</v>
      </c>
      <c r="H28" s="281">
        <v>48832.340000000004</v>
      </c>
      <c r="I28" s="281">
        <v>560378.71</v>
      </c>
      <c r="J28" s="281">
        <v>-41151.519999999997</v>
      </c>
      <c r="K28" s="281">
        <v>902413.23</v>
      </c>
      <c r="L28" s="281">
        <v>166.47</v>
      </c>
      <c r="M28" s="281"/>
      <c r="N28" s="281"/>
      <c r="O28" s="281">
        <v>2936.6600000000003</v>
      </c>
      <c r="P28" s="281">
        <v>98322.16</v>
      </c>
      <c r="Q28" s="281">
        <v>1908.3</v>
      </c>
      <c r="R28" s="281">
        <v>15408.13</v>
      </c>
      <c r="S28" s="281">
        <v>3668943.49</v>
      </c>
      <c r="T28" s="281">
        <v>-3638127.2300000004</v>
      </c>
    </row>
    <row r="29" spans="1:20" x14ac:dyDescent="0.2">
      <c r="A29" s="280">
        <v>8320</v>
      </c>
      <c r="B29" s="281"/>
      <c r="C29" s="281"/>
      <c r="D29" s="281"/>
      <c r="E29" s="281"/>
      <c r="F29" s="281"/>
      <c r="G29" s="281">
        <v>3209052.42</v>
      </c>
      <c r="H29" s="281"/>
      <c r="I29" s="281">
        <v>1322351.3700000001</v>
      </c>
      <c r="J29" s="281"/>
      <c r="K29" s="281">
        <v>1916182.9799999997</v>
      </c>
      <c r="L29" s="281">
        <v>1472.8300000000002</v>
      </c>
      <c r="M29" s="281">
        <v>187842.06</v>
      </c>
      <c r="N29" s="281"/>
      <c r="O29" s="281">
        <v>39301.060000000005</v>
      </c>
      <c r="P29" s="281">
        <v>1137446.0000000002</v>
      </c>
      <c r="Q29" s="281">
        <v>24417.970000000005</v>
      </c>
      <c r="R29" s="281">
        <v>1765836.77</v>
      </c>
      <c r="S29" s="281">
        <v>9603903.459999999</v>
      </c>
      <c r="T29" s="281">
        <v>-6072229.9199999981</v>
      </c>
    </row>
    <row r="30" spans="1:20" x14ac:dyDescent="0.2">
      <c r="A30" s="280">
        <v>8350</v>
      </c>
      <c r="B30" s="281"/>
      <c r="C30" s="281"/>
      <c r="D30" s="281"/>
      <c r="E30" s="281"/>
      <c r="F30" s="281"/>
      <c r="G30" s="281">
        <v>104846.75999999998</v>
      </c>
      <c r="H30" s="281"/>
      <c r="I30" s="281">
        <v>47029.5</v>
      </c>
      <c r="J30" s="281"/>
      <c r="K30" s="281"/>
      <c r="L30" s="281"/>
      <c r="M30" s="281"/>
      <c r="N30" s="281"/>
      <c r="O30" s="281"/>
      <c r="P30" s="281">
        <v>9840.6500000000015</v>
      </c>
      <c r="Q30" s="281"/>
      <c r="R30" s="281"/>
      <c r="S30" s="281">
        <v>161716.90999999997</v>
      </c>
      <c r="T30" s="281">
        <v>-161716.90999999997</v>
      </c>
    </row>
    <row r="31" spans="1:20" x14ac:dyDescent="0.2">
      <c r="A31" s="280">
        <v>8370</v>
      </c>
      <c r="B31" s="281"/>
      <c r="C31" s="281"/>
      <c r="D31" s="281"/>
      <c r="E31" s="281"/>
      <c r="F31" s="281"/>
      <c r="G31" s="281">
        <v>651215.46</v>
      </c>
      <c r="H31" s="281"/>
      <c r="I31" s="281">
        <v>291711.71000000002</v>
      </c>
      <c r="J31" s="281"/>
      <c r="K31" s="281">
        <v>17019.710000000003</v>
      </c>
      <c r="L31" s="281">
        <v>2765.12</v>
      </c>
      <c r="M31" s="281">
        <v>6602.56</v>
      </c>
      <c r="N31" s="281"/>
      <c r="O31" s="281"/>
      <c r="P31" s="281">
        <v>286856.44</v>
      </c>
      <c r="Q31" s="281">
        <v>1291.7800000000002</v>
      </c>
      <c r="R31" s="281"/>
      <c r="S31" s="281">
        <v>1257462.78</v>
      </c>
      <c r="T31" s="281">
        <v>-1257462.78</v>
      </c>
    </row>
    <row r="32" spans="1:20" x14ac:dyDescent="0.2">
      <c r="A32" s="280">
        <v>8420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>
        <v>473458.06000000006</v>
      </c>
      <c r="R32" s="281"/>
      <c r="S32" s="281">
        <v>473458.06000000006</v>
      </c>
      <c r="T32" s="281">
        <v>-473458.06000000006</v>
      </c>
    </row>
    <row r="33" spans="1:20" x14ac:dyDescent="0.2">
      <c r="A33" s="280">
        <v>8430</v>
      </c>
      <c r="B33" s="281"/>
      <c r="C33" s="281"/>
      <c r="D33" s="281"/>
      <c r="E33" s="281"/>
      <c r="F33" s="281"/>
      <c r="G33" s="281">
        <v>1270097.5399999998</v>
      </c>
      <c r="H33" s="281"/>
      <c r="I33" s="281">
        <v>384047.8600000001</v>
      </c>
      <c r="J33" s="281"/>
      <c r="K33" s="281">
        <v>-44075.789999999994</v>
      </c>
      <c r="L33" s="281">
        <v>2677995.4500000002</v>
      </c>
      <c r="M33" s="281">
        <v>511232.85999999987</v>
      </c>
      <c r="N33" s="281"/>
      <c r="O33" s="281">
        <v>176906.56</v>
      </c>
      <c r="P33" s="281">
        <v>9143802.8919999991</v>
      </c>
      <c r="Q33" s="281">
        <v>636774.41</v>
      </c>
      <c r="R33" s="281"/>
      <c r="S33" s="281">
        <v>14756781.781999998</v>
      </c>
      <c r="T33" s="281">
        <v>-14756781.781999998</v>
      </c>
    </row>
    <row r="34" spans="1:20" x14ac:dyDescent="0.2">
      <c r="A34" s="280">
        <v>8460</v>
      </c>
      <c r="B34" s="281"/>
      <c r="C34" s="281"/>
      <c r="D34" s="281"/>
      <c r="E34" s="281"/>
      <c r="F34" s="281"/>
      <c r="G34" s="281">
        <v>3053297.84</v>
      </c>
      <c r="H34" s="281"/>
      <c r="I34" s="281">
        <v>1311123.3500000001</v>
      </c>
      <c r="J34" s="281"/>
      <c r="K34" s="281">
        <v>231247.4</v>
      </c>
      <c r="L34" s="281">
        <v>5961.29</v>
      </c>
      <c r="M34" s="281">
        <v>2710.1299999999997</v>
      </c>
      <c r="N34" s="281"/>
      <c r="O34" s="281">
        <v>7988.8500000000013</v>
      </c>
      <c r="P34" s="281">
        <v>124130.56000000001</v>
      </c>
      <c r="Q34" s="281">
        <v>7720.3400000000011</v>
      </c>
      <c r="R34" s="281"/>
      <c r="S34" s="281">
        <v>4744179.7599999988</v>
      </c>
      <c r="T34" s="281">
        <v>-4744179.7599999988</v>
      </c>
    </row>
    <row r="35" spans="1:20" x14ac:dyDescent="0.2">
      <c r="A35" s="280">
        <v>8490</v>
      </c>
      <c r="B35" s="281"/>
      <c r="C35" s="281"/>
      <c r="D35" s="281"/>
      <c r="E35" s="281"/>
      <c r="F35" s="281"/>
      <c r="G35" s="281"/>
      <c r="H35" s="281"/>
      <c r="I35" s="281">
        <v>50</v>
      </c>
      <c r="J35" s="281"/>
      <c r="K35" s="281">
        <v>93225.75</v>
      </c>
      <c r="L35" s="281"/>
      <c r="M35" s="281"/>
      <c r="N35" s="281"/>
      <c r="O35" s="281">
        <v>499.37</v>
      </c>
      <c r="P35" s="281">
        <v>1460.2</v>
      </c>
      <c r="Q35" s="281">
        <v>21575.77</v>
      </c>
      <c r="R35" s="281">
        <v>146168.03</v>
      </c>
      <c r="S35" s="281">
        <v>262979.12</v>
      </c>
      <c r="T35" s="281">
        <v>29356.940000000002</v>
      </c>
    </row>
    <row r="36" spans="1:20" x14ac:dyDescent="0.2">
      <c r="A36" s="280">
        <v>8530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>
        <v>658.41</v>
      </c>
      <c r="L36" s="281"/>
      <c r="M36" s="281">
        <v>3945.12</v>
      </c>
      <c r="N36" s="281"/>
      <c r="O36" s="281"/>
      <c r="P36" s="281">
        <v>7982201.4377212506</v>
      </c>
      <c r="Q36" s="281">
        <v>15978.629999999997</v>
      </c>
      <c r="R36" s="281"/>
      <c r="S36" s="281">
        <v>8002783.5977212507</v>
      </c>
      <c r="T36" s="281">
        <v>-8002783.5977212507</v>
      </c>
    </row>
    <row r="37" spans="1:20" x14ac:dyDescent="0.2">
      <c r="A37" s="280">
        <v>8560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>
        <v>25473.949999999997</v>
      </c>
      <c r="L37" s="281">
        <v>154.88999999999999</v>
      </c>
      <c r="M37" s="281">
        <v>939.11</v>
      </c>
      <c r="N37" s="281"/>
      <c r="O37" s="281">
        <v>62.01</v>
      </c>
      <c r="P37" s="281">
        <v>3833278.9687513174</v>
      </c>
      <c r="Q37" s="281">
        <v>16414.64</v>
      </c>
      <c r="R37" s="281"/>
      <c r="S37" s="281">
        <v>3876323.5687513174</v>
      </c>
      <c r="T37" s="281">
        <v>-3876323.5687513174</v>
      </c>
    </row>
    <row r="38" spans="1:20" x14ac:dyDescent="0.2">
      <c r="A38" s="280">
        <v>8610</v>
      </c>
      <c r="B38" s="281"/>
      <c r="C38" s="281">
        <v>4245764.25</v>
      </c>
      <c r="D38" s="281">
        <v>2578960.38</v>
      </c>
      <c r="E38" s="281">
        <v>20479</v>
      </c>
      <c r="F38" s="281">
        <v>-48737.31</v>
      </c>
      <c r="G38" s="281">
        <v>6781152.4900000002</v>
      </c>
      <c r="H38" s="281"/>
      <c r="I38" s="281">
        <v>1635441.2499999998</v>
      </c>
      <c r="J38" s="281"/>
      <c r="K38" s="281">
        <v>328691.45</v>
      </c>
      <c r="L38" s="281">
        <v>40299.380000000005</v>
      </c>
      <c r="M38" s="281">
        <v>131812.84</v>
      </c>
      <c r="N38" s="281">
        <v>-1368.4799999999998</v>
      </c>
      <c r="O38" s="281">
        <v>976733.24000000011</v>
      </c>
      <c r="P38" s="281">
        <v>611713.21818249999</v>
      </c>
      <c r="Q38" s="281">
        <v>595822.72</v>
      </c>
      <c r="R38" s="281">
        <v>467947.37</v>
      </c>
      <c r="S38" s="281">
        <v>18364711.798182499</v>
      </c>
      <c r="T38" s="281">
        <v>-9034763.1781825013</v>
      </c>
    </row>
    <row r="39" spans="1:20" x14ac:dyDescent="0.2">
      <c r="A39" s="280">
        <v>8650</v>
      </c>
      <c r="B39" s="281"/>
      <c r="C39" s="281"/>
      <c r="D39" s="281"/>
      <c r="E39" s="281"/>
      <c r="F39" s="281"/>
      <c r="G39" s="281">
        <v>9.35</v>
      </c>
      <c r="H39" s="281"/>
      <c r="I39" s="281">
        <v>1670.2299999967217</v>
      </c>
      <c r="J39" s="281"/>
      <c r="K39" s="281">
        <v>11155.27</v>
      </c>
      <c r="L39" s="281"/>
      <c r="M39" s="281"/>
      <c r="N39" s="281">
        <v>-4571295.8699999992</v>
      </c>
      <c r="O39" s="281">
        <v>273831.60000000003</v>
      </c>
      <c r="P39" s="281"/>
      <c r="Q39" s="281"/>
      <c r="R39" s="281"/>
      <c r="S39" s="281">
        <v>-4284629.4200000027</v>
      </c>
      <c r="T39" s="281">
        <v>4284629.4200000027</v>
      </c>
    </row>
    <row r="40" spans="1:20" x14ac:dyDescent="0.2">
      <c r="A40" s="280">
        <v>8690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>
        <v>1846.47</v>
      </c>
      <c r="L40" s="281"/>
      <c r="M40" s="281">
        <v>40371.429999999993</v>
      </c>
      <c r="N40" s="281"/>
      <c r="O40" s="281"/>
      <c r="P40" s="281">
        <v>5151917.5093459487</v>
      </c>
      <c r="Q40" s="281">
        <v>11330.820000000002</v>
      </c>
      <c r="R40" s="281">
        <v>2791.59</v>
      </c>
      <c r="S40" s="281">
        <v>5208257.8193459492</v>
      </c>
      <c r="T40" s="281">
        <v>-5202674.6393459495</v>
      </c>
    </row>
    <row r="41" spans="1:20" x14ac:dyDescent="0.2">
      <c r="A41" s="280">
        <v>8700</v>
      </c>
      <c r="B41" s="281"/>
      <c r="C41" s="281"/>
      <c r="D41" s="281"/>
      <c r="E41" s="281"/>
      <c r="F41" s="281"/>
      <c r="G41" s="281"/>
      <c r="H41" s="281"/>
      <c r="I41" s="281">
        <v>213.62</v>
      </c>
      <c r="J41" s="281">
        <v>23695.160000000003</v>
      </c>
      <c r="K41" s="281"/>
      <c r="L41" s="281"/>
      <c r="M41" s="281"/>
      <c r="N41" s="281"/>
      <c r="O41" s="281"/>
      <c r="P41" s="281">
        <v>242626.12380825001</v>
      </c>
      <c r="Q41" s="281"/>
      <c r="R41" s="281">
        <v>386391.15</v>
      </c>
      <c r="S41" s="281">
        <v>652926.05380825</v>
      </c>
      <c r="T41" s="281">
        <v>119856.24619174999</v>
      </c>
    </row>
    <row r="42" spans="1:20" x14ac:dyDescent="0.2">
      <c r="A42" s="280">
        <v>8710</v>
      </c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>
        <v>4797647.6230057497</v>
      </c>
      <c r="Q42" s="281"/>
      <c r="R42" s="281"/>
      <c r="S42" s="281">
        <v>4797647.6230057497</v>
      </c>
      <c r="T42" s="281">
        <v>-4797647.6230057497</v>
      </c>
    </row>
    <row r="43" spans="1:20" x14ac:dyDescent="0.2">
      <c r="A43" s="280">
        <v>8720</v>
      </c>
      <c r="B43" s="281"/>
      <c r="C43" s="281"/>
      <c r="D43" s="281"/>
      <c r="E43" s="281"/>
      <c r="F43" s="281"/>
      <c r="G43" s="281">
        <v>3725831.96</v>
      </c>
      <c r="H43" s="281">
        <v>63068.29</v>
      </c>
      <c r="I43" s="281">
        <v>983396.27999999991</v>
      </c>
      <c r="J43" s="281"/>
      <c r="K43" s="281">
        <v>17518.330000000002</v>
      </c>
      <c r="L43" s="281">
        <v>2515.9400000000005</v>
      </c>
      <c r="M43" s="281">
        <v>157150.69</v>
      </c>
      <c r="N43" s="281"/>
      <c r="O43" s="281">
        <v>71450.970000000016</v>
      </c>
      <c r="P43" s="281">
        <v>1433728.46</v>
      </c>
      <c r="Q43" s="281">
        <v>36652.35</v>
      </c>
      <c r="R43" s="281">
        <v>352490.05</v>
      </c>
      <c r="S43" s="281">
        <v>6843803.3200000003</v>
      </c>
      <c r="T43" s="281">
        <v>-6138823.2200000007</v>
      </c>
    </row>
    <row r="44" spans="1:20" x14ac:dyDescent="0.2">
      <c r="A44" s="280">
        <v>8730</v>
      </c>
      <c r="B44" s="281"/>
      <c r="C44" s="281"/>
      <c r="D44" s="281"/>
      <c r="E44" s="281"/>
      <c r="F44" s="281"/>
      <c r="G44" s="281">
        <v>2241523.75</v>
      </c>
      <c r="H44" s="281">
        <v>16532.62</v>
      </c>
      <c r="I44" s="281">
        <v>639648.14000000013</v>
      </c>
      <c r="J44" s="281"/>
      <c r="K44" s="281">
        <v>24229.18</v>
      </c>
      <c r="L44" s="281">
        <v>41</v>
      </c>
      <c r="M44" s="281">
        <v>9157.15</v>
      </c>
      <c r="N44" s="281"/>
      <c r="O44" s="281">
        <v>1631.16</v>
      </c>
      <c r="P44" s="281">
        <v>9265</v>
      </c>
      <c r="Q44" s="281"/>
      <c r="R44" s="281"/>
      <c r="S44" s="281">
        <v>2942028.0000000005</v>
      </c>
      <c r="T44" s="281">
        <v>-2942028.0000000005</v>
      </c>
    </row>
    <row r="45" spans="1:20" x14ac:dyDescent="0.2">
      <c r="A45" s="280">
        <v>8740</v>
      </c>
      <c r="B45" s="281"/>
      <c r="C45" s="281"/>
      <c r="D45" s="281"/>
      <c r="E45" s="281"/>
      <c r="F45" s="281"/>
      <c r="G45" s="281">
        <v>1030414.31</v>
      </c>
      <c r="H45" s="281"/>
      <c r="I45" s="281">
        <v>267472.57</v>
      </c>
      <c r="J45" s="281"/>
      <c r="K45" s="281">
        <v>21809.97</v>
      </c>
      <c r="L45" s="281"/>
      <c r="M45" s="281">
        <v>3955.16</v>
      </c>
      <c r="N45" s="281"/>
      <c r="O45" s="281">
        <v>16067.099999999999</v>
      </c>
      <c r="P45" s="281">
        <v>130636.28000000001</v>
      </c>
      <c r="Q45" s="281">
        <v>43155.679999999993</v>
      </c>
      <c r="R45" s="281">
        <v>35.000000000000007</v>
      </c>
      <c r="S45" s="281">
        <v>1513546.07</v>
      </c>
      <c r="T45" s="281">
        <v>-1513476.07</v>
      </c>
    </row>
    <row r="46" spans="1:20" x14ac:dyDescent="0.2">
      <c r="A46" s="280">
        <v>8790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>
        <v>-210841.97999999995</v>
      </c>
      <c r="L46" s="281"/>
      <c r="M46" s="281">
        <v>91681.48</v>
      </c>
      <c r="N46" s="281">
        <v>-9647365.4800000004</v>
      </c>
      <c r="O46" s="281">
        <v>372.78</v>
      </c>
      <c r="P46" s="281">
        <v>31903580.723662749</v>
      </c>
      <c r="Q46" s="281">
        <v>579492.39999999991</v>
      </c>
      <c r="R46" s="281">
        <v>74975</v>
      </c>
      <c r="S46" s="281">
        <v>22791894.923662744</v>
      </c>
      <c r="T46" s="281">
        <v>-22641944.923662744</v>
      </c>
    </row>
    <row r="47" spans="1:20" x14ac:dyDescent="0.2">
      <c r="A47" s="280">
        <v>8900</v>
      </c>
      <c r="B47" s="281"/>
      <c r="C47" s="281"/>
      <c r="D47" s="281">
        <v>1954104312.0699999</v>
      </c>
      <c r="E47" s="281">
        <v>25320118.240000002</v>
      </c>
      <c r="F47" s="281">
        <v>-5617100.8600000013</v>
      </c>
      <c r="G47" s="281">
        <v>2419004</v>
      </c>
      <c r="H47" s="281">
        <v>57678</v>
      </c>
      <c r="I47" s="281"/>
      <c r="J47" s="281">
        <v>1376877.7800000003</v>
      </c>
      <c r="K47" s="281">
        <v>175268.53</v>
      </c>
      <c r="L47" s="281">
        <v>12652.239999999998</v>
      </c>
      <c r="M47" s="281">
        <v>24357064.879999995</v>
      </c>
      <c r="N47" s="281">
        <v>1800000</v>
      </c>
      <c r="O47" s="281">
        <v>7840468.6799999988</v>
      </c>
      <c r="P47" s="281">
        <v>28186650.809999999</v>
      </c>
      <c r="Q47" s="281">
        <v>26153.75</v>
      </c>
      <c r="R47" s="281">
        <v>11946085.300000001</v>
      </c>
      <c r="S47" s="281">
        <v>2052005233.4200001</v>
      </c>
      <c r="T47" s="281">
        <v>-2039347264.54</v>
      </c>
    </row>
    <row r="48" spans="1:20" x14ac:dyDescent="0.2">
      <c r="A48" s="280">
        <v>7150</v>
      </c>
      <c r="B48" s="281">
        <v>2622770.1800000002</v>
      </c>
      <c r="C48" s="281">
        <v>43752212</v>
      </c>
      <c r="D48" s="281"/>
      <c r="E48" s="281"/>
      <c r="F48" s="281"/>
      <c r="G48" s="281">
        <v>1967695.04</v>
      </c>
      <c r="H48" s="281">
        <v>400</v>
      </c>
      <c r="I48" s="281">
        <v>508297.63</v>
      </c>
      <c r="J48" s="281">
        <v>146013.26</v>
      </c>
      <c r="K48" s="281">
        <v>57206.34</v>
      </c>
      <c r="L48" s="281">
        <v>38.15</v>
      </c>
      <c r="M48" s="281">
        <v>138924.56999999998</v>
      </c>
      <c r="N48" s="281"/>
      <c r="O48" s="281">
        <v>5459.5499999999993</v>
      </c>
      <c r="P48" s="281">
        <v>1612777.7299999997</v>
      </c>
      <c r="Q48" s="281">
        <v>9520.36</v>
      </c>
      <c r="R48" s="281">
        <v>1725</v>
      </c>
      <c r="S48" s="281">
        <v>50823039.809999995</v>
      </c>
      <c r="T48" s="281">
        <v>41930374.550000004</v>
      </c>
    </row>
    <row r="49" spans="1:20" x14ac:dyDescent="0.2">
      <c r="A49" s="280">
        <v>7040</v>
      </c>
      <c r="B49" s="281">
        <v>7092955.6000000006</v>
      </c>
      <c r="C49" s="281">
        <v>13695580.390000001</v>
      </c>
      <c r="D49" s="281"/>
      <c r="E49" s="281"/>
      <c r="F49" s="281"/>
      <c r="G49" s="281">
        <v>237634.45</v>
      </c>
      <c r="H49" s="281">
        <v>82866.16</v>
      </c>
      <c r="I49" s="281">
        <v>71174.679999999993</v>
      </c>
      <c r="J49" s="281">
        <v>376619.52000000002</v>
      </c>
      <c r="K49" s="281">
        <v>346257.83</v>
      </c>
      <c r="L49" s="281"/>
      <c r="M49" s="281"/>
      <c r="N49" s="281"/>
      <c r="O49" s="281">
        <v>595</v>
      </c>
      <c r="P49" s="281">
        <v>377316.61</v>
      </c>
      <c r="Q49" s="281">
        <v>2688.7999999999997</v>
      </c>
      <c r="R49" s="281"/>
      <c r="S49" s="281">
        <v>22283689.039999999</v>
      </c>
      <c r="T49" s="281">
        <v>19293382.940000005</v>
      </c>
    </row>
    <row r="50" spans="1:20" x14ac:dyDescent="0.2">
      <c r="A50" s="280">
        <v>8470</v>
      </c>
      <c r="B50" s="281"/>
      <c r="C50" s="281"/>
      <c r="D50" s="281"/>
      <c r="E50" s="281"/>
      <c r="F50" s="281"/>
      <c r="G50" s="281"/>
      <c r="H50" s="281"/>
      <c r="I50" s="281"/>
      <c r="J50" s="281"/>
      <c r="K50" s="281">
        <v>195.28</v>
      </c>
      <c r="L50" s="281">
        <v>265636.55</v>
      </c>
      <c r="M50" s="281">
        <v>81471.680000000008</v>
      </c>
      <c r="N50" s="281"/>
      <c r="O50" s="281"/>
      <c r="P50" s="281"/>
      <c r="Q50" s="281">
        <v>2456.3799999999997</v>
      </c>
      <c r="R50" s="281"/>
      <c r="S50" s="281">
        <v>349759.89</v>
      </c>
      <c r="T50" s="281">
        <v>-349759.89</v>
      </c>
    </row>
    <row r="51" spans="1:20" x14ac:dyDescent="0.2"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</row>
    <row r="52" spans="1:20" x14ac:dyDescent="0.2">
      <c r="B52" s="281">
        <v>1102193583.29</v>
      </c>
      <c r="C52" s="281">
        <v>1702368690.2900002</v>
      </c>
      <c r="D52" s="281">
        <v>2096552836.8899999</v>
      </c>
      <c r="E52" s="281">
        <v>26370436.220000003</v>
      </c>
      <c r="F52" s="281">
        <v>-7170734.9900000012</v>
      </c>
      <c r="G52" s="281">
        <v>195716976.41999993</v>
      </c>
      <c r="H52" s="281">
        <v>12468565.299999999</v>
      </c>
      <c r="I52" s="281">
        <v>47694269.979999997</v>
      </c>
      <c r="J52" s="281">
        <v>46408849.639999993</v>
      </c>
      <c r="K52" s="281">
        <v>108551313.59000003</v>
      </c>
      <c r="L52" s="281">
        <v>4387848.1300000008</v>
      </c>
      <c r="M52" s="281">
        <v>38189877.519999996</v>
      </c>
      <c r="N52" s="281">
        <v>-12438374.23</v>
      </c>
      <c r="O52" s="281">
        <v>13244267.289999999</v>
      </c>
      <c r="P52" s="281">
        <v>159355617.95197168</v>
      </c>
      <c r="Q52" s="281">
        <v>15174691.560000004</v>
      </c>
      <c r="R52" s="281">
        <v>20878427.560000002</v>
      </c>
      <c r="S52" s="281">
        <v>5569947142.411973</v>
      </c>
      <c r="T52" s="281">
        <v>66592789.888028353</v>
      </c>
    </row>
    <row r="53" spans="1:20" x14ac:dyDescent="0.2"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</row>
    <row r="54" spans="1:20" x14ac:dyDescent="0.2"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</row>
    <row r="55" spans="1:20" x14ac:dyDescent="0.2"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</row>
    <row r="56" spans="1:20" x14ac:dyDescent="0.2"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</row>
    <row r="57" spans="1:20" x14ac:dyDescent="0.2"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</row>
    <row r="58" spans="1:20" x14ac:dyDescent="0.2"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</row>
    <row r="59" spans="1:20" x14ac:dyDescent="0.2">
      <c r="T59" s="281"/>
    </row>
    <row r="60" spans="1:20" x14ac:dyDescent="0.2">
      <c r="B60" s="280" t="s">
        <v>1286</v>
      </c>
      <c r="C60" s="280" t="s">
        <v>1287</v>
      </c>
      <c r="D60" s="280" t="s">
        <v>1288</v>
      </c>
      <c r="E60" s="280" t="s">
        <v>1289</v>
      </c>
      <c r="F60" s="280" t="s">
        <v>1290</v>
      </c>
      <c r="G60" s="280" t="s">
        <v>473</v>
      </c>
      <c r="H60" s="280" t="s">
        <v>1291</v>
      </c>
      <c r="I60" s="280" t="s">
        <v>1292</v>
      </c>
      <c r="J60" s="280" t="s">
        <v>1293</v>
      </c>
      <c r="K60" s="280" t="s">
        <v>1294</v>
      </c>
      <c r="L60" s="280" t="s">
        <v>1295</v>
      </c>
      <c r="M60" s="280" t="s">
        <v>1296</v>
      </c>
      <c r="N60" s="280" t="s">
        <v>1297</v>
      </c>
      <c r="O60" s="280" t="s">
        <v>241</v>
      </c>
      <c r="P60" s="282" t="s">
        <v>1298</v>
      </c>
      <c r="Q60" s="280" t="s">
        <v>1299</v>
      </c>
      <c r="R60" s="280" t="s">
        <v>106</v>
      </c>
      <c r="T60" s="281"/>
    </row>
    <row r="61" spans="1:20" x14ac:dyDescent="0.2">
      <c r="B61" s="281">
        <v>1102193583.289999</v>
      </c>
      <c r="C61" s="281">
        <v>1702368690.289999</v>
      </c>
      <c r="D61" s="281">
        <v>2096552836.8900003</v>
      </c>
      <c r="E61" s="281">
        <v>26370436.220000003</v>
      </c>
      <c r="F61" s="281">
        <v>-7170734.9900000012</v>
      </c>
      <c r="G61" s="281">
        <v>195716976.42000008</v>
      </c>
      <c r="H61" s="281">
        <v>12468565.300000003</v>
      </c>
      <c r="I61" s="281">
        <v>47694269.980000004</v>
      </c>
      <c r="J61" s="281">
        <v>46408849.640000001</v>
      </c>
      <c r="K61" s="281">
        <v>108551313.58999996</v>
      </c>
      <c r="L61" s="281">
        <v>4387848.1300000008</v>
      </c>
      <c r="M61" s="281">
        <v>38189877.519999996</v>
      </c>
      <c r="N61" s="281">
        <v>-12438374.23</v>
      </c>
      <c r="O61" s="281">
        <v>13244267.289999999</v>
      </c>
      <c r="P61" s="281">
        <v>159355617.95197171</v>
      </c>
      <c r="Q61" s="281">
        <v>15174691.560000002</v>
      </c>
      <c r="R61" s="281">
        <v>20878427.559999999</v>
      </c>
      <c r="S61" s="281">
        <v>65160328.569999985</v>
      </c>
      <c r="T61" s="281">
        <v>66592789.88802588</v>
      </c>
    </row>
    <row r="62" spans="1:20" x14ac:dyDescent="0.2">
      <c r="B62" s="281">
        <v>0</v>
      </c>
      <c r="C62" s="281">
        <v>0</v>
      </c>
      <c r="D62" s="281">
        <v>0</v>
      </c>
      <c r="E62" s="281">
        <v>0</v>
      </c>
      <c r="F62" s="281">
        <v>0</v>
      </c>
      <c r="G62" s="281">
        <v>0</v>
      </c>
      <c r="H62" s="281">
        <v>0</v>
      </c>
      <c r="I62" s="281">
        <v>0</v>
      </c>
      <c r="J62" s="281">
        <v>0</v>
      </c>
      <c r="K62" s="281">
        <v>0</v>
      </c>
      <c r="L62" s="281">
        <v>0</v>
      </c>
      <c r="M62" s="281">
        <v>0</v>
      </c>
      <c r="N62" s="281">
        <v>0</v>
      </c>
      <c r="O62" s="281">
        <v>0</v>
      </c>
      <c r="P62" s="281">
        <v>0</v>
      </c>
      <c r="Q62" s="281">
        <v>0</v>
      </c>
      <c r="R62" s="281">
        <v>0</v>
      </c>
      <c r="S62" s="281"/>
      <c r="T62" s="28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79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4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St Michael Medical Center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H-142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2520 Cherry Avenue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2520 Cherry Avenue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Bremerton, WA 98310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H-142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St Michael Medical Center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Kitsap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Dr. Uli Chi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253-588-1711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253-588-3001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12581</v>
      </c>
      <c r="G23" s="21">
        <f>data!D111</f>
        <v>61948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1753</v>
      </c>
      <c r="G26" s="13">
        <f>data!D114</f>
        <v>2689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20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56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192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20</v>
      </c>
      <c r="E34" s="49" t="s">
        <v>291</v>
      </c>
      <c r="F34" s="24"/>
      <c r="G34" s="21">
        <f>data!E127</f>
        <v>298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336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22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St Michael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6842</v>
      </c>
      <c r="C7" s="48">
        <f>data!B139</f>
        <v>38266</v>
      </c>
      <c r="D7" s="48">
        <f>data!B140</f>
        <v>0</v>
      </c>
      <c r="E7" s="48">
        <f>data!B141</f>
        <v>680192668.90999997</v>
      </c>
      <c r="F7" s="48">
        <f>data!B142</f>
        <v>794344594.79000008</v>
      </c>
      <c r="G7" s="48">
        <f>data!B141+data!B142</f>
        <v>1474537263.7</v>
      </c>
    </row>
    <row r="8" spans="1:13" ht="20.100000000000001" customHeight="1" x14ac:dyDescent="0.2">
      <c r="A8" s="23" t="s">
        <v>297</v>
      </c>
      <c r="B8" s="48">
        <f>data!C138</f>
        <v>2187</v>
      </c>
      <c r="C8" s="48">
        <f>data!C139</f>
        <v>10452</v>
      </c>
      <c r="D8" s="48">
        <f>data!C140</f>
        <v>0</v>
      </c>
      <c r="E8" s="48">
        <f>data!C141</f>
        <v>159425933.55000001</v>
      </c>
      <c r="F8" s="48">
        <f>data!C142</f>
        <v>250201508.78</v>
      </c>
      <c r="G8" s="48">
        <f>data!C141+data!C142</f>
        <v>409627442.33000004</v>
      </c>
    </row>
    <row r="9" spans="1:13" ht="20.100000000000001" customHeight="1" x14ac:dyDescent="0.2">
      <c r="A9" s="23" t="s">
        <v>1058</v>
      </c>
      <c r="B9" s="48">
        <f>data!D138</f>
        <v>3552</v>
      </c>
      <c r="C9" s="48">
        <f>data!D139</f>
        <v>13230</v>
      </c>
      <c r="D9" s="48">
        <f>data!D140</f>
        <v>0</v>
      </c>
      <c r="E9" s="48">
        <f>data!D141</f>
        <v>262574980.83000001</v>
      </c>
      <c r="F9" s="48">
        <f>data!D142</f>
        <v>657822586.72000003</v>
      </c>
      <c r="G9" s="48">
        <f>data!D141+data!D142</f>
        <v>920397567.55000007</v>
      </c>
    </row>
    <row r="10" spans="1:13" ht="20.100000000000001" customHeight="1" x14ac:dyDescent="0.2">
      <c r="A10" s="111" t="s">
        <v>203</v>
      </c>
      <c r="B10" s="48">
        <f>data!E138</f>
        <v>12581</v>
      </c>
      <c r="C10" s="48">
        <f>data!E139</f>
        <v>61948</v>
      </c>
      <c r="D10" s="48">
        <f>data!E140</f>
        <v>0</v>
      </c>
      <c r="E10" s="48">
        <f>data!E141</f>
        <v>1102193583.29</v>
      </c>
      <c r="F10" s="48">
        <f>data!E142</f>
        <v>1702368690.29</v>
      </c>
      <c r="G10" s="48">
        <f>data!E141+data!E142</f>
        <v>2804562273.5799999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4245764.25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2932314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St Michael Medical Center</v>
      </c>
      <c r="B3" s="30"/>
      <c r="C3" s="31" t="str">
        <f>"FYE: "&amp;data!C82</f>
        <v>FYE: 06/30/2020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12797251.26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952685.03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1854236.52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21625855.539999999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335914.67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9339683.3599999994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788643.65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47694270.029999994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12588960.289999999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2585731.2699999996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15174691.559999999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4814550.29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680828.33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5495378.6200000001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15141138.35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15141138.35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-10715890.84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-10715890.84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St Michael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10245719</v>
      </c>
      <c r="D7" s="21">
        <f>data!C195</f>
        <v>-1800000</v>
      </c>
      <c r="E7" s="21">
        <f>data!D195</f>
        <v>1750000.01</v>
      </c>
      <c r="F7" s="21">
        <f>data!E195</f>
        <v>6695718.9900000002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2319119</v>
      </c>
      <c r="D8" s="21">
        <f>data!C196</f>
        <v>0</v>
      </c>
      <c r="E8" s="21">
        <f>data!D196</f>
        <v>165970</v>
      </c>
      <c r="F8" s="21">
        <f>data!E196</f>
        <v>2153149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99727204</v>
      </c>
      <c r="D9" s="21">
        <f>data!C197</f>
        <v>0</v>
      </c>
      <c r="E9" s="21">
        <f>data!D197</f>
        <v>0</v>
      </c>
      <c r="F9" s="21">
        <f>data!E197</f>
        <v>99727204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15429086.369999999</v>
      </c>
      <c r="D10" s="21">
        <f>data!C198</f>
        <v>-109904.88</v>
      </c>
      <c r="E10" s="21">
        <f>data!D198</f>
        <v>7102773.2000000002</v>
      </c>
      <c r="F10" s="21">
        <f>data!E198</f>
        <v>8216408.2899999982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5283866.33</v>
      </c>
      <c r="D11" s="21">
        <f>data!C199</f>
        <v>-211682.33000000002</v>
      </c>
      <c r="E11" s="21">
        <f>data!D199</f>
        <v>289335.45</v>
      </c>
      <c r="F11" s="21">
        <f>data!E199</f>
        <v>4782848.55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157648654.91999999</v>
      </c>
      <c r="D12" s="21">
        <f>data!C200</f>
        <v>-4300413.26</v>
      </c>
      <c r="E12" s="21">
        <f>data!D200</f>
        <v>1648863.9200000004</v>
      </c>
      <c r="F12" s="21">
        <f>data!E200</f>
        <v>151699377.74000001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33510769.09</v>
      </c>
      <c r="D14" s="21">
        <f>data!C202</f>
        <v>-1146555.9300000002</v>
      </c>
      <c r="E14" s="21">
        <f>data!D202</f>
        <v>-1639880.62</v>
      </c>
      <c r="F14" s="21">
        <f>data!E202</f>
        <v>34004093.780000001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279920956.91999996</v>
      </c>
      <c r="D15" s="21">
        <f>data!C203</f>
        <v>150839624.52999997</v>
      </c>
      <c r="E15" s="21">
        <f>data!D203</f>
        <v>0</v>
      </c>
      <c r="F15" s="21">
        <f>data!E203</f>
        <v>430760581.44999993</v>
      </c>
      <c r="M15" s="264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604085375.62999988</v>
      </c>
      <c r="D16" s="21">
        <f>data!C204</f>
        <v>143271068.12999997</v>
      </c>
      <c r="E16" s="21">
        <f>data!D204</f>
        <v>9317061.9600000009</v>
      </c>
      <c r="F16" s="21">
        <f>data!E204</f>
        <v>738039381.79999995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578965.88</v>
      </c>
      <c r="D24" s="21">
        <f>data!C209</f>
        <v>117442.63</v>
      </c>
      <c r="E24" s="21">
        <f>data!D209</f>
        <v>43010.95</v>
      </c>
      <c r="F24" s="21">
        <f>data!E209</f>
        <v>653397.56000000006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51716521.009999998</v>
      </c>
      <c r="D25" s="21">
        <f>data!C210</f>
        <v>13704496.15</v>
      </c>
      <c r="E25" s="21">
        <f>data!D210</f>
        <v>0</v>
      </c>
      <c r="F25" s="21">
        <f>data!E210</f>
        <v>65421017.159999996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4708222.59</v>
      </c>
      <c r="D26" s="21">
        <f>data!C211</f>
        <v>2742379.3200000003</v>
      </c>
      <c r="E26" s="21">
        <f>data!D211</f>
        <v>1372942.82</v>
      </c>
      <c r="F26" s="21">
        <f>data!E211</f>
        <v>6077659.0899999999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3510152.6</v>
      </c>
      <c r="D27" s="21">
        <f>data!C212</f>
        <v>476014.11</v>
      </c>
      <c r="E27" s="21">
        <f>data!D212</f>
        <v>220644.41999999998</v>
      </c>
      <c r="F27" s="21">
        <f>data!E212</f>
        <v>3765522.29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113558304.09</v>
      </c>
      <c r="D28" s="21">
        <f>data!C213</f>
        <v>18362672.300000001</v>
      </c>
      <c r="E28" s="21">
        <f>data!D213</f>
        <v>5554540.4900000002</v>
      </c>
      <c r="F28" s="21">
        <f>data!E213</f>
        <v>126366435.90000001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20041670.510000002</v>
      </c>
      <c r="D30" s="21">
        <f>data!C215</f>
        <v>2786873.46</v>
      </c>
      <c r="E30" s="21">
        <f>data!D215</f>
        <v>2254305.3199999998</v>
      </c>
      <c r="F30" s="21">
        <f>data!E215</f>
        <v>20574238.650000002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194113836.68000001</v>
      </c>
      <c r="D32" s="21">
        <f>data!C217</f>
        <v>38189877.970000006</v>
      </c>
      <c r="E32" s="21">
        <f>data!D217</f>
        <v>9445444</v>
      </c>
      <c r="F32" s="21">
        <f>data!E217</f>
        <v>222858270.65000001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data</vt:lpstr>
      <vt:lpstr>HR DATA</vt:lpstr>
      <vt:lpstr>Sheet1</vt:lpstr>
      <vt:lpstr>orig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Catholic Health Initiatives</cp:lastModifiedBy>
  <cp:lastPrinted>2020-10-30T21:25:23Z</cp:lastPrinted>
  <dcterms:created xsi:type="dcterms:W3CDTF">1999-06-02T22:01:56Z</dcterms:created>
  <dcterms:modified xsi:type="dcterms:W3CDTF">2020-12-31T03:23:01Z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